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folio" sheetId="1" r:id="rId5"/>
    <sheet state="visible" name="WeeklyPrep" sheetId="2" r:id="rId6"/>
    <sheet state="visible" name="NewsLog" sheetId="3" r:id="rId7"/>
    <sheet state="visible" name="Capital" sheetId="4" r:id="rId8"/>
    <sheet state="visible" name="TradeLog" sheetId="5" r:id="rId9"/>
    <sheet state="visible" name="OptionInstruments" sheetId="6" r:id="rId10"/>
    <sheet state="visible" name="StockInstruments" sheetId="7" r:id="rId11"/>
    <sheet state="visible" name="OptionPositions" sheetId="8" r:id="rId12"/>
    <sheet state="visible" name="StockTrades" sheetId="9" r:id="rId13"/>
    <sheet state="visible" name="FutureTrades" sheetId="10" r:id="rId14"/>
    <sheet state="visible" name="OptionPositionsLog" sheetId="11" r:id="rId15"/>
    <sheet state="visible" name="TradeAnalysis" sheetId="12" r:id="rId16"/>
    <sheet state="visible" name="TradeEntryHelpers" sheetId="13" r:id="rId17"/>
  </sheets>
  <definedNames>
    <definedName name="Price">OptionPositionsLog!$E$1</definedName>
    <definedName hidden="1" localSheetId="4" name="_xlnm._FilterDatabase">TradeLog!$A$1:$V$997</definedName>
    <definedName hidden="1" localSheetId="5" name="_xlnm._FilterDatabase">OptionInstruments!$A$1:$Z$77</definedName>
    <definedName hidden="1" localSheetId="6" name="_xlnm._FilterDatabase">StockInstruments!$A$1:$L$10</definedName>
    <definedName hidden="1" localSheetId="7" name="_xlnm._FilterDatabase">OptionPositions!$A$1:$AD$174</definedName>
  </definedNames>
  <calcPr/>
</workbook>
</file>

<file path=xl/sharedStrings.xml><?xml version="1.0" encoding="utf-8"?>
<sst xmlns="http://schemas.openxmlformats.org/spreadsheetml/2006/main" count="5389" uniqueCount="700">
  <si>
    <t xml:space="preserve">Budget </t>
  </si>
  <si>
    <t xml:space="preserve">Strategy </t>
  </si>
  <si>
    <t>Min Allocation</t>
  </si>
  <si>
    <t>Max Allocation</t>
  </si>
  <si>
    <t>Current Allocation</t>
  </si>
  <si>
    <t>P/L</t>
  </si>
  <si>
    <t>P/L %</t>
  </si>
  <si>
    <t>Budgets</t>
  </si>
  <si>
    <t>Profit Mechanism</t>
  </si>
  <si>
    <t>Core</t>
  </si>
  <si>
    <t>Positive Drift</t>
  </si>
  <si>
    <t>Speculative</t>
  </si>
  <si>
    <t>Range Bound Commodities</t>
  </si>
  <si>
    <t>PEADS</t>
  </si>
  <si>
    <t>Momentum</t>
  </si>
  <si>
    <t>IV mean reversion</t>
  </si>
  <si>
    <t>Sector strength</t>
  </si>
  <si>
    <t>Sector weakness</t>
  </si>
  <si>
    <t>Breakout</t>
  </si>
  <si>
    <t>Pre earnings</t>
  </si>
  <si>
    <t>Date</t>
  </si>
  <si>
    <t>Index Bias</t>
  </si>
  <si>
    <t>Breath</t>
  </si>
  <si>
    <t>Notable Sectors</t>
  </si>
  <si>
    <t>Volatility notes</t>
  </si>
  <si>
    <t>Open positoins require management</t>
  </si>
  <si>
    <t>Current Portfolio risk</t>
  </si>
  <si>
    <t>Portfolio notes</t>
  </si>
  <si>
    <t>Scanning for</t>
  </si>
  <si>
    <t>Index / Sector preference</t>
  </si>
  <si>
    <t>Watchlist (Bias)</t>
  </si>
  <si>
    <t>Learnings</t>
  </si>
  <si>
    <t>Focus for Improvement</t>
  </si>
  <si>
    <t>Eriks comments</t>
  </si>
  <si>
    <t>Neutral</t>
  </si>
  <si>
    <t>None</t>
  </si>
  <si>
    <t>Insufficient</t>
  </si>
  <si>
    <t>Portfolio Need</t>
  </si>
  <si>
    <t xml:space="preserve">IBIT =&gt; Long term holding
Telecommunication still strong even though NQ is weak
PLTR more likely to upside than downside
Scanner for ComSrv. 
AXTI sell 16 Jan 20 Call, buy 15 May 17.5
ONDS 20 Mar 12 Call buy, sell </t>
  </si>
  <si>
    <t>Bullish</t>
  </si>
  <si>
    <t>1W | XLB, XLY up |  XLV (large intraweek swing)</t>
  </si>
  <si>
    <t>Compressed and low</t>
  </si>
  <si>
    <t>SLV</t>
  </si>
  <si>
    <t>Sufficient</t>
  </si>
  <si>
    <t>Additional exposure to indices needed</t>
  </si>
  <si>
    <t>Portfolio Need, Opportunity</t>
  </si>
  <si>
    <t>Price action of ATR2x, Peads and Std 1-2x movers</t>
  </si>
  <si>
    <t>CELC</t>
  </si>
  <si>
    <t>Bottom 3 XLU, XLRE, XLF | Top 3: XLB, XLY, XLE</t>
  </si>
  <si>
    <t>After the Monday spike back to the 16 level. I expect it to be elevated due to the geopolitical tensions.</t>
  </si>
  <si>
    <t>CL?</t>
  </si>
  <si>
    <t>Sufficient but should add some negative delta</t>
  </si>
  <si>
    <t>Opportunity</t>
  </si>
  <si>
    <t>XLU, XLF</t>
  </si>
  <si>
    <t>Currently looking daily for PEADS opportunities to both sides</t>
  </si>
  <si>
    <t>I need to respect my trading timeframe. Tried to profit short term (7DTE) from the NG Volatility but with the wild swings on Thursday and the short time horizon this was actually a day trade that did not make sense when you cannot manage it.</t>
  </si>
  <si>
    <t>Day</t>
  </si>
  <si>
    <t>Details</t>
  </si>
  <si>
    <t>Sentiment</t>
  </si>
  <si>
    <t>Mental</t>
  </si>
  <si>
    <t>Seems the bull race is back on. Started my XSP strategy and went long to offset my likely losses on SLV</t>
  </si>
  <si>
    <t>Net Liqidity</t>
  </si>
  <si>
    <t>Maintenance</t>
  </si>
  <si>
    <t>Excess Liq</t>
  </si>
  <si>
    <t>BPR</t>
  </si>
  <si>
    <t>Maint/PCT</t>
  </si>
  <si>
    <t>PnL</t>
  </si>
  <si>
    <t>UnrPnL</t>
  </si>
  <si>
    <t>UnrlPnL%</t>
  </si>
  <si>
    <t>RealizedPnL</t>
  </si>
  <si>
    <t>RealizedPnL%</t>
  </si>
  <si>
    <t>Delta</t>
  </si>
  <si>
    <t>Theta</t>
  </si>
  <si>
    <t>Vega</t>
  </si>
  <si>
    <t>Gamma</t>
  </si>
  <si>
    <t>AVG IV</t>
  </si>
  <si>
    <t>Margin</t>
  </si>
  <si>
    <t>Duration%</t>
  </si>
  <si>
    <t>PnL%/Duration%</t>
  </si>
  <si>
    <t>ROI</t>
  </si>
  <si>
    <t>Commisions</t>
  </si>
  <si>
    <t>Non logged Trades</t>
  </si>
  <si>
    <t>Non added Instruments</t>
  </si>
  <si>
    <t>Symbol</t>
  </si>
  <si>
    <t>TypeOfTrade</t>
  </si>
  <si>
    <t>Notes / Assumptions</t>
  </si>
  <si>
    <t>Directional</t>
  </si>
  <si>
    <t>Timeframe</t>
  </si>
  <si>
    <t>Budget</t>
  </si>
  <si>
    <t>Strategy</t>
  </si>
  <si>
    <t>News Catalyst</t>
  </si>
  <si>
    <t>Recent Earnings</t>
  </si>
  <si>
    <t>Sector Performance Support</t>
  </si>
  <si>
    <t>ATH</t>
  </si>
  <si>
    <t>RVOL</t>
  </si>
  <si>
    <t>Put/Call</t>
  </si>
  <si>
    <t>x ATR move</t>
  </si>
  <si>
    <t>Institutional support</t>
  </si>
  <si>
    <t>Gap%</t>
  </si>
  <si>
    <t>TA / FA</t>
  </si>
  <si>
    <t>Intended Management</t>
  </si>
  <si>
    <t>Mangement</t>
  </si>
  <si>
    <t>Management rating</t>
  </si>
  <si>
    <t>Lernings</t>
  </si>
  <si>
    <t>Timeframes</t>
  </si>
  <si>
    <t>Symbols</t>
  </si>
  <si>
    <t>Structures</t>
  </si>
  <si>
    <t>Strategies</t>
  </si>
  <si>
    <t>IBIT</t>
  </si>
  <si>
    <t>Short Put Spread</t>
  </si>
  <si>
    <t>Bitcoin was able to hold it's level and I'm expecting people to get on their phones over the long weekend and trade some bitcoin.</t>
  </si>
  <si>
    <t>1d</t>
  </si>
  <si>
    <t>N/A</t>
  </si>
  <si>
    <t>S/R 55, 47</t>
  </si>
  <si>
    <t>75% profit, break below 48, 21 DTE</t>
  </si>
  <si>
    <t>As planned</t>
  </si>
  <si>
    <t>1w</t>
  </si>
  <si>
    <t>ALM</t>
  </si>
  <si>
    <t>Short Strangle</t>
  </si>
  <si>
    <t>SLV still has an IV pctl of 92. Doing this a pure short vol play</t>
  </si>
  <si>
    <t>Break above 54, IV expansion to 100pctl</t>
  </si>
  <si>
    <t>2025-12-09 | Delta where --23 adjusted to 0
2025-12-15 | Adjusted from -30 to -5
2025-12-26 | Adjusted from -30 to -10 to profit from the IV spike
2026-01-12 | Adjusted from -40 to 0 by re-centering the trade</t>
  </si>
  <si>
    <t>Minor adjustments</t>
  </si>
  <si>
    <t xml:space="preserve">It seems to be a bad idea to bet against such a strong ralley even as it slows down as we saw it in GLD. </t>
  </si>
  <si>
    <t>APG</t>
  </si>
  <si>
    <t>Syntetic Long</t>
  </si>
  <si>
    <t>JNJ</t>
  </si>
  <si>
    <t>Long Call</t>
  </si>
  <si>
    <t>Playing on strength in healthcare and strong breakout with clear support below 210</t>
  </si>
  <si>
    <t>Delta Band</t>
  </si>
  <si>
    <t>ARDX</t>
  </si>
  <si>
    <t>Short Put</t>
  </si>
  <si>
    <t>CMCSA</t>
  </si>
  <si>
    <t>Trying a longer term trend following approach</t>
  </si>
  <si>
    <t>Massive move the next day after close because of earnings. Need to check for earnings before closing due to EMA break!!!</t>
  </si>
  <si>
    <t>AVGO</t>
  </si>
  <si>
    <t>Long Put</t>
  </si>
  <si>
    <t>MSOS</t>
  </si>
  <si>
    <t xml:space="preserve">After profit taking yesterday seems there is more room to the upside </t>
  </si>
  <si>
    <t>BKR</t>
  </si>
  <si>
    <t>Short Call</t>
  </si>
  <si>
    <t>CL</t>
  </si>
  <si>
    <t>Very wide strangle. I'm trying to take opportunity of the recently risen IV</t>
  </si>
  <si>
    <t>Neutral, Bullish</t>
  </si>
  <si>
    <t>2026-01-12 | Adjusted from -12 to -6 to profit from the vol increase and to neutralize some upside risk</t>
  </si>
  <si>
    <t>BW</t>
  </si>
  <si>
    <t>NG</t>
  </si>
  <si>
    <t>Risk defined strangle due to strong bounce from low. Expecting it to land in the 4 range and some volatility to come out.</t>
  </si>
  <si>
    <t>2026-01-21 | SL on short call triggered
2026-01-14 | Got into new 7 delta short call due to massive vol increase and news event that gave multiple levels to work against</t>
  </si>
  <si>
    <t>NEVER go out when the trade clearly runs in your favor. It's bad to study breakouts and reversals and then not to trust underlyings behaving that way. 70 instead of 700</t>
  </si>
  <si>
    <t>CCL</t>
  </si>
  <si>
    <t>Covered Strangle</t>
  </si>
  <si>
    <t>GLD</t>
  </si>
  <si>
    <t>GLD had a massive down day and I expect it to blow off some volatility over the next days and trade in a well defined range. Used shorter term volatitlity because it was overstated to the longer term volatility. Even though I expect the longer term to come down as well.</t>
  </si>
  <si>
    <t xml:space="preserve">Seems I've overstated my welcome. I've had the chance to take 50% profit after 5 days when the volatility was out. 
I've recovered it but I closed it for break even right before it would have presented me with a decent gain. I've already seen that volume node but didn't trust it. </t>
  </si>
  <si>
    <t>CEG</t>
  </si>
  <si>
    <t>Butterfly</t>
  </si>
  <si>
    <t>MSFT</t>
  </si>
  <si>
    <t>Long Call Vertical</t>
  </si>
  <si>
    <t>Strong support on 470/475, Possible Breakout above 490 before earnings.</t>
  </si>
  <si>
    <t>Close below 472</t>
  </si>
  <si>
    <t>CFG</t>
  </si>
  <si>
    <t>XSP</t>
  </si>
  <si>
    <t>Core XSP allocation for 2026. Using Syn.Long because of low volatility and possible breakout to new ATH</t>
  </si>
  <si>
    <t xml:space="preserve">DB 50, &lt;= 10 </t>
  </si>
  <si>
    <t>Short Call Vertical</t>
  </si>
  <si>
    <t>Green Line Breakout</t>
  </si>
  <si>
    <t>CRML</t>
  </si>
  <si>
    <t>Strong breakout and not much resistance up to the last high at 32. See it as possible hedge for difficult SLV trade. Company is mining for critical minearals in the US.</t>
  </si>
  <si>
    <t>2026-01-23 Trend followed using 40% of gains</t>
  </si>
  <si>
    <t>CLSK</t>
  </si>
  <si>
    <t>Long Put Vertical</t>
  </si>
  <si>
    <t>Slingshot</t>
  </si>
  <si>
    <t>COMP</t>
  </si>
  <si>
    <t xml:space="preserve">OTM Call ticket, due to strong breakout above consolidation due to possible merger. </t>
  </si>
  <si>
    <t>Will be worthless around breakout point so no mgmt</t>
  </si>
  <si>
    <t>Short Put Vertical</t>
  </si>
  <si>
    <t>Strong breakout over two month consolidation range on preliminary report of financials</t>
  </si>
  <si>
    <t>OTM Call worthless on mean reversion</t>
  </si>
  <si>
    <t>Ratio diagonal spread</t>
  </si>
  <si>
    <t>Cooperation with Simens</t>
  </si>
  <si>
    <t>COST</t>
  </si>
  <si>
    <t>Long Strangle</t>
  </si>
  <si>
    <t>TQQQ</t>
  </si>
  <si>
    <t>Core allocation on tight range before Friday with the expectation of a possible rally tomorrow</t>
  </si>
  <si>
    <t>CPER</t>
  </si>
  <si>
    <t>Trying to play a reversion of NG from 5 Year low in the next two month</t>
  </si>
  <si>
    <t>Get out at 50 percent loss</t>
  </si>
  <si>
    <t>Rouge</t>
  </si>
  <si>
    <t>Same as above If you are in profit, be hopeful for more not fearful to loose it.</t>
  </si>
  <si>
    <t>CRBG</t>
  </si>
  <si>
    <t>Long Stock</t>
  </si>
  <si>
    <t xml:space="preserve">Re-centering of the 2025-12-08 short strangle. This is more a learning opportunity than a good trade. </t>
  </si>
  <si>
    <t>Short Stock</t>
  </si>
  <si>
    <t>Skewed strangle because GLD seems to slow down and recenter</t>
  </si>
  <si>
    <t>Bullish, Neutral</t>
  </si>
  <si>
    <t>CVX</t>
  </si>
  <si>
    <t>Following breakout of IBIT above 53</t>
  </si>
  <si>
    <t>DD</t>
  </si>
  <si>
    <t>Massive downward ATR move. Expecting follow through to the  downside</t>
  </si>
  <si>
    <t>Bearish</t>
  </si>
  <si>
    <t>Dept concerns</t>
  </si>
  <si>
    <t>Break back above 300</t>
  </si>
  <si>
    <t>DIS</t>
  </si>
  <si>
    <t>WFC</t>
  </si>
  <si>
    <t>Bad earnings. Banks are getting hit with the Tump 10% cap, hedge agains downmove</t>
  </si>
  <si>
    <t>Close above 88</t>
  </si>
  <si>
    <t xml:space="preserve">Due to the fact that the trade reversed on me I setup a reverse trade using the long put as a hedge. Not sure if this is a valid strategy but I'll test it here. </t>
  </si>
  <si>
    <t>DUOL</t>
  </si>
  <si>
    <t>O</t>
  </si>
  <si>
    <t>Strong performance and break to ATH</t>
  </si>
  <si>
    <t>Close below 61</t>
  </si>
  <si>
    <t>Accidentally closed the call and reopened it for the next month and the same price</t>
  </si>
  <si>
    <t>EMR</t>
  </si>
  <si>
    <t xml:space="preserve">Trend following SLV as a new addition to Core </t>
  </si>
  <si>
    <t>DB 50, &lt;=10</t>
  </si>
  <si>
    <t>2026-01-23 Trend followed with a 20D put</t>
  </si>
  <si>
    <t>ERIC</t>
  </si>
  <si>
    <t>NFLX</t>
  </si>
  <si>
    <t xml:space="preserve">Netflix had a good earnings result and still got sold off but showed a lot of strength on the next day. I see it returning to the 95 level. </t>
  </si>
  <si>
    <t>Close below 82</t>
  </si>
  <si>
    <t>ESTX50</t>
  </si>
  <si>
    <t>IWM</t>
  </si>
  <si>
    <t>Trying to take advantage of the Trump Greenland downmove</t>
  </si>
  <si>
    <t>DB 45 - 5</t>
  </si>
  <si>
    <t>EUR</t>
  </si>
  <si>
    <t>Seing the range break and the slow decline over the last month as an option for additional short delta.</t>
  </si>
  <si>
    <t>Neutral, Bearish</t>
  </si>
  <si>
    <t>Close above 31</t>
  </si>
  <si>
    <t>SFM</t>
  </si>
  <si>
    <t>Betting on the further decline that goes on for over a year.</t>
  </si>
  <si>
    <t>GDX</t>
  </si>
  <si>
    <t xml:space="preserve">Trying to profit of the volatility of NG without a strangle </t>
  </si>
  <si>
    <t>Stopped myself out above 5.5</t>
  </si>
  <si>
    <t xml:space="preserve">It is pure stupidity to short something that has a parabolic move, underlying factors for it and did not show any signs of weakness. The hourly surfs the 10 EMA for two days, the 10 min surfs the 50 EMA and I still never looked at it and only saw the premium. In addition this did not fit my timeframe at all. 
Especially when you see it collapse 5m after you got out. </t>
  </si>
  <si>
    <t>IBKR</t>
  </si>
  <si>
    <t>Strong earnings results and postive earnings move</t>
  </si>
  <si>
    <t>HAL</t>
  </si>
  <si>
    <t>PEADS on HAL after positive earnings result</t>
  </si>
  <si>
    <t>Close below 32</t>
  </si>
  <si>
    <t>HL</t>
  </si>
  <si>
    <t>ORI</t>
  </si>
  <si>
    <t xml:space="preserve">PEADS selloff after earnings even though they where positive. Unfortunately barchart displayed the chart incorectly THUS, I always make sure in IBKR the same is displayed. </t>
  </si>
  <si>
    <t>ALWAYS controll the barchart chart in IBKR before closing a trade</t>
  </si>
  <si>
    <t>HON</t>
  </si>
  <si>
    <t>INTC</t>
  </si>
  <si>
    <t>Betting for INTC to have a volatility increase in Pos/Neg direction</t>
  </si>
  <si>
    <t>Bullish, Bearish</t>
  </si>
  <si>
    <t>Depending on behavior. Trend follow with EMA down or up.</t>
  </si>
  <si>
    <t>HOOD</t>
  </si>
  <si>
    <t xml:space="preserve">Cheap bet on increased move to the upside following earnings </t>
  </si>
  <si>
    <t>PBR</t>
  </si>
  <si>
    <t>There are a lot of short term trading ranges in this stock. Playing on it to hit one of the Sides, then get out and see if the other one is hit.</t>
  </si>
  <si>
    <t>NO SL</t>
  </si>
  <si>
    <t>NEE</t>
  </si>
  <si>
    <t>Speculating on a breakout to ATH</t>
  </si>
  <si>
    <t>Increase</t>
  </si>
  <si>
    <t>10 EMA</t>
  </si>
  <si>
    <t>IBM</t>
  </si>
  <si>
    <t>SYY</t>
  </si>
  <si>
    <t xml:space="preserve">Break above long term Volume nod @82.5 </t>
  </si>
  <si>
    <t>Break below 82.5</t>
  </si>
  <si>
    <t>Long index trade on ESTX due to more independence from the US indices</t>
  </si>
  <si>
    <t>Took of at 50D at the beginning of the day. Might have worked out but I'm not sure that I'm sad about it I rather think it's better to not trade it to the last day if it's that close to ATM and even breaks 50D.</t>
  </si>
  <si>
    <t>TXN</t>
  </si>
  <si>
    <t>Race to ATH. Strong close on earnings</t>
  </si>
  <si>
    <t>LOGI</t>
  </si>
  <si>
    <t>Earnings boosted decline expected</t>
  </si>
  <si>
    <t>Decrease</t>
  </si>
  <si>
    <t>On obvious resistance of breakout level I switched it to a short put vertical spread</t>
  </si>
  <si>
    <t>KO</t>
  </si>
  <si>
    <t>TXT</t>
  </si>
  <si>
    <t>Strong earnings decline betting on further weakness</t>
  </si>
  <si>
    <t>LLY</t>
  </si>
  <si>
    <t>UMC</t>
  </si>
  <si>
    <t>Very volatile but strong rally from 8 to 11 betting on further support to 14</t>
  </si>
  <si>
    <t>META</t>
  </si>
  <si>
    <t>Far OTM strangle due to large META move and still remaining vol expecting resistance to both sides.</t>
  </si>
  <si>
    <t>Strangle Playbook</t>
  </si>
  <si>
    <t>Far OTM strangle due to massive SLV move. Want to profit a little from the expected vol decrease and resistance to both sides.</t>
  </si>
  <si>
    <t>MFG</t>
  </si>
  <si>
    <t>Hedge to the downside and possible advantage of IV increase.</t>
  </si>
  <si>
    <t>MRVL</t>
  </si>
  <si>
    <t>SNDK</t>
  </si>
  <si>
    <t>Selloff after strong earnings due to market effect expecting strong hold over 10EMA</t>
  </si>
  <si>
    <t>Prime example of a trade that you could have closed after a day for 50% profit and then move on to the next trade. If you get that opportunity to get more than 30% after a day GET OUT. 
Sidenote. The next two days after getting out SNDK rallied 20%</t>
  </si>
  <si>
    <t>T</t>
  </si>
  <si>
    <t>Increase back to 30 level after strong earnings</t>
  </si>
  <si>
    <t xml:space="preserve">Tested something weird and just bought a call at the same expiration expecting it to go either 2 points above or below the 27 mark.  </t>
  </si>
  <si>
    <t xml:space="preserve">Expecting 10 EMA following after strong earnings </t>
  </si>
  <si>
    <t>MUFG</t>
  </si>
  <si>
    <t>Strong performance and right before resistance point. Playing on a breakout on earnings in a couple of days.</t>
  </si>
  <si>
    <t>GLD is likely to settle in a range in the same way as SLV does. Far OTM Strangle to play the volatility decrease in short and mid-term</t>
  </si>
  <si>
    <t>SOFI</t>
  </si>
  <si>
    <t>Further downside momentum after earnings and reversal of steep rise in 2025</t>
  </si>
  <si>
    <t>Strong trend &amp; earnings. Expecting continuations</t>
  </si>
  <si>
    <t>Clear breakout to ATH with strong uptrend</t>
  </si>
  <si>
    <t>NKE</t>
  </si>
  <si>
    <t>Breakout after 2 Weeks of consolidation</t>
  </si>
  <si>
    <t>ORCL</t>
  </si>
  <si>
    <t>Breakout on earnings, retest and strong uptrend. Buy short before a potential breakout to ATH.</t>
  </si>
  <si>
    <t>Long downtrend. This is als a pre earnings play for more volatility to the downside</t>
  </si>
  <si>
    <t>Waited too long. Should have taken profit on short term downmove due to the short term expiration date.</t>
  </si>
  <si>
    <t>Strong uptrend after earnings. Feels late but is a GLB</t>
  </si>
  <si>
    <t>PCG</t>
  </si>
  <si>
    <t>UBS</t>
  </si>
  <si>
    <t xml:space="preserve">Strong fail on earnings. Stabilized on strong upday expecting further weekness. </t>
  </si>
  <si>
    <t>45 Earnings GAP</t>
  </si>
  <si>
    <t>PEP</t>
  </si>
  <si>
    <t>GLB after earnings consolidatio with test of breakout point</t>
  </si>
  <si>
    <t>PGY</t>
  </si>
  <si>
    <t xml:space="preserve">Long decline and righ at large volume node. Expecting it to break below. </t>
  </si>
  <si>
    <t>Close above 15.5</t>
  </si>
  <si>
    <t>QQQ</t>
  </si>
  <si>
    <t>TSM</t>
  </si>
  <si>
    <t>GLB following on trend or base building.</t>
  </si>
  <si>
    <t>Close below 350 the last GLB</t>
  </si>
  <si>
    <t>RDDT</t>
  </si>
  <si>
    <t>VZ</t>
  </si>
  <si>
    <t>GLB following strong trend</t>
  </si>
  <si>
    <t>Close below 47.5</t>
  </si>
  <si>
    <t>Trend following and giving it more duration due to continued strength.</t>
  </si>
  <si>
    <t>RIVN</t>
  </si>
  <si>
    <t>GLB trend following</t>
  </si>
  <si>
    <t>Close below 49</t>
  </si>
  <si>
    <t>WMB</t>
  </si>
  <si>
    <t>Close below 69</t>
  </si>
  <si>
    <t>Close below 60</t>
  </si>
  <si>
    <t>WDC</t>
  </si>
  <si>
    <t>GLB betting on at least holding a new base</t>
  </si>
  <si>
    <t>Close below 20EMA</t>
  </si>
  <si>
    <t>Following downward momentum and having short delta for further downside in banking</t>
  </si>
  <si>
    <t>Close above 79</t>
  </si>
  <si>
    <t>SOYB</t>
  </si>
  <si>
    <t>Downside breakout further sector weakness</t>
  </si>
  <si>
    <t>Cloxe above 79.5</t>
  </si>
  <si>
    <t>SPY</t>
  </si>
  <si>
    <t>UBER</t>
  </si>
  <si>
    <t>PEADS on Downtrend</t>
  </si>
  <si>
    <t>Close above 74</t>
  </si>
  <si>
    <t>PEADS, GLB and sector performance</t>
  </si>
  <si>
    <t>Close below 79</t>
  </si>
  <si>
    <t>Vol increase on downmove. Betting on GLD holding its range 425 - 510</t>
  </si>
  <si>
    <t>Testing range up or down</t>
  </si>
  <si>
    <t>Exited on break of upside range</t>
  </si>
  <si>
    <t>TEVA</t>
  </si>
  <si>
    <t>Higher low, maybe more upward momentum to come</t>
  </si>
  <si>
    <t>Above 38</t>
  </si>
  <si>
    <t>TLT</t>
  </si>
  <si>
    <t>NI</t>
  </si>
  <si>
    <t xml:space="preserve">GLB after earnings </t>
  </si>
  <si>
    <t>10 - 20 EMA</t>
  </si>
  <si>
    <t>AEP</t>
  </si>
  <si>
    <t>GLB and earnings</t>
  </si>
  <si>
    <t>5 - 10 EMA</t>
  </si>
  <si>
    <t>APO</t>
  </si>
  <si>
    <t>Decline after earnings just before great support level</t>
  </si>
  <si>
    <t>Constant</t>
  </si>
  <si>
    <t>Above 126</t>
  </si>
  <si>
    <t>WT</t>
  </si>
  <si>
    <t>GLB after earnings with sector recovery</t>
  </si>
  <si>
    <t>Below 16</t>
  </si>
  <si>
    <t>NYT</t>
  </si>
  <si>
    <t>Strong run into ATH</t>
  </si>
  <si>
    <t>Skewed strangle because GLD has a spike in short term vol and I expect resistance around 510-520</t>
  </si>
  <si>
    <t>Took down for 50% right before ATH expecting some possible vol increase due to Iran and want to set it up at the same level with more time</t>
  </si>
  <si>
    <t>BMY</t>
  </si>
  <si>
    <t>GLB anticipation</t>
  </si>
  <si>
    <t>UEC</t>
  </si>
  <si>
    <t>NVTS</t>
  </si>
  <si>
    <t>Breakout from consolidation range</t>
  </si>
  <si>
    <t>UNG</t>
  </si>
  <si>
    <t>FIG</t>
  </si>
  <si>
    <t>Possible slingshot</t>
  </si>
  <si>
    <t>USO</t>
  </si>
  <si>
    <t>LION</t>
  </si>
  <si>
    <t>Just a YOLO short term play for a possible additional run above 10</t>
  </si>
  <si>
    <t>XRAY</t>
  </si>
  <si>
    <t>PEADS momentum play</t>
  </si>
  <si>
    <t>NAT</t>
  </si>
  <si>
    <t>Cheap bet on additional squeezes</t>
  </si>
  <si>
    <t>LASR</t>
  </si>
  <si>
    <t>Positive earnings, sold, showed strength above 20 ema, testing a reversal.</t>
  </si>
  <si>
    <t>MNST</t>
  </si>
  <si>
    <t>Longer term trend following attempt</t>
  </si>
  <si>
    <t>WMT</t>
  </si>
  <si>
    <t>TIGO</t>
  </si>
  <si>
    <t>Positive earnings. Accidental buy due to missed order.</t>
  </si>
  <si>
    <t>XLE</t>
  </si>
  <si>
    <t>Not sure if bullish trade continues but seeing strong support at the 440 level an want to play it so that it also works when we get a more significant pullback</t>
  </si>
  <si>
    <t>Need to try to take advantage of the high IV. Going far OTM with an additional buffer</t>
  </si>
  <si>
    <t>ZB</t>
  </si>
  <si>
    <t>SNY</t>
  </si>
  <si>
    <t>On the bottom of it's range with large volume. Playing it to both sides</t>
  </si>
  <si>
    <t>POET</t>
  </si>
  <si>
    <t>Rise before earnings. Playing for breakout to ATH</t>
  </si>
  <si>
    <t>NCLH</t>
  </si>
  <si>
    <t>Further weaknes after earnings and influence of global tension on cruises</t>
  </si>
  <si>
    <t>Trend following because of new breakout strength</t>
  </si>
  <si>
    <t>CM</t>
  </si>
  <si>
    <t>Trend following on 20MA strength</t>
  </si>
  <si>
    <t>SBS</t>
  </si>
  <si>
    <t>Rebound to follow 20MA</t>
  </si>
  <si>
    <t>JD</t>
  </si>
  <si>
    <t xml:space="preserve">PEADS slingshot </t>
  </si>
  <si>
    <t>Long term bearish trade to return to normal range after war</t>
  </si>
  <si>
    <t>FXI</t>
  </si>
  <si>
    <t xml:space="preserve">Potential bottoming and mid term reversal to strength </t>
  </si>
  <si>
    <t>EWZ</t>
  </si>
  <si>
    <t>Used Synthetic long with 111 element because I expect it to go either up or down but likely not stay at the current level</t>
  </si>
  <si>
    <t>Buying the follow through of a GLB</t>
  </si>
  <si>
    <t>Further following of the MA20 expected down. Not much support below 100</t>
  </si>
  <si>
    <t>VRT</t>
  </si>
  <si>
    <t>GLB with follow though?</t>
  </si>
  <si>
    <t>RGNX</t>
  </si>
  <si>
    <t>Breakout above all MAs</t>
  </si>
  <si>
    <t>DFTX</t>
  </si>
  <si>
    <t>GLB after one month consolidation</t>
  </si>
  <si>
    <t>CBZ</t>
  </si>
  <si>
    <t>Breakout below range. Testing a short</t>
  </si>
  <si>
    <t>PURR</t>
  </si>
  <si>
    <t>Strong Volume GLB</t>
  </si>
  <si>
    <t xml:space="preserve">Would have never bought it if I would have read what the company actually does. </t>
  </si>
  <si>
    <t>XXI</t>
  </si>
  <si>
    <t>Strong 20/10/5 MA Cross</t>
  </si>
  <si>
    <t>Opened</t>
  </si>
  <si>
    <t>Closed</t>
  </si>
  <si>
    <t>DIT</t>
  </si>
  <si>
    <t>DTE</t>
  </si>
  <si>
    <t>Status</t>
  </si>
  <si>
    <t>CurrentSetup</t>
  </si>
  <si>
    <t>Strikes</t>
  </si>
  <si>
    <t>Pnl</t>
  </si>
  <si>
    <t>UnrPnL%</t>
  </si>
  <si>
    <t>RelizedPnL%</t>
  </si>
  <si>
    <t>TimeValue</t>
  </si>
  <si>
    <t>ROIC</t>
  </si>
  <si>
    <t>Position</t>
  </si>
  <si>
    <t>Last Price</t>
  </si>
  <si>
    <t>RelizedPnL</t>
  </si>
  <si>
    <t>ContractId</t>
  </si>
  <si>
    <t>Exipry</t>
  </si>
  <si>
    <t>Pos</t>
  </si>
  <si>
    <t>Right</t>
  </si>
  <si>
    <t>Strike</t>
  </si>
  <si>
    <t>Cost</t>
  </si>
  <si>
    <t>Commision</t>
  </si>
  <si>
    <t>Multiplier</t>
  </si>
  <si>
    <t>Last</t>
  </si>
  <si>
    <t>Close</t>
  </si>
  <si>
    <t>LastValue</t>
  </si>
  <si>
    <t>UnrPnLValue</t>
  </si>
  <si>
    <t>IV</t>
  </si>
  <si>
    <t>Debit Profit</t>
  </si>
  <si>
    <t>654857559</t>
  </si>
  <si>
    <t>P</t>
  </si>
  <si>
    <t>743364516</t>
  </si>
  <si>
    <t>743364543</t>
  </si>
  <si>
    <t>835961759</t>
  </si>
  <si>
    <t>C</t>
  </si>
  <si>
    <t>838386220</t>
  </si>
  <si>
    <t>653218738</t>
  </si>
  <si>
    <t>653181470</t>
  </si>
  <si>
    <t>632597879</t>
  </si>
  <si>
    <t>632873242</t>
  </si>
  <si>
    <t>423570500</t>
  </si>
  <si>
    <t>611222326</t>
  </si>
  <si>
    <t>611224675</t>
  </si>
  <si>
    <t>611228248</t>
  </si>
  <si>
    <t>822561791</t>
  </si>
  <si>
    <t>731136390</t>
  </si>
  <si>
    <t>823920925</t>
  </si>
  <si>
    <t>836475060</t>
  </si>
  <si>
    <t>836475137</t>
  </si>
  <si>
    <t>819915783</t>
  </si>
  <si>
    <t>820648667</t>
  </si>
  <si>
    <t>755225456</t>
  </si>
  <si>
    <t>807438350</t>
  </si>
  <si>
    <t>843130638</t>
  </si>
  <si>
    <t>834336433</t>
  </si>
  <si>
    <t>840049788</t>
  </si>
  <si>
    <t>840050040</t>
  </si>
  <si>
    <t>840050800</t>
  </si>
  <si>
    <t>839624524</t>
  </si>
  <si>
    <t>829008412</t>
  </si>
  <si>
    <t>391697535</t>
  </si>
  <si>
    <t>617006161</t>
  </si>
  <si>
    <t>632873480</t>
  </si>
  <si>
    <t>822561805</t>
  </si>
  <si>
    <t>838449024</t>
  </si>
  <si>
    <t>818060089</t>
  </si>
  <si>
    <t>818720865</t>
  </si>
  <si>
    <t>684202741</t>
  </si>
  <si>
    <t>792637657</t>
  </si>
  <si>
    <t>792638789</t>
  </si>
  <si>
    <t>738125754</t>
  </si>
  <si>
    <t>738125788</t>
  </si>
  <si>
    <t>839667731</t>
  </si>
  <si>
    <t>839970321</t>
  </si>
  <si>
    <t>803413392</t>
  </si>
  <si>
    <t>803413426</t>
  </si>
  <si>
    <t>792697646</t>
  </si>
  <si>
    <t>NO_CONTRACT</t>
  </si>
  <si>
    <t>825926528</t>
  </si>
  <si>
    <t>833753982</t>
  </si>
  <si>
    <t>840010064</t>
  </si>
  <si>
    <t>840010131</t>
  </si>
  <si>
    <t>822561950</t>
  </si>
  <si>
    <t>797543557</t>
  </si>
  <si>
    <t>799963394</t>
  </si>
  <si>
    <t>839947563</t>
  </si>
  <si>
    <t>757660355</t>
  </si>
  <si>
    <t>807425144</t>
  </si>
  <si>
    <t>818347747</t>
  </si>
  <si>
    <t>819945559</t>
  </si>
  <si>
    <t>756975851</t>
  </si>
  <si>
    <t/>
  </si>
  <si>
    <t>756976204</t>
  </si>
  <si>
    <t>846267558</t>
  </si>
  <si>
    <t>835962512</t>
  </si>
  <si>
    <t>821950673</t>
  </si>
  <si>
    <t>822225455</t>
  </si>
  <si>
    <t>847287427</t>
  </si>
  <si>
    <t>758813536</t>
  </si>
  <si>
    <t>797277971</t>
  </si>
  <si>
    <t>797279230</t>
  </si>
  <si>
    <t>757006802</t>
  </si>
  <si>
    <t>757006857</t>
  </si>
  <si>
    <t>840097531</t>
  </si>
  <si>
    <t>840061056</t>
  </si>
  <si>
    <t>839927424</t>
  </si>
  <si>
    <t>800041005</t>
  </si>
  <si>
    <t>800041090</t>
  </si>
  <si>
    <t>800916079</t>
  </si>
  <si>
    <t>756972495</t>
  </si>
  <si>
    <t>756974301</t>
  </si>
  <si>
    <t>756995353</t>
  </si>
  <si>
    <t>824890186</t>
  </si>
  <si>
    <t>827436877</t>
  </si>
  <si>
    <t>801577079</t>
  </si>
  <si>
    <t>843106504</t>
  </si>
  <si>
    <t>845724817</t>
  </si>
  <si>
    <t>807848702</t>
  </si>
  <si>
    <t>753834321</t>
  </si>
  <si>
    <t>753834349</t>
  </si>
  <si>
    <t>767333512</t>
  </si>
  <si>
    <t>825223035</t>
  </si>
  <si>
    <t>758585991</t>
  </si>
  <si>
    <t>796960130</t>
  </si>
  <si>
    <t>769169313</t>
  </si>
  <si>
    <t>846514532</t>
  </si>
  <si>
    <t>843090925</t>
  </si>
  <si>
    <t>757668225</t>
  </si>
  <si>
    <t>800240195</t>
  </si>
  <si>
    <t>800887936</t>
  </si>
  <si>
    <t>800887990</t>
  </si>
  <si>
    <t>754129217</t>
  </si>
  <si>
    <t>754130532</t>
  </si>
  <si>
    <t>842726156</t>
  </si>
  <si>
    <t>756971451</t>
  </si>
  <si>
    <t>838448966</t>
  </si>
  <si>
    <t>756995778</t>
  </si>
  <si>
    <t>800041175</t>
  </si>
  <si>
    <t>829452524</t>
  </si>
  <si>
    <t>829452587</t>
  </si>
  <si>
    <t>827949809</t>
  </si>
  <si>
    <t>827949841</t>
  </si>
  <si>
    <t>846243556</t>
  </si>
  <si>
    <t>846715564</t>
  </si>
  <si>
    <t>817244936</t>
  </si>
  <si>
    <t>846279231</t>
  </si>
  <si>
    <t>850915815</t>
  </si>
  <si>
    <t>853482854</t>
  </si>
  <si>
    <t>756996416</t>
  </si>
  <si>
    <t>757699700</t>
  </si>
  <si>
    <t>819967560</t>
  </si>
  <si>
    <t>764288137</t>
  </si>
  <si>
    <t>757021059</t>
  </si>
  <si>
    <t>757003673</t>
  </si>
  <si>
    <t>757018325</t>
  </si>
  <si>
    <t>772352765</t>
  </si>
  <si>
    <t>825223155</t>
  </si>
  <si>
    <t>852304020</t>
  </si>
  <si>
    <t>757639827</t>
  </si>
  <si>
    <t>756939986</t>
  </si>
  <si>
    <t>756940046</t>
  </si>
  <si>
    <t>807096704</t>
  </si>
  <si>
    <t>763687144</t>
  </si>
  <si>
    <t>800203585</t>
  </si>
  <si>
    <t>776882193</t>
  </si>
  <si>
    <t>829495065</t>
  </si>
  <si>
    <t>846215673</t>
  </si>
  <si>
    <t>757016577</t>
  </si>
  <si>
    <t>757016757</t>
  </si>
  <si>
    <t>806925390</t>
  </si>
  <si>
    <t>801350557</t>
  </si>
  <si>
    <t>856344159</t>
  </si>
  <si>
    <t>848410249</t>
  </si>
  <si>
    <t>848883559</t>
  </si>
  <si>
    <t>799974714</t>
  </si>
  <si>
    <t>807307137</t>
  </si>
  <si>
    <t>846537161</t>
  </si>
  <si>
    <t>853497106</t>
  </si>
  <si>
    <t>838402863</t>
  </si>
  <si>
    <t>838402971</t>
  </si>
  <si>
    <t>838403012</t>
  </si>
  <si>
    <t>770314965</t>
  </si>
  <si>
    <t>770315054</t>
  </si>
  <si>
    <t>807848840</t>
  </si>
  <si>
    <t>807082364</t>
  </si>
  <si>
    <t>853179100</t>
  </si>
  <si>
    <t>856442131</t>
  </si>
  <si>
    <t>856442678</t>
  </si>
  <si>
    <t>807238127</t>
  </si>
  <si>
    <t>807270072</t>
  </si>
  <si>
    <t>781007995</t>
  </si>
  <si>
    <t>809014289</t>
  </si>
  <si>
    <t>784621141</t>
  </si>
  <si>
    <t>822257587</t>
  </si>
  <si>
    <t>858692111</t>
  </si>
  <si>
    <t>858692747</t>
  </si>
  <si>
    <t>771122866</t>
  </si>
  <si>
    <t>778825732</t>
  </si>
  <si>
    <t>778826366</t>
  </si>
  <si>
    <t>824615663</t>
  </si>
  <si>
    <t>824616760</t>
  </si>
  <si>
    <t>806891838</t>
  </si>
  <si>
    <t>806891921</t>
  </si>
  <si>
    <t>818673090</t>
  </si>
  <si>
    <t>PosChange</t>
  </si>
  <si>
    <t>Price</t>
  </si>
  <si>
    <t>Last Pos</t>
  </si>
  <si>
    <t>Total Pos</t>
  </si>
  <si>
    <t xml:space="preserve">AVG Price </t>
  </si>
  <si>
    <t>Comission</t>
  </si>
  <si>
    <t>PrevRow</t>
  </si>
  <si>
    <t>ID</t>
  </si>
  <si>
    <t>Instrument</t>
  </si>
  <si>
    <t>Latest Note</t>
  </si>
  <si>
    <t>Entry</t>
  </si>
  <si>
    <t>Exit</t>
  </si>
  <si>
    <t>F1</t>
  </si>
  <si>
    <t>M6E</t>
  </si>
  <si>
    <t>Shorted a day to early</t>
  </si>
  <si>
    <t>F2</t>
  </si>
  <si>
    <t>F3</t>
  </si>
  <si>
    <t>F4</t>
  </si>
  <si>
    <t>F5</t>
  </si>
  <si>
    <t>F6</t>
  </si>
  <si>
    <t>F7</t>
  </si>
  <si>
    <t>F8</t>
  </si>
  <si>
    <t>F9</t>
  </si>
  <si>
    <t>F10</t>
  </si>
  <si>
    <t>F11</t>
  </si>
  <si>
    <t>F12</t>
  </si>
  <si>
    <t>F13</t>
  </si>
  <si>
    <t>F</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</si>
  <si>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</si>
  <si>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</si>
  <si>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</si>
  <si>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</si>
  <si>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</si>
  <si>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</si>
  <si>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</si>
  <si>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</si>
  <si>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</si>
  <si>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</si>
  <si>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</si>
  <si>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</si>
  <si>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</si>
  <si>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</si>
  <si>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</si>
  <si>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</si>
  <si>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</si>
  <si>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</si>
  <si>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</si>
  <si>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</si>
  <si>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</si>
  <si>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</si>
  <si>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</si>
  <si>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</si>
  <si>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</si>
  <si>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</si>
  <si>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</si>
  <si>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</si>
  <si>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DateTime</t>
  </si>
  <si>
    <t>Underlying</t>
  </si>
  <si>
    <t>nan</t>
  </si>
  <si>
    <t>NaN</t>
  </si>
  <si>
    <t>PEADS, Momentum, Breakout, Green Line Breakout, Slingshot</t>
  </si>
  <si>
    <t>AVG DOWN</t>
  </si>
  <si>
    <t>AVG UP</t>
  </si>
  <si>
    <t xml:space="preserve">Entries: </t>
  </si>
  <si>
    <t>AVG</t>
  </si>
  <si>
    <t>Annulized IV</t>
  </si>
  <si>
    <t>ExpectedMove</t>
  </si>
  <si>
    <t>Min2Sigma</t>
  </si>
  <si>
    <t>Min1Sigma</t>
  </si>
  <si>
    <t>Max1Sigma</t>
  </si>
  <si>
    <t>Max2Sigma</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</si>
</sst>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0.000"/>
    <numFmt numFmtId="166" formatCode="#,##0.0000"/>
    <numFmt numFmtId="167" formatCode="0.0"/>
    <numFmt numFmtId="168" formatCode="yyyy&quot;-&quot;mm&quot;-&quot;dd"/>
    <numFmt numFmtId="169" formatCode="0.00000"/>
    <numFmt numFmtId="170" formatCode="0.0000"/>
    <numFmt numFmtId="171" formatCode="yyyy-mm-dd h:mm:ss"/>
    <numFmt numFmtId="172" formatCode="0.000000"/>
    <numFmt numFmtId="173" formatCode="yyyy&quot;-&quot;mm&quot;-&quot;dd&quot; &quot;hh&quot;:&quot;mm&quot;:&quot;ss"/>
  </numFmts>
  <fonts count="7">
    <font>
      <sz val="10.0"/>
      <color rgb="FF000000"/>
      <name val="Arial"/>
      <scheme val="minor"/>
    </font>
    <font>
      <color theme="1"/>
      <name val="Arial"/>
      <scheme val="minor"/>
    </font>
    <font>
      <color theme="1"/>
      <name val="Roboto"/>
    </font>
    <font>
      <color rgb="FF434343"/>
      <name val="Roboto"/>
    </font>
    <font>
      <color theme="1"/>
      <name val="Arial"/>
    </font>
    <font>
      <color rgb="FFFFFFFF"/>
      <name val="Roboto"/>
    </font>
    <font>
      <color rgb="FF1F1F1F"/>
      <name val="&quot;Google Sans Mono&quot;"/>
    </font>
  </fonts>
  <fills count="7">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356854"/>
        <bgColor rgb="FF356854"/>
      </patternFill>
    </fill>
    <fill>
      <patternFill patternType="solid">
        <fgColor rgb="FFF4FBF7"/>
        <bgColor rgb="FFF4FBF7"/>
      </patternFill>
    </fill>
    <fill>
      <patternFill patternType="solid">
        <fgColor rgb="FFF0F4F9"/>
        <bgColor rgb="FFF0F4F9"/>
      </patternFill>
    </fill>
  </fills>
  <borders count="11">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F4FBF7"/>
      </left>
      <right style="thin">
        <color rgb="FFF4FBF7"/>
      </right>
      <top style="thin">
        <color rgb="FFF4FBF7"/>
      </top>
      <bottom style="thin">
        <color rgb="FFF4FBF7"/>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2" fontId="3" numFmtId="0" xfId="0" applyAlignment="1" applyFill="1" applyFont="1">
      <alignment shrinkToFit="0" vertical="center" wrapText="0"/>
    </xf>
    <xf borderId="0" fillId="0" fontId="1" numFmtId="0" xfId="0" applyAlignment="1" applyFont="1">
      <alignment shrinkToFit="0" vertical="center" wrapText="0"/>
    </xf>
    <xf borderId="0" fillId="3" fontId="3" numFmtId="0" xfId="0" applyAlignment="1" applyFill="1" applyFont="1">
      <alignment shrinkToFit="0" vertical="center" wrapText="0"/>
    </xf>
    <xf borderId="0" fillId="0" fontId="4" numFmtId="0" xfId="0" applyAlignment="1" applyFont="1">
      <alignment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1" numFmtId="0" xfId="0" applyAlignment="1" applyFont="1">
      <alignment horizontal="center" readingOrder="0" shrinkToFit="0" vertical="center" wrapText="1"/>
    </xf>
    <xf borderId="0" fillId="0" fontId="1" numFmtId="49" xfId="0" applyAlignment="1" applyFont="1" applyNumberFormat="1">
      <alignment horizontal="left" readingOrder="0" shrinkToFit="0" vertical="center" wrapText="0"/>
    </xf>
    <xf borderId="1" fillId="4" fontId="5" numFmtId="0" xfId="0" applyAlignment="1" applyBorder="1" applyFill="1" applyFont="1">
      <alignment horizontal="left" readingOrder="0" shrinkToFit="0" vertical="center" wrapText="0"/>
    </xf>
    <xf borderId="1" fillId="4" fontId="5" numFmtId="0" xfId="0" applyAlignment="1" applyBorder="1" applyFont="1">
      <alignment horizontal="left" readingOrder="0" shrinkToFit="0" vertical="center" wrapText="0"/>
    </xf>
    <xf borderId="2" fillId="4" fontId="5" numFmtId="0" xfId="0" applyAlignment="1" applyBorder="1" applyFont="1">
      <alignment horizontal="left" readingOrder="0" shrinkToFit="0" vertical="center" wrapText="0"/>
    </xf>
    <xf borderId="0" fillId="4" fontId="5" numFmtId="0" xfId="0" applyAlignment="1" applyFont="1">
      <alignment horizontal="left" readingOrder="0" shrinkToFit="0" vertical="center" wrapText="0"/>
    </xf>
    <xf borderId="3" fillId="2" fontId="3" numFmtId="164" xfId="0" applyAlignment="1" applyBorder="1" applyFont="1" applyNumberFormat="1">
      <alignment horizontal="right" shrinkToFit="0" vertical="center" wrapText="0"/>
    </xf>
    <xf borderId="4" fillId="2" fontId="3" numFmtId="0" xfId="0" applyAlignment="1" applyBorder="1" applyFont="1">
      <alignment horizontal="right" readingOrder="0" shrinkToFit="0" vertical="center" wrapText="0"/>
    </xf>
    <xf borderId="4" fillId="2" fontId="3" numFmtId="0" xfId="0" applyAlignment="1" applyBorder="1" applyFont="1">
      <alignment horizontal="right" shrinkToFit="0" vertical="center" wrapText="0"/>
    </xf>
    <xf borderId="5" fillId="2" fontId="3" numFmtId="165" xfId="0" applyAlignment="1" applyBorder="1" applyFont="1" applyNumberFormat="1">
      <alignment horizontal="right" shrinkToFit="0" vertical="center" wrapText="0"/>
    </xf>
    <xf borderId="0" fillId="0" fontId="1" numFmtId="4" xfId="0" applyAlignment="1" applyFont="1" applyNumberFormat="1">
      <alignment shrinkToFit="0" vertical="center" wrapText="0"/>
    </xf>
    <xf borderId="0" fillId="0" fontId="1" numFmtId="4" xfId="0" applyAlignment="1" applyFont="1" applyNumberFormat="1">
      <alignment readingOrder="0" shrinkToFit="0" vertical="center" wrapText="0"/>
    </xf>
    <xf borderId="0" fillId="0" fontId="1" numFmtId="166" xfId="0" applyAlignment="1" applyFont="1" applyNumberFormat="1">
      <alignment horizontal="center" readingOrder="0" shrinkToFit="0" vertical="center" wrapText="1"/>
    </xf>
    <xf borderId="0" fillId="0" fontId="1" numFmtId="1"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2" xfId="0" applyAlignment="1" applyFont="1" applyNumberFormat="1">
      <alignment readingOrder="0"/>
    </xf>
    <xf borderId="0" fillId="0" fontId="1" numFmtId="0" xfId="0" applyAlignment="1" applyFont="1">
      <alignment readingOrder="0"/>
    </xf>
    <xf borderId="6" fillId="0" fontId="1" numFmtId="49" xfId="0" applyBorder="1" applyFont="1" applyNumberFormat="1"/>
    <xf borderId="6" fillId="0" fontId="1" numFmtId="0" xfId="0" applyBorder="1" applyFont="1"/>
    <xf borderId="0" fillId="0" fontId="1" numFmtId="49" xfId="0" applyFont="1" applyNumberFormat="1"/>
    <xf borderId="0" fillId="0" fontId="1" numFmtId="0" xfId="0" applyFont="1"/>
    <xf borderId="0" fillId="0" fontId="1" numFmtId="165"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7" fillId="3" fontId="3" numFmtId="0" xfId="0" applyAlignment="1" applyBorder="1" applyFont="1">
      <alignment shrinkToFit="0" vertical="center" wrapText="0"/>
    </xf>
    <xf borderId="8" fillId="3" fontId="3" numFmtId="164" xfId="0" applyAlignment="1" applyBorder="1" applyFont="1" applyNumberFormat="1">
      <alignment horizontal="right" shrinkToFit="0" vertical="center" wrapText="0"/>
    </xf>
    <xf borderId="8" fillId="3" fontId="3" numFmtId="0" xfId="0" applyAlignment="1" applyBorder="1" applyFont="1">
      <alignment shrinkToFit="0" vertical="center" wrapText="0"/>
    </xf>
    <xf borderId="8" fillId="3" fontId="3" numFmtId="0" xfId="0" applyAlignment="1" applyBorder="1" applyFont="1">
      <alignment shrinkToFit="0" vertical="center" wrapText="1"/>
    </xf>
    <xf borderId="8" fillId="3" fontId="3" numFmtId="0" xfId="0" applyAlignment="1" applyBorder="1" applyFont="1">
      <alignment readingOrder="0" shrinkToFit="0" vertical="center" wrapText="1"/>
    </xf>
    <xf borderId="8" fillId="3" fontId="3" numFmtId="0" xfId="0" applyAlignment="1" applyBorder="1" applyFont="1">
      <alignment readingOrder="0" shrinkToFit="0" vertical="center" wrapText="1"/>
    </xf>
    <xf borderId="8" fillId="3" fontId="4" numFmtId="0" xfId="0" applyAlignment="1" applyBorder="1" applyFont="1">
      <alignment readingOrder="0" shrinkToFit="0" vertical="center" wrapText="0"/>
    </xf>
    <xf borderId="8" fillId="3" fontId="3" numFmtId="0" xfId="0" applyAlignment="1" applyBorder="1" applyFont="1">
      <alignment horizontal="center" readingOrder="0" shrinkToFit="0" vertical="center" wrapText="1"/>
    </xf>
    <xf borderId="8" fillId="3" fontId="3" numFmtId="0" xfId="0" applyAlignment="1" applyBorder="1" applyFont="1">
      <alignment horizontal="center" shrinkToFit="0" vertical="center" wrapText="1"/>
    </xf>
    <xf borderId="8" fillId="3" fontId="3" numFmtId="167" xfId="0" applyAlignment="1" applyBorder="1" applyFont="1" applyNumberFormat="1">
      <alignment readingOrder="0" shrinkToFit="0" vertical="center" wrapText="1"/>
    </xf>
    <xf borderId="8" fillId="3" fontId="3" numFmtId="2" xfId="0" applyAlignment="1" applyBorder="1" applyFont="1" applyNumberFormat="1">
      <alignment readingOrder="0" shrinkToFit="0" vertical="center" wrapText="1"/>
    </xf>
    <xf borderId="8" fillId="3" fontId="4" numFmtId="167" xfId="0" applyAlignment="1" applyBorder="1" applyFont="1" applyNumberFormat="1">
      <alignment shrinkToFit="0" vertical="center" wrapText="0"/>
    </xf>
    <xf borderId="9" fillId="3" fontId="3" numFmtId="0" xfId="0" applyAlignment="1" applyBorder="1" applyFont="1">
      <alignment shrinkToFit="0" vertical="center" wrapText="1"/>
    </xf>
    <xf borderId="0" fillId="0" fontId="1" numFmtId="0" xfId="0" applyAlignment="1" applyFont="1">
      <alignment shrinkToFit="0" vertical="center" wrapText="1"/>
    </xf>
    <xf borderId="0" fillId="3" fontId="3" numFmtId="0" xfId="0" applyAlignment="1" applyFont="1">
      <alignment shrinkToFit="0" vertical="center" wrapText="0"/>
    </xf>
    <xf borderId="0" fillId="3" fontId="3" numFmtId="164" xfId="0" applyAlignment="1" applyFont="1" applyNumberFormat="1">
      <alignment horizontal="right" shrinkToFit="0" vertical="center" wrapText="0"/>
    </xf>
    <xf borderId="0" fillId="3" fontId="3" numFmtId="0" xfId="0" applyAlignment="1" applyFont="1">
      <alignment shrinkToFit="0" vertical="center" wrapText="1"/>
    </xf>
    <xf borderId="0" fillId="3" fontId="3" numFmtId="0" xfId="0" applyAlignment="1" applyFont="1">
      <alignment shrinkToFit="0" vertical="center" wrapText="1"/>
    </xf>
    <xf borderId="0" fillId="3" fontId="3" numFmtId="0" xfId="0" applyAlignment="1" applyFont="1">
      <alignment shrinkToFit="0" vertical="center" wrapText="1"/>
    </xf>
    <xf borderId="0" fillId="3" fontId="3" numFmtId="0" xfId="0" applyAlignment="1" applyFont="1">
      <alignment readingOrder="0" shrinkToFit="0" vertical="center" wrapText="1"/>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3" fontId="3" numFmtId="167" xfId="0" applyAlignment="1" applyFont="1" applyNumberFormat="1">
      <alignment readingOrder="0" shrinkToFit="0" vertical="center" wrapText="1"/>
    </xf>
    <xf borderId="0" fillId="3" fontId="3" numFmtId="2" xfId="0" applyAlignment="1" applyFont="1" applyNumberFormat="1">
      <alignment readingOrder="0" shrinkToFit="0" vertical="center" wrapText="1"/>
    </xf>
    <xf borderId="0" fillId="3" fontId="3" numFmtId="167" xfId="0" applyAlignment="1" applyFont="1" applyNumberFormat="1">
      <alignment shrinkToFit="0" vertical="center" wrapText="1"/>
    </xf>
    <xf borderId="0" fillId="3" fontId="3" numFmtId="0" xfId="0" applyAlignment="1" applyFont="1">
      <alignment shrinkToFit="0" vertical="center" wrapText="1"/>
    </xf>
    <xf borderId="0" fillId="3" fontId="4" numFmtId="0" xfId="0" applyAlignment="1" applyFont="1">
      <alignment shrinkToFit="0" vertical="center" wrapText="0"/>
    </xf>
    <xf borderId="0" fillId="0" fontId="1" numFmtId="167" xfId="0" applyAlignment="1" applyFont="1" applyNumberFormat="1">
      <alignment readingOrder="0" shrinkToFit="0" vertical="center" wrapText="1"/>
    </xf>
    <xf borderId="0" fillId="0" fontId="1" numFmtId="167" xfId="0" applyAlignment="1" applyFont="1" applyNumberFormat="1">
      <alignment shrinkToFit="0" vertical="center" wrapText="1"/>
    </xf>
    <xf borderId="7" fillId="0" fontId="1" numFmtId="0" xfId="0" applyAlignment="1" applyBorder="1" applyFont="1">
      <alignment readingOrder="0" shrinkToFit="0" vertical="center" wrapText="0"/>
    </xf>
    <xf borderId="8"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1"/>
    </xf>
    <xf borderId="8" fillId="0" fontId="1" numFmtId="0" xfId="0" applyAlignment="1" applyBorder="1" applyFont="1">
      <alignment readingOrder="0" shrinkToFit="0" vertical="center" wrapText="1"/>
    </xf>
    <xf borderId="8" fillId="0" fontId="1"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1"/>
    </xf>
    <xf borderId="8" fillId="0" fontId="1" numFmtId="167" xfId="0" applyAlignment="1" applyBorder="1" applyFont="1" applyNumberFormat="1">
      <alignment readingOrder="0" shrinkToFit="0" vertical="center" wrapText="1"/>
    </xf>
    <xf borderId="8" fillId="0" fontId="1" numFmtId="0" xfId="0" applyAlignment="1" applyBorder="1" applyFont="1">
      <alignment shrinkToFit="0" vertical="center" wrapText="1"/>
    </xf>
    <xf borderId="8" fillId="0" fontId="1" numFmtId="0" xfId="0" applyAlignment="1" applyBorder="1" applyFont="1">
      <alignment readingOrder="0" shrinkToFit="0" vertical="center" wrapText="1"/>
    </xf>
    <xf borderId="0" fillId="0" fontId="1" numFmtId="2" xfId="0" applyAlignment="1" applyFont="1" applyNumberFormat="1">
      <alignment readingOrder="0" shrinkToFit="0" vertical="center" wrapText="1"/>
    </xf>
    <xf borderId="0" fillId="0" fontId="1" numFmtId="167" xfId="0" applyAlignment="1" applyFont="1" applyNumberFormat="1">
      <alignment shrinkToFit="0" vertical="center" wrapText="0"/>
    </xf>
    <xf borderId="0" fillId="0" fontId="1" numFmtId="2" xfId="0" applyAlignment="1" applyFont="1" applyNumberFormat="1">
      <alignment readingOrder="0" shrinkToFit="0" vertical="center" wrapText="0"/>
    </xf>
    <xf borderId="0" fillId="0" fontId="1" numFmtId="168" xfId="0" applyAlignment="1" applyFont="1" applyNumberFormat="1">
      <alignment horizontal="right"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167" xfId="0" applyAlignment="1" applyFont="1" applyNumberFormat="1">
      <alignment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49" xfId="0" applyAlignment="1" applyFont="1" applyNumberFormat="1">
      <alignment shrinkToFit="0" vertical="center" wrapText="0"/>
    </xf>
    <xf borderId="0" fillId="0" fontId="1" numFmtId="2" xfId="0" applyAlignment="1" applyFont="1" applyNumberFormat="1">
      <alignment shrinkToFit="0" vertical="center" wrapText="0"/>
    </xf>
    <xf borderId="0" fillId="0" fontId="1" numFmtId="0" xfId="0" applyAlignment="1" applyFont="1">
      <alignment shrinkToFit="0" vertical="center" wrapText="0"/>
    </xf>
    <xf borderId="0" fillId="0" fontId="1" numFmtId="166" xfId="0" applyAlignment="1" applyFont="1" applyNumberFormat="1">
      <alignment shrinkToFit="0" vertical="center" wrapText="0"/>
    </xf>
    <xf borderId="0" fillId="0" fontId="1" numFmtId="169" xfId="0" applyAlignment="1" applyFont="1" applyNumberFormat="1">
      <alignment shrinkToFit="0" vertical="center" wrapText="0"/>
    </xf>
    <xf borderId="0" fillId="0" fontId="1" numFmtId="1" xfId="0" applyAlignment="1" applyFont="1" applyNumberFormat="1">
      <alignment shrinkToFit="0" vertical="center" wrapText="0"/>
    </xf>
    <xf borderId="0" fillId="0" fontId="1" numFmtId="165" xfId="0" applyAlignment="1" applyFont="1" applyNumberFormat="1">
      <alignment shrinkToFit="0" vertical="center" wrapText="0"/>
    </xf>
    <xf borderId="0" fillId="0" fontId="1" numFmtId="2" xfId="0" applyAlignment="1" applyFont="1" applyNumberFormat="1">
      <alignment shrinkToFit="0" vertical="center" wrapText="0"/>
    </xf>
    <xf borderId="0" fillId="0" fontId="1" numFmtId="49" xfId="0" applyAlignment="1" applyFont="1" applyNumberFormat="1">
      <alignment horizontal="center" readingOrder="0" shrinkToFit="0" vertical="center" wrapText="0"/>
    </xf>
    <xf borderId="0" fillId="0" fontId="1" numFmtId="4" xfId="0" applyAlignment="1" applyFont="1" applyNumberFormat="1">
      <alignment horizontal="center" readingOrder="0" shrinkToFit="0" vertical="center" wrapText="0"/>
    </xf>
    <xf borderId="0" fillId="0" fontId="1" numFmtId="4"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 xfId="0" applyAlignment="1" applyFont="1" applyNumberFormat="1">
      <alignment readingOrder="0" shrinkToFit="0" vertical="center" wrapText="0"/>
    </xf>
    <xf borderId="8" fillId="3" fontId="4" numFmtId="0" xfId="0" applyAlignment="1" applyBorder="1" applyFont="1">
      <alignment readingOrder="0" shrinkToFit="0" vertical="center" wrapText="0"/>
    </xf>
    <xf borderId="8" fillId="3" fontId="3" numFmtId="0" xfId="0" applyAlignment="1" applyBorder="1" applyFont="1">
      <alignment horizontal="right" readingOrder="0" shrinkToFit="0" vertical="center" wrapText="0"/>
    </xf>
    <xf borderId="8" fillId="3" fontId="3" numFmtId="0" xfId="0" applyAlignment="1" applyBorder="1" applyFont="1">
      <alignment horizontal="right" shrinkToFit="0" vertical="center" wrapText="0"/>
    </xf>
    <xf borderId="10" fillId="5" fontId="3" numFmtId="0" xfId="0" applyAlignment="1" applyBorder="1" applyFill="1" applyFont="1">
      <alignment horizontal="right" shrinkToFit="0" vertical="center" wrapText="0"/>
    </xf>
    <xf borderId="0" fillId="3" fontId="3" numFmtId="0" xfId="0" applyAlignment="1" applyFont="1">
      <alignment horizontal="right" shrinkToFit="0" vertical="center" wrapText="0"/>
    </xf>
    <xf borderId="4" fillId="2" fontId="3" numFmtId="4" xfId="0" applyAlignment="1" applyBorder="1" applyFont="1" applyNumberFormat="1">
      <alignment horizontal="right" shrinkToFit="0" vertical="center" wrapText="0"/>
    </xf>
    <xf borderId="0" fillId="3" fontId="3" numFmtId="0" xfId="0" applyAlignment="1" applyFont="1">
      <alignment horizontal="right" shrinkToFit="0" vertical="center" wrapText="0"/>
    </xf>
    <xf borderId="8" fillId="3" fontId="3" numFmtId="2" xfId="0" applyAlignment="1" applyBorder="1" applyFont="1" applyNumberFormat="1">
      <alignment horizontal="right" shrinkToFit="0" vertical="center" wrapText="0"/>
    </xf>
    <xf borderId="8" fillId="3" fontId="3" numFmtId="170" xfId="0" applyAlignment="1" applyBorder="1" applyFont="1" applyNumberFormat="1">
      <alignment horizontal="right" shrinkToFit="0" vertical="center" wrapText="0"/>
    </xf>
    <xf borderId="8" fillId="3" fontId="4" numFmtId="165" xfId="0" applyAlignment="1" applyBorder="1" applyFont="1" applyNumberFormat="1">
      <alignment shrinkToFit="0" vertical="center" wrapText="0"/>
    </xf>
    <xf borderId="0" fillId="0" fontId="1" numFmtId="49"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0" xfId="0" applyAlignment="1" applyFont="1">
      <alignment readingOrder="0" shrinkToFit="0" vertical="center" wrapText="0"/>
    </xf>
    <xf borderId="0" fillId="3" fontId="3" numFmtId="0" xfId="0" applyAlignment="1" applyFont="1">
      <alignment horizontal="right" readingOrder="0" shrinkToFit="0" vertical="center" wrapText="0"/>
    </xf>
    <xf borderId="0" fillId="0" fontId="1" numFmtId="0" xfId="0" applyAlignment="1" applyFont="1">
      <alignment shrinkToFit="0" vertical="center" wrapText="0"/>
    </xf>
    <xf borderId="0" fillId="5" fontId="3" numFmtId="0" xfId="0" applyAlignment="1" applyFont="1">
      <alignment horizontal="right" shrinkToFit="0" vertical="center" wrapText="0"/>
    </xf>
    <xf borderId="0" fillId="2" fontId="3" numFmtId="4" xfId="0" applyAlignment="1" applyFont="1" applyNumberFormat="1">
      <alignment horizontal="right" shrinkToFit="0" vertical="center" wrapText="0"/>
    </xf>
    <xf borderId="0" fillId="3" fontId="3" numFmtId="2" xfId="0" applyAlignment="1" applyFont="1" applyNumberFormat="1">
      <alignment horizontal="right" shrinkToFit="0" vertical="center" wrapText="0"/>
    </xf>
    <xf borderId="0" fillId="3" fontId="3" numFmtId="170" xfId="0" applyAlignment="1" applyFont="1" applyNumberFormat="1">
      <alignment horizontal="right" shrinkToFit="0" vertical="center" wrapText="0"/>
    </xf>
    <xf borderId="0" fillId="3" fontId="4" numFmtId="165" xfId="0" applyAlignment="1" applyFont="1" applyNumberFormat="1">
      <alignment shrinkToFit="0" vertical="center" wrapText="0"/>
    </xf>
    <xf borderId="0" fillId="3" fontId="3" numFmtId="2" xfId="0" applyAlignment="1" applyFont="1" applyNumberFormat="1">
      <alignment shrinkToFit="0" vertical="center" wrapText="0"/>
    </xf>
    <xf borderId="0" fillId="3" fontId="3" numFmtId="170" xfId="0" applyAlignment="1" applyFont="1" applyNumberFormat="1">
      <alignment shrinkToFit="0" vertical="center" wrapText="0"/>
    </xf>
    <xf borderId="0" fillId="0" fontId="1" numFmtId="0" xfId="0" applyAlignment="1" applyFont="1">
      <alignment horizontal="center"/>
    </xf>
    <xf borderId="0" fillId="0" fontId="1" numFmtId="4" xfId="0" applyAlignment="1" applyFont="1" applyNumberFormat="1">
      <alignment horizontal="center"/>
    </xf>
    <xf borderId="0" fillId="0" fontId="1" numFmtId="4" xfId="0" applyFont="1" applyNumberFormat="1"/>
    <xf borderId="0" fillId="0" fontId="1" numFmtId="165" xfId="0" applyFont="1" applyNumberFormat="1"/>
    <xf borderId="0" fillId="0" fontId="1" numFmtId="49" xfId="0" applyAlignment="1" applyFont="1" applyNumberFormat="1">
      <alignment readingOrder="0" shrinkToFit="0" vertical="center" wrapText="0"/>
    </xf>
    <xf borderId="0" fillId="0" fontId="1" numFmtId="171" xfId="0" applyAlignment="1" applyFont="1" applyNumberFormat="1">
      <alignment readingOrder="0" shrinkToFit="0" vertical="center" wrapText="0"/>
    </xf>
    <xf borderId="0" fillId="0" fontId="1" numFmtId="172" xfId="0" applyAlignment="1" applyFont="1" applyNumberFormat="1">
      <alignment readingOrder="0" shrinkToFit="0" vertical="center" wrapText="0"/>
    </xf>
    <xf borderId="0" fillId="0" fontId="1" numFmtId="21" xfId="0" applyFont="1" applyNumberFormat="1"/>
    <xf borderId="0" fillId="0" fontId="1" numFmtId="21" xfId="0" applyAlignment="1" applyFont="1" applyNumberFormat="1">
      <alignment readingOrder="0"/>
    </xf>
    <xf borderId="0" fillId="0" fontId="1" numFmtId="172" xfId="0" applyAlignment="1" applyFont="1" applyNumberFormat="1">
      <alignment shrinkToFit="0" vertical="center" wrapText="0"/>
    </xf>
    <xf borderId="0" fillId="0" fontId="1" numFmtId="0" xfId="0" applyAlignment="1" applyFont="1">
      <alignment shrinkToFit="0" vertical="center" wrapText="0"/>
    </xf>
    <xf borderId="0" fillId="0" fontId="1" numFmtId="173" xfId="0" applyAlignment="1" applyFont="1" applyNumberFormat="1">
      <alignment readingOrder="0" shrinkToFit="0" vertical="center" wrapText="0"/>
    </xf>
    <xf borderId="0" fillId="0" fontId="1" numFmtId="168" xfId="0" applyFont="1" applyNumberFormat="1"/>
    <xf borderId="0" fillId="6" fontId="6" numFmtId="0" xfId="0" applyFill="1" applyFont="1"/>
    <xf borderId="0" fillId="0" fontId="1" numFmtId="0" xfId="0" applyAlignment="1" applyFont="1">
      <alignment readingOrder="0" shrinkToFit="0" wrapText="1"/>
    </xf>
    <xf borderId="0" fillId="0" fontId="1" numFmtId="164"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9">
    <tableStyle count="4" pivot="0" name="Portfolio-style">
      <tableStyleElement dxfId="1" type="headerRow"/>
      <tableStyleElement dxfId="2" type="firstRowStripe"/>
      <tableStyleElement dxfId="3" type="secondRowStripe"/>
      <tableStyleElement dxfId="4" size="0" type="wholeTable"/>
    </tableStyle>
    <tableStyle count="4" pivot="0" name="Portfolio-style 2">
      <tableStyleElement dxfId="1" type="headerRow"/>
      <tableStyleElement dxfId="2" type="firstRowStripe"/>
      <tableStyleElement dxfId="3" type="secondRowStripe"/>
      <tableStyleElement dxfId="4" size="0" type="wholeTable"/>
    </tableStyle>
    <tableStyle count="4" pivot="0" name="Portfolio-style 3">
      <tableStyleElement dxfId="1" type="headerRow"/>
      <tableStyleElement dxfId="2" type="firstRowStripe"/>
      <tableStyleElement dxfId="3" type="secondRowStripe"/>
      <tableStyleElement dxfId="4" size="0" type="wholeTable"/>
    </tableStyle>
    <tableStyle count="4" pivot="0" name="WeeklyPrep-style">
      <tableStyleElement dxfId="1" type="headerRow"/>
      <tableStyleElement dxfId="2" type="firstRowStripe"/>
      <tableStyleElement dxfId="3" type="secondRowStripe"/>
      <tableStyleElement dxfId="4" size="0" type="wholeTable"/>
    </tableStyle>
    <tableStyle count="4" pivot="0" name="NewsLog-style">
      <tableStyleElement dxfId="1" type="headerRow"/>
      <tableStyleElement dxfId="2" type="firstRowStripe"/>
      <tableStyleElement dxfId="3" type="secondRowStripe"/>
      <tableStyleElement dxfId="4" size="0" type="wholeTable"/>
    </tableStyle>
    <tableStyle count="4" pivot="0" name="Capital-style">
      <tableStyleElement dxfId="1" type="headerRow"/>
      <tableStyleElement dxfId="2" type="firstRowStripe"/>
      <tableStyleElement dxfId="3" type="secondRowStripe"/>
      <tableStyleElement dxfId="4" size="0" type="wholeTable"/>
    </tableStyle>
    <tableStyle count="4" pivot="0" name="Capital-style 2">
      <tableStyleElement dxfId="1" type="headerRow"/>
      <tableStyleElement dxfId="2" type="firstRowStripe"/>
      <tableStyleElement dxfId="3" type="secondRowStripe"/>
      <tableStyleElement dxfId="4" size="0" type="wholeTable"/>
    </tableStyle>
    <tableStyle count="4" pivot="0" name="TradeLog-style">
      <tableStyleElement dxfId="1" type="headerRow"/>
      <tableStyleElement dxfId="2" type="firstRowStripe"/>
      <tableStyleElement dxfId="3" type="secondRowStripe"/>
      <tableStyleElement dxfId="4" size="0" type="wholeTable"/>
    </tableStyle>
    <tableStyle count="4" pivot="0" name="TradeLog-style 2">
      <tableStyleElement dxfId="1" type="headerRow"/>
      <tableStyleElement dxfId="2" type="firstRowStripe"/>
      <tableStyleElement dxfId="3" type="secondRowStripe"/>
      <tableStyleElement dxfId="4" size="0" type="wholeTable"/>
    </tableStyle>
    <tableStyle count="4" pivot="0" name="TradeLog-style 3">
      <tableStyleElement dxfId="1" type="headerRow"/>
      <tableStyleElement dxfId="2" type="firstRowStripe"/>
      <tableStyleElement dxfId="3" type="secondRowStripe"/>
      <tableStyleElement dxfId="4" size="0" type="wholeTable"/>
    </tableStyle>
    <tableStyle count="4" pivot="0" name="TradeLog-style 4">
      <tableStyleElement dxfId="1" type="headerRow"/>
      <tableStyleElement dxfId="2" type="firstRowStripe"/>
      <tableStyleElement dxfId="3" type="secondRowStripe"/>
      <tableStyleElement dxfId="4" size="0" type="wholeTable"/>
    </tableStyle>
    <tableStyle count="4" pivot="0" name="TradeLog-style 5">
      <tableStyleElement dxfId="1" type="headerRow"/>
      <tableStyleElement dxfId="2" type="firstRowStripe"/>
      <tableStyleElement dxfId="3" type="secondRowStripe"/>
      <tableStyleElement dxfId="4" size="0" type="wholeTable"/>
    </tableStyle>
    <tableStyle count="4" pivot="0" name="TradeLog-style 6">
      <tableStyleElement dxfId="1" type="headerRow"/>
      <tableStyleElement dxfId="2" type="firstRowStripe"/>
      <tableStyleElement dxfId="3" type="secondRowStripe"/>
      <tableStyleElement dxfId="4" size="0" type="wholeTable"/>
    </tableStyle>
    <tableStyle count="4" pivot="0" name="OptionInstruments-style">
      <tableStyleElement dxfId="1" type="headerRow"/>
      <tableStyleElement dxfId="2" type="firstRowStripe"/>
      <tableStyleElement dxfId="3" type="secondRowStripe"/>
      <tableStyleElement dxfId="4" size="0" type="wholeTable"/>
    </tableStyle>
    <tableStyle count="4" pivot="0" name="StockInstruments-style">
      <tableStyleElement dxfId="1" type="headerRow"/>
      <tableStyleElement dxfId="2" type="firstRowStripe"/>
      <tableStyleElement dxfId="3" type="secondRowStripe"/>
      <tableStyleElement dxfId="4" size="0" type="wholeTable"/>
    </tableStyle>
    <tableStyle count="4" pivot="0" name="OptionPositions-style">
      <tableStyleElement dxfId="1" type="headerRow"/>
      <tableStyleElement dxfId="2" type="firstRowStripe"/>
      <tableStyleElement dxfId="3" type="secondRowStripe"/>
      <tableStyleElement dxfId="4" size="0" type="wholeTable"/>
    </tableStyle>
    <tableStyle count="4" pivot="0" name="StockTrades-style">
      <tableStyleElement dxfId="1" type="headerRow"/>
      <tableStyleElement dxfId="2" type="firstRowStripe"/>
      <tableStyleElement dxfId="3" type="secondRowStripe"/>
      <tableStyleElement dxfId="4" size="0" type="wholeTable"/>
    </tableStyle>
    <tableStyle count="4" pivot="0" name="FutureTrades-style">
      <tableStyleElement dxfId="1" type="headerRow"/>
      <tableStyleElement dxfId="2" type="firstRowStripe"/>
      <tableStyleElement dxfId="3" type="secondRowStripe"/>
      <tableStyleElement dxfId="4" size="0" type="wholeTable"/>
    </tableStyle>
    <tableStyle count="4" pivot="0" name="OptionPositions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Net Liqidity</a:t>
            </a:r>
          </a:p>
        </c:rich>
      </c:tx>
      <c:overlay val="0"/>
    </c:title>
    <c:plotArea>
      <c:layout/>
      <c:lineChart>
        <c:varyColors val="0"/>
        <c:ser>
          <c:idx val="0"/>
          <c:order val="0"/>
          <c:tx>
            <c:strRef>
              <c:f>Capital!$B$1</c:f>
            </c:strRef>
          </c:tx>
          <c:spPr>
            <a:ln cmpd="sng">
              <a:solidFill>
                <a:srgbClr val="4285F4"/>
              </a:solidFill>
            </a:ln>
          </c:spPr>
          <c:marker>
            <c:symbol val="none"/>
          </c:marker>
          <c:cat>
            <c:strRef>
              <c:f>Capital!$A$2:$A$1000</c:f>
            </c:strRef>
          </c:cat>
          <c:val>
            <c:numRef>
              <c:f>Capital!$B$2:$B$1000</c:f>
              <c:numCache/>
            </c:numRef>
          </c:val>
          <c:smooth val="0"/>
        </c:ser>
        <c:axId val="1599065560"/>
        <c:axId val="1575887472"/>
      </c:lineChart>
      <c:catAx>
        <c:axId val="1599065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575887472"/>
      </c:catAx>
      <c:valAx>
        <c:axId val="1575887472"/>
        <c:scaling>
          <c:orientation val="minMax"/>
          <c:min val="5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906556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PnL</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TradeAnalysis!$D$7:$D$51</c:f>
            </c:numRef>
          </c:xVal>
          <c:yVal>
            <c:numRef>
              <c:f>TradeAnalysis!$E$7:$E$51</c:f>
              <c:numCache/>
            </c:numRef>
          </c:yVal>
        </c:ser>
        <c:dLbls>
          <c:showLegendKey val="0"/>
          <c:showVal val="0"/>
          <c:showCatName val="0"/>
          <c:showSerName val="0"/>
          <c:showPercent val="0"/>
          <c:showBubbleSize val="0"/>
        </c:dLbls>
        <c:axId val="1356563003"/>
        <c:axId val="1581852560"/>
      </c:scatterChart>
      <c:valAx>
        <c:axId val="13565630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1852560"/>
      </c:valAx>
      <c:valAx>
        <c:axId val="15818525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656300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P&amp;L / Day by closed positions</a:t>
            </a:r>
          </a:p>
        </c:rich>
      </c:tx>
      <c:overlay val="0"/>
    </c:title>
    <c:plotArea>
      <c:layout/>
      <c:scatterChart>
        <c:scatterStyle val="lineMarker"/>
        <c:varyColors val="0"/>
        <c:ser>
          <c:idx val="0"/>
          <c:order val="0"/>
          <c:tx>
            <c:strRef>
              <c:f>TradeAnalysis!$Q$7</c:f>
            </c:strRef>
          </c:tx>
          <c:spPr>
            <a:ln>
              <a:noFill/>
            </a:ln>
          </c:spPr>
          <c:marker>
            <c:symbol val="circle"/>
            <c:size val="7"/>
            <c:spPr>
              <a:solidFill>
                <a:schemeClr val="accent1"/>
              </a:solidFill>
              <a:ln cmpd="sng">
                <a:solidFill>
                  <a:schemeClr val="accent1"/>
                </a:solidFill>
              </a:ln>
            </c:spPr>
          </c:marker>
          <c:xVal>
            <c:numRef>
              <c:f>TradeAnalysis!$P$8:$P$56</c:f>
            </c:numRef>
          </c:xVal>
          <c:yVal>
            <c:numRef>
              <c:f>TradeAnalysis!$Q$8:$Q$56</c:f>
              <c:numCache/>
            </c:numRef>
          </c:yVal>
        </c:ser>
        <c:dLbls>
          <c:showLegendKey val="0"/>
          <c:showVal val="0"/>
          <c:showCatName val="0"/>
          <c:showSerName val="0"/>
          <c:showPercent val="0"/>
          <c:showBubbleSize val="0"/>
        </c:dLbls>
        <c:axId val="1909401904"/>
        <c:axId val="956544291"/>
      </c:scatterChart>
      <c:valAx>
        <c:axId val="19094019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6544291"/>
      </c:valAx>
      <c:valAx>
        <c:axId val="956544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940190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Cumulative P&amp;L by closed positions</a:t>
            </a:r>
          </a:p>
        </c:rich>
      </c:tx>
      <c:layout>
        <c:manualLayout>
          <c:xMode val="edge"/>
          <c:yMode val="edge"/>
          <c:x val="0.017490247074122237"/>
          <c:y val="0.05"/>
        </c:manualLayout>
      </c:layout>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TradeAnalysis!$P$7:$P$56</c:f>
            </c:numRef>
          </c:xVal>
          <c:yVal>
            <c:numRef>
              <c:f>TradeAnalysis!$R$7:$R$56</c:f>
              <c:numCache/>
            </c:numRef>
          </c:yVal>
        </c:ser>
        <c:dLbls>
          <c:showLegendKey val="0"/>
          <c:showVal val="0"/>
          <c:showCatName val="0"/>
          <c:showSerName val="0"/>
          <c:showPercent val="0"/>
          <c:showBubbleSize val="0"/>
        </c:dLbls>
        <c:axId val="1864777036"/>
        <c:axId val="1835919833"/>
      </c:scatterChart>
      <c:valAx>
        <c:axId val="18647770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5919833"/>
      </c:valAx>
      <c:valAx>
        <c:axId val="1835919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477703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257175</xdr:colOff>
      <xdr:row>0</xdr:row>
      <xdr:rowOff>0</xdr:rowOff>
    </xdr:from>
    <xdr:ext cx="4248150" cy="110585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762000</xdr:colOff>
      <xdr:row>0</xdr:row>
      <xdr:rowOff>266700</xdr:rowOff>
    </xdr:from>
    <xdr:ext cx="13925550" cy="105060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885825</xdr:colOff>
      <xdr:row>3</xdr:row>
      <xdr:rowOff>28575</xdr:rowOff>
    </xdr:from>
    <xdr:ext cx="13506450" cy="4867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1028700</xdr:colOff>
      <xdr:row>0</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304800</xdr:colOff>
      <xdr:row>16</xdr:row>
      <xdr:rowOff>104775</xdr:rowOff>
    </xdr:from>
    <xdr:ext cx="7324725"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20</xdr:col>
      <xdr:colOff>314325</xdr:colOff>
      <xdr:row>2</xdr:row>
      <xdr:rowOff>0</xdr:rowOff>
    </xdr:from>
    <xdr:ext cx="7324725" cy="256222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20</xdr:col>
      <xdr:colOff>304800</xdr:colOff>
      <xdr:row>35</xdr:row>
      <xdr:rowOff>114300</xdr:rowOff>
    </xdr:from>
    <xdr:ext cx="7324725" cy="3533775"/>
    <xdr:pic>
      <xdr:nvPicPr>
        <xdr:cNvPr id="1186122881" name="Chart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00" displayName="Portfolio_Allocation" name="Portfolio_Allocation" id="1">
  <tableColumns count="7">
    <tableColumn name="Budget " id="1"/>
    <tableColumn name="Strategy " id="2"/>
    <tableColumn name="Min Allocation" id="3"/>
    <tableColumn name="Max Allocation" id="4"/>
    <tableColumn name="Current Allocation" id="5"/>
    <tableColumn name="P/L" id="6"/>
    <tableColumn name="P/L %" id="7"/>
  </tableColumns>
  <tableStyleInfo name="Portfolio-style" showColumnStripes="0" showFirstColumn="1" showLastColumn="1" showRowStripes="1"/>
</table>
</file>

<file path=xl/tables/table2.xml><?xml version="1.0" encoding="utf-8"?>
<table xmlns="http://schemas.openxmlformats.org/spreadsheetml/2006/main" ref="M1:M1000" displayName="Budgets" name="Budgets" id="2">
  <tableColumns count="1">
    <tableColumn name="Budgets" id="1"/>
  </tableColumns>
  <tableStyleInfo name="Portfolio-style 2" showColumnStripes="0" showFirstColumn="1" showLastColumn="1" showRowStripes="1"/>
</table>
</file>

<file path=xl/tables/table3.xml><?xml version="1.0" encoding="utf-8"?>
<table xmlns="http://schemas.openxmlformats.org/spreadsheetml/2006/main" ref="O1:O1000" displayName="Profit_Mechanism" name="Profit_Mechanism" id="3">
  <tableColumns count="1">
    <tableColumn name="Profit Mechanism" id="1"/>
  </tableColumns>
  <tableStyleInfo name="Portfolio-style 3" showColumnStripes="0" showFirstColumn="1" showLastColumn="1" showRowStripes="1"/>
</table>
</file>

<file path=xl/tables/table4.xml><?xml version="1.0" encoding="utf-8"?>
<table xmlns="http://schemas.openxmlformats.org/spreadsheetml/2006/main" ref="A1:N1000" displayName="Weekly_Prep" name="Weekly_Prep" id="4">
  <tableColumns count="14">
    <tableColumn name="Date" id="1"/>
    <tableColumn name="Index Bias" id="2"/>
    <tableColumn name="Breath" id="3"/>
    <tableColumn name="Notable Sectors" id="4"/>
    <tableColumn name="Volatility notes" id="5"/>
    <tableColumn name="Open positoins require management" id="6"/>
    <tableColumn name="Current Portfolio risk" id="7"/>
    <tableColumn name="Portfolio notes" id="8"/>
    <tableColumn name="Scanning for" id="9"/>
    <tableColumn name="Index / Sector preference" id="10"/>
    <tableColumn name="Watchlist (Bias)" id="11"/>
    <tableColumn name="Learnings" id="12"/>
    <tableColumn name="Focus for Improvement" id="13"/>
    <tableColumn name="Eriks comments" id="14"/>
  </tableColumns>
  <tableStyleInfo name="WeeklyPrep-style" showColumnStripes="0" showFirstColumn="1" showLastColumn="1" showRowStripes="1"/>
</table>
</file>

<file path=xl/tables/table5.xml><?xml version="1.0" encoding="utf-8"?>
<table xmlns="http://schemas.openxmlformats.org/spreadsheetml/2006/main" ref="A1:E23" displayName="Table4" name="Table4" id="5">
  <tableColumns count="5">
    <tableColumn name="Day" id="1"/>
    <tableColumn name="Details" id="2"/>
    <tableColumn name="Sentiment" id="3"/>
    <tableColumn name="Mental" id="4"/>
    <tableColumn name="Learnings" id="5"/>
  </tableColumns>
  <tableStyleInfo name="NewsLog-style" showColumnStripes="0" showFirstColumn="1" showLastColumn="1" showRowStripes="1"/>
</table>
</file>

<file path=xl/tables/table6.xml><?xml version="1.0" encoding="utf-8"?>
<table xmlns="http://schemas.openxmlformats.org/spreadsheetml/2006/main" ref="A1:F1000" displayName="Overview" name="Overview" id="6">
  <tableColumns count="6">
    <tableColumn name="Date" id="1"/>
    <tableColumn name="Net Liqidity" id="2"/>
    <tableColumn name="Maintenance" id="3"/>
    <tableColumn name="Excess Liq" id="4"/>
    <tableColumn name="BPR" id="5"/>
    <tableColumn name="Maint/PCT" id="6"/>
  </tableColumns>
  <tableStyleInfo name="Capital-style" showColumnStripes="0" showFirstColumn="1" showLastColumn="1" showRowStripes="1"/>
</table>
</file>

<file path=xl/tables/table7.xml><?xml version="1.0" encoding="utf-8"?>
<table xmlns="http://schemas.openxmlformats.org/spreadsheetml/2006/main" ref="I1:W2" displayName="Summary" name="Summary" id="7">
  <tableColumns count="15">
    <tableColumn name="PnL" id="1"/>
    <tableColumn name="UnrPnL" id="2"/>
    <tableColumn name="UnrlPnL%" id="3"/>
    <tableColumn name="RealizedPnL" id="4"/>
    <tableColumn name="RealizedPnL%" id="5"/>
    <tableColumn name="Delta" id="6"/>
    <tableColumn name="Theta" id="7"/>
    <tableColumn name="Vega" id="8"/>
    <tableColumn name="Gamma" id="9"/>
    <tableColumn name="AVG IV" id="10"/>
    <tableColumn name="Margin" id="11"/>
    <tableColumn name="Duration%" id="12"/>
    <tableColumn name="PnL%/Duration%" id="13"/>
    <tableColumn name="ROI" id="14"/>
    <tableColumn name="Commisions" id="15"/>
  </tableColumns>
  <tableStyleInfo name="Capital-style 2" showColumnStripes="0" showFirstColumn="1" showLastColumn="1" showRowStripes="1"/>
</table>
</file>

<file path=xl/tables/table8.xml><?xml version="1.0" encoding="utf-8"?>
<table xmlns="http://schemas.openxmlformats.org/spreadsheetml/2006/main" ref="A1:V997" displayName="TradeLog" name="TradeLog" id="8">
  <autoFilter ref="$A$1:$V$997"/>
  <tableColumns count="22">
    <tableColumn name="Symbol" id="1"/>
    <tableColumn name="Date" id="2"/>
    <tableColumn name="TypeOfTrade" id="3"/>
    <tableColumn name="Notes / Assumptions" id="4"/>
    <tableColumn name="Directional" id="5"/>
    <tableColumn name="Timeframe" id="6"/>
    <tableColumn name="Budget" id="7"/>
    <tableColumn name="Strategy" id="8"/>
    <tableColumn name="News Catalyst" id="9"/>
    <tableColumn name="Recent Earnings" id="10"/>
    <tableColumn name="Sector Performance Support" id="11"/>
    <tableColumn name="ATH" id="12"/>
    <tableColumn name="RVOL" id="13"/>
    <tableColumn name="Put/Call" id="14"/>
    <tableColumn name="x ATR move" id="15"/>
    <tableColumn name="Institutional support" id="16"/>
    <tableColumn name="Gap%" id="17"/>
    <tableColumn name="TA / FA" id="18"/>
    <tableColumn name="Intended Management" id="19"/>
    <tableColumn name="Mangement" id="20"/>
    <tableColumn name="Management rating" id="21"/>
    <tableColumn name="Lernings" id="22"/>
  </tableColumns>
  <tableStyleInfo name="TradeLog-style" showColumnStripes="0" showFirstColumn="1" showLastColumn="1" showRowStripes="1"/>
</table>
</file>

<file path=xl/tables/table9.xml><?xml version="1.0" encoding="utf-8"?>
<table xmlns="http://schemas.openxmlformats.org/spreadsheetml/2006/main" ref="Y1:Y997" displayName="Table5" name="Table5" id="9">
  <tableColumns count="1">
    <tableColumn name="Timeframes" id="1"/>
  </tableColumns>
  <tableStyleInfo name="TradeLog-style 2" showColumnStripes="0" showFirstColumn="1" showLastColumn="1" showRowStripes="1"/>
</table>
</file>

<file path=xl/tables/table10.xml><?xml version="1.0" encoding="utf-8"?>
<table xmlns="http://schemas.openxmlformats.org/spreadsheetml/2006/main" ref="AA1:AA997" displayName="Table1" name="Table1" id="10">
  <tableColumns count="1">
    <tableColumn name="Symbols" id="1"/>
  </tableColumns>
  <tableStyleInfo name="TradeLog-style 3" showColumnStripes="0" showFirstColumn="1" showLastColumn="1" showRowStripes="1"/>
</table>
</file>

<file path=xl/tables/table11.xml><?xml version="1.0" encoding="utf-8"?>
<table xmlns="http://schemas.openxmlformats.org/spreadsheetml/2006/main" ref="AC1:AC26" displayName="Table2" name="Table2" id="11">
  <tableColumns count="1">
    <tableColumn name="Structures" id="1"/>
  </tableColumns>
  <tableStyleInfo name="TradeLog-style 4" showColumnStripes="0" showFirstColumn="1" showLastColumn="1" showRowStripes="1"/>
</table>
</file>

<file path=xl/tables/table12.xml><?xml version="1.0" encoding="utf-8"?>
<table xmlns="http://schemas.openxmlformats.org/spreadsheetml/2006/main" ref="AE1:AE12" displayName="Table6" name="Table6" id="12">
  <tableColumns count="1">
    <tableColumn name="Strategies" id="1"/>
  </tableColumns>
  <tableStyleInfo name="TradeLog-style 5" showColumnStripes="0" showFirstColumn="1" showLastColumn="1" showRowStripes="1"/>
</table>
</file>

<file path=xl/tables/table13.xml><?xml version="1.0" encoding="utf-8"?>
<table xmlns="http://schemas.openxmlformats.org/spreadsheetml/2006/main" ref="AG1:AG3" displayName="Table3" name="Table3" id="13">
  <tableColumns count="1">
    <tableColumn name="Budgets" id="1"/>
  </tableColumns>
  <tableStyleInfo name="TradeLog-style 6" showColumnStripes="0" showFirstColumn="1" showLastColumn="1" showRowStripes="1"/>
</table>
</file>

<file path=xl/tables/table14.xml><?xml version="1.0" encoding="utf-8"?>
<table xmlns="http://schemas.openxmlformats.org/spreadsheetml/2006/main" ref="A1:Z77" displayName="OptionInstruments" name="OptionInstruments" id="14">
  <autoFilter ref="$A$1:$Z$77"/>
  <tableColumns count="26">
    <tableColumn name="Symbol" id="1"/>
    <tableColumn name="Opened" id="2"/>
    <tableColumn name="Closed" id="3"/>
    <tableColumn name="DIT" id="4"/>
    <tableColumn name="DTE" id="5"/>
    <tableColumn name="Status" id="6"/>
    <tableColumn name="Sentiment" id="7"/>
    <tableColumn name="CurrentSetup" id="8"/>
    <tableColumn name="Strikes" id="9"/>
    <tableColumn name="Intended Management" id="10"/>
    <tableColumn name="Pnl" id="11"/>
    <tableColumn name="UnrPnL" id="12"/>
    <tableColumn name="UnrPnL%" id="13"/>
    <tableColumn name="RealizedPnL" id="14"/>
    <tableColumn name="RelizedPnL%" id="15"/>
    <tableColumn name="TimeValue" id="16"/>
    <tableColumn name="Delta" id="17"/>
    <tableColumn name="Theta" id="18"/>
    <tableColumn name="Gamma" id="19"/>
    <tableColumn name="Vega" id="20"/>
    <tableColumn name="AVG IV" id="21"/>
    <tableColumn name="Margin" id="22"/>
    <tableColumn name="Duration%" id="23"/>
    <tableColumn name="PnL%/Duration%" id="24"/>
    <tableColumn name="ROIC" id="25"/>
    <tableColumn name="Commisions" id="26"/>
  </tableColumns>
  <tableStyleInfo name="OptionInstruments-style" showColumnStripes="0" showFirstColumn="1" showLastColumn="1" showRowStripes="1"/>
</table>
</file>

<file path=xl/tables/table15.xml><?xml version="1.0" encoding="utf-8"?>
<table xmlns="http://schemas.openxmlformats.org/spreadsheetml/2006/main" ref="A1:L10" displayName="StockInstruments" name="StockInstruments" id="15">
  <autoFilter ref="$A$1:$L$10"/>
  <tableColumns count="12">
    <tableColumn name="Symbol" id="1"/>
    <tableColumn name="Opened" id="2"/>
    <tableColumn name="Status" id="3"/>
    <tableColumn name="Sentiment" id="4"/>
    <tableColumn name="Position" id="5"/>
    <tableColumn name="Last Price" id="6"/>
    <tableColumn name="Intended Management" id="7"/>
    <tableColumn name="Pnl" id="8"/>
    <tableColumn name="UnrPnL" id="9"/>
    <tableColumn name="UnrPnL%" id="10"/>
    <tableColumn name="RelizedPnL" id="11"/>
    <tableColumn name="Commisions" id="12"/>
  </tableColumns>
  <tableStyleInfo name="StockInstruments-style" showColumnStripes="0" showFirstColumn="1" showLastColumn="1" showRowStripes="1"/>
</table>
</file>

<file path=xl/tables/table16.xml><?xml version="1.0" encoding="utf-8"?>
<table xmlns="http://schemas.openxmlformats.org/spreadsheetml/2006/main" ref="A1:AD174" displayName="OptionsPositions" name="OptionsPositions" id="16">
  <autoFilter ref="$A$1:$AD$174"/>
  <tableColumns count="30">
    <tableColumn name="Symbol" id="1"/>
    <tableColumn name="ContractId" id="2"/>
    <tableColumn name="Opened" id="3"/>
    <tableColumn name="Exipry" id="4"/>
    <tableColumn name="Closed" id="5"/>
    <tableColumn name="Pos" id="6"/>
    <tableColumn name="Right" id="7"/>
    <tableColumn name="Strike" id="8"/>
    <tableColumn name="Cost" id="9"/>
    <tableColumn name="Commision" id="10"/>
    <tableColumn name="Multiplier" id="11"/>
    <tableColumn name="Last" id="12"/>
    <tableColumn name="Close" id="13"/>
    <tableColumn name="LastValue" id="14"/>
    <tableColumn name="UnrPnL" id="15"/>
    <tableColumn name="UnrPnLValue" id="16"/>
    <tableColumn name="UnrPnL%" id="17"/>
    <tableColumn name="RealizedPnL" id="18"/>
    <tableColumn name="RealizedPnL%" id="19"/>
    <tableColumn name="TimeValue" id="20"/>
    <tableColumn name="Delta" id="21"/>
    <tableColumn name="Theta" id="22"/>
    <tableColumn name="Gamma" id="23"/>
    <tableColumn name="Vega" id="24"/>
    <tableColumn name="IV" id="25"/>
    <tableColumn name="Margin" id="26"/>
    <tableColumn name="Duration%" id="27"/>
    <tableColumn name="PnL%/Duration%" id="28"/>
    <tableColumn name="ROIC" id="29"/>
    <tableColumn name="Debit Profit" id="30"/>
  </tableColumns>
  <tableStyleInfo name="OptionPositions-style" showColumnStripes="0" showFirstColumn="1" showLastColumn="1" showRowStripes="1"/>
</table>
</file>

<file path=xl/tables/table17.xml><?xml version="1.0" encoding="utf-8"?>
<table xmlns="http://schemas.openxmlformats.org/spreadsheetml/2006/main" ref="A1:J21" displayName="StockTrades" name="StockTrades" id="17">
  <tableColumns count="10">
    <tableColumn name="Symbol" id="1"/>
    <tableColumn name="Date" id="2"/>
    <tableColumn name="PosChange" id="3"/>
    <tableColumn name="Price" id="4"/>
    <tableColumn name="Last Pos" id="5"/>
    <tableColumn name="Total Pos" id="6"/>
    <tableColumn name="AVG Price " id="7"/>
    <tableColumn name="Comission" id="8"/>
    <tableColumn name="PnL" id="9"/>
    <tableColumn name="PrevRow" id="10"/>
  </tableColumns>
  <tableStyleInfo name="StockTrades-style" showColumnStripes="0" showFirstColumn="1" showLastColumn="1" showRowStripes="1"/>
</table>
</file>

<file path=xl/tables/table18.xml><?xml version="1.0" encoding="utf-8"?>
<table xmlns="http://schemas.openxmlformats.org/spreadsheetml/2006/main" ref="A1:M999" displayName="FuturesTrades" name="FuturesTrades" id="18">
  <tableColumns count="13">
    <tableColumn name="ID" id="1"/>
    <tableColumn name="Opened" id="2"/>
    <tableColumn name="Closed" id="3"/>
    <tableColumn name="DIT" id="4"/>
    <tableColumn name="Status" id="5"/>
    <tableColumn name="Instrument" id="6"/>
    <tableColumn name="Latest Note" id="7"/>
    <tableColumn name="Pos" id="8"/>
    <tableColumn name="Entry" id="9"/>
    <tableColumn name="Exit" id="10"/>
    <tableColumn name="Multiplier" id="11"/>
    <tableColumn name="Comission" id="12"/>
    <tableColumn name="PnL" id="13"/>
  </tableColumns>
  <tableStyleInfo name="FutureTrades-style" showColumnStripes="0" showFirstColumn="1" showLastColumn="1" showRowStripes="1"/>
</table>
</file>

<file path=xl/tables/table19.xml><?xml version="1.0" encoding="utf-8"?>
<table xmlns="http://schemas.openxmlformats.org/spreadsheetml/2006/main" ref="A1:K2144" displayName="OptionPositionsLog" name="OptionPositionsLog" id="19">
  <tableColumns count="11">
    <tableColumn name="DateTime" id="1"/>
    <tableColumn name="ContractId" id="2"/>
    <tableColumn name="Underlying" id="3"/>
    <tableColumn name="IV" id="4"/>
    <tableColumn name="Price" id="5"/>
    <tableColumn name="TimeValue" id="6"/>
    <tableColumn name="Delta" id="7"/>
    <tableColumn name="Theta" id="8"/>
    <tableColumn name="Gamma" id="9"/>
    <tableColumn name="Vega" id="10"/>
    <tableColumn name="Margin" id="11"/>
  </tableColumns>
  <tableStyleInfo name="OptionPositions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6.xml"/><Relationship Id="rId5"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8"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8.25"/>
    <col customWidth="1" min="3" max="3" width="16.13"/>
    <col customWidth="1" min="4" max="4" width="16.5"/>
    <col customWidth="1" min="5" max="5" width="18.88"/>
    <col customWidth="1" min="13" max="13" width="20.88"/>
    <col customWidth="1" min="14" max="14" width="4.25"/>
    <col customWidth="1" min="15" max="15" width="27.38"/>
  </cols>
  <sheetData>
    <row r="1" ht="22.5" customHeight="1">
      <c r="A1" s="1" t="s">
        <v>0</v>
      </c>
      <c r="B1" s="1" t="s">
        <v>1</v>
      </c>
      <c r="C1" s="1" t="s">
        <v>2</v>
      </c>
      <c r="D1" s="1" t="s">
        <v>3</v>
      </c>
      <c r="E1" s="1" t="s">
        <v>4</v>
      </c>
      <c r="F1" s="1" t="s">
        <v>5</v>
      </c>
      <c r="G1" s="1" t="s">
        <v>6</v>
      </c>
      <c r="M1" s="2" t="s">
        <v>7</v>
      </c>
      <c r="O1" s="2" t="s">
        <v>8</v>
      </c>
    </row>
    <row r="2" ht="22.5" customHeight="1">
      <c r="A2" s="3" t="s">
        <v>9</v>
      </c>
      <c r="B2" s="3" t="s">
        <v>10</v>
      </c>
      <c r="C2" s="4">
        <v>0.1</v>
      </c>
      <c r="D2" s="4">
        <v>0.3</v>
      </c>
      <c r="M2" s="5" t="s">
        <v>11</v>
      </c>
      <c r="O2" s="5" t="s">
        <v>12</v>
      </c>
    </row>
    <row r="3" ht="22.5" customHeight="1">
      <c r="A3" s="6"/>
      <c r="B3" s="6"/>
      <c r="M3" s="7" t="s">
        <v>9</v>
      </c>
      <c r="O3" s="7" t="s">
        <v>13</v>
      </c>
    </row>
    <row r="4" ht="22.5" customHeight="1">
      <c r="A4" s="6"/>
      <c r="B4" s="6"/>
      <c r="M4" s="8"/>
      <c r="O4" s="5" t="s">
        <v>10</v>
      </c>
    </row>
    <row r="5" ht="22.5" customHeight="1">
      <c r="A5" s="6"/>
      <c r="B5" s="6"/>
      <c r="M5" s="8"/>
      <c r="O5" s="7" t="s">
        <v>14</v>
      </c>
    </row>
    <row r="6" ht="22.5" customHeight="1">
      <c r="A6" s="6"/>
      <c r="B6" s="6"/>
      <c r="M6" s="8"/>
      <c r="O6" s="5" t="s">
        <v>15</v>
      </c>
    </row>
    <row r="7" ht="22.5" customHeight="1">
      <c r="A7" s="6"/>
      <c r="B7" s="6"/>
      <c r="M7" s="8"/>
      <c r="O7" s="7" t="s">
        <v>16</v>
      </c>
    </row>
    <row r="8" ht="22.5" customHeight="1">
      <c r="A8" s="6"/>
      <c r="B8" s="6"/>
      <c r="M8" s="8"/>
      <c r="O8" s="5" t="s">
        <v>17</v>
      </c>
    </row>
    <row r="9" ht="22.5" customHeight="1">
      <c r="A9" s="6"/>
      <c r="B9" s="6"/>
      <c r="M9" s="8"/>
      <c r="O9" s="7" t="s">
        <v>18</v>
      </c>
    </row>
    <row r="10" ht="22.5" customHeight="1">
      <c r="A10" s="6"/>
      <c r="B10" s="6"/>
      <c r="M10" s="8"/>
      <c r="O10" s="5" t="s">
        <v>19</v>
      </c>
    </row>
    <row r="11" ht="22.5" customHeight="1">
      <c r="A11" s="6"/>
      <c r="B11" s="6"/>
      <c r="M11" s="8"/>
      <c r="O11" s="8"/>
    </row>
    <row r="12" ht="22.5" customHeight="1">
      <c r="A12" s="6"/>
      <c r="B12" s="6"/>
      <c r="M12" s="8"/>
      <c r="O12" s="8"/>
    </row>
    <row r="13" ht="22.5" customHeight="1">
      <c r="A13" s="6"/>
      <c r="B13" s="6"/>
      <c r="M13" s="8"/>
      <c r="O13" s="8"/>
    </row>
    <row r="14" ht="22.5" customHeight="1">
      <c r="A14" s="6"/>
      <c r="B14" s="6"/>
      <c r="M14" s="8"/>
      <c r="O14" s="8"/>
    </row>
    <row r="15" ht="22.5" customHeight="1">
      <c r="A15" s="6"/>
      <c r="B15" s="6"/>
      <c r="M15" s="8"/>
      <c r="O15" s="8"/>
    </row>
    <row r="16" ht="22.5" customHeight="1">
      <c r="A16" s="6"/>
      <c r="B16" s="6"/>
      <c r="M16" s="8"/>
      <c r="O16" s="8"/>
    </row>
    <row r="17" ht="22.5" customHeight="1">
      <c r="A17" s="6"/>
      <c r="B17" s="6"/>
      <c r="M17" s="8"/>
      <c r="O17" s="8"/>
    </row>
    <row r="18" ht="22.5" customHeight="1">
      <c r="A18" s="6"/>
      <c r="B18" s="6"/>
      <c r="M18" s="8"/>
      <c r="O18" s="8"/>
    </row>
    <row r="19" ht="22.5" customHeight="1">
      <c r="A19" s="6"/>
      <c r="B19" s="6"/>
      <c r="M19" s="8"/>
      <c r="O19" s="8"/>
    </row>
    <row r="20" ht="22.5" customHeight="1">
      <c r="A20" s="6"/>
      <c r="B20" s="6"/>
      <c r="M20" s="8"/>
      <c r="O20" s="8"/>
    </row>
    <row r="21" ht="22.5" customHeight="1">
      <c r="A21" s="6"/>
      <c r="B21" s="6"/>
      <c r="M21" s="8"/>
      <c r="O21" s="8"/>
    </row>
    <row r="22" ht="22.5" customHeight="1">
      <c r="A22" s="6"/>
      <c r="B22" s="6"/>
      <c r="M22" s="8"/>
      <c r="O22" s="8"/>
    </row>
    <row r="23" ht="22.5" customHeight="1">
      <c r="A23" s="6"/>
      <c r="B23" s="6"/>
      <c r="M23" s="8"/>
      <c r="O23" s="8"/>
    </row>
    <row r="24" ht="22.5" customHeight="1">
      <c r="A24" s="6"/>
      <c r="B24" s="6"/>
      <c r="M24" s="8"/>
      <c r="O24" s="8"/>
    </row>
    <row r="25" ht="22.5" customHeight="1">
      <c r="A25" s="6"/>
      <c r="B25" s="6"/>
      <c r="M25" s="8"/>
      <c r="O25" s="8"/>
    </row>
    <row r="26" ht="22.5" customHeight="1">
      <c r="A26" s="6"/>
      <c r="B26" s="6"/>
      <c r="M26" s="8"/>
      <c r="O26" s="8"/>
    </row>
    <row r="27" ht="22.5" customHeight="1">
      <c r="A27" s="6"/>
      <c r="B27" s="6"/>
      <c r="M27" s="8"/>
      <c r="O27" s="8"/>
    </row>
    <row r="28" ht="22.5" customHeight="1">
      <c r="A28" s="6"/>
      <c r="B28" s="6"/>
      <c r="M28" s="8"/>
      <c r="O28" s="8"/>
    </row>
    <row r="29" ht="22.5" customHeight="1">
      <c r="A29" s="6"/>
      <c r="B29" s="6"/>
      <c r="M29" s="8"/>
      <c r="O29" s="8"/>
    </row>
    <row r="30" ht="22.5" customHeight="1">
      <c r="A30" s="6"/>
      <c r="B30" s="6"/>
      <c r="M30" s="8"/>
      <c r="O30" s="8"/>
    </row>
    <row r="31" ht="22.5" customHeight="1">
      <c r="A31" s="6"/>
      <c r="B31" s="6"/>
      <c r="M31" s="8"/>
      <c r="O31" s="8"/>
    </row>
    <row r="32" ht="22.5" customHeight="1">
      <c r="A32" s="6"/>
      <c r="B32" s="6"/>
      <c r="M32" s="8"/>
      <c r="O32" s="8"/>
    </row>
    <row r="33" ht="22.5" customHeight="1">
      <c r="A33" s="6"/>
      <c r="B33" s="6"/>
      <c r="M33" s="8"/>
      <c r="O33" s="8"/>
    </row>
    <row r="34" ht="22.5" customHeight="1">
      <c r="A34" s="6"/>
      <c r="B34" s="6"/>
      <c r="M34" s="8"/>
      <c r="O34" s="8"/>
    </row>
    <row r="35" ht="22.5" customHeight="1">
      <c r="A35" s="6"/>
      <c r="B35" s="6"/>
      <c r="M35" s="8"/>
      <c r="O35" s="8"/>
    </row>
    <row r="36" ht="22.5" customHeight="1">
      <c r="A36" s="6"/>
      <c r="B36" s="6"/>
      <c r="M36" s="8"/>
      <c r="O36" s="8"/>
    </row>
    <row r="37" ht="22.5" customHeight="1">
      <c r="A37" s="6"/>
      <c r="B37" s="6"/>
      <c r="M37" s="8"/>
      <c r="O37" s="8"/>
    </row>
    <row r="38" ht="22.5" customHeight="1">
      <c r="A38" s="6"/>
      <c r="B38" s="6"/>
      <c r="M38" s="8"/>
      <c r="O38" s="8"/>
    </row>
    <row r="39" ht="22.5" customHeight="1">
      <c r="A39" s="6"/>
      <c r="B39" s="6"/>
      <c r="M39" s="8"/>
      <c r="O39" s="8"/>
    </row>
    <row r="40" ht="22.5" customHeight="1">
      <c r="A40" s="6"/>
      <c r="B40" s="6"/>
      <c r="M40" s="8"/>
      <c r="O40" s="8"/>
    </row>
    <row r="41" ht="22.5" customHeight="1">
      <c r="A41" s="6"/>
      <c r="B41" s="6"/>
      <c r="M41" s="8"/>
      <c r="O41" s="8"/>
    </row>
    <row r="42" ht="22.5" customHeight="1">
      <c r="A42" s="6"/>
      <c r="B42" s="6"/>
      <c r="M42" s="8"/>
      <c r="O42" s="8"/>
    </row>
    <row r="43" ht="22.5" customHeight="1">
      <c r="A43" s="6"/>
      <c r="B43" s="6"/>
      <c r="M43" s="8"/>
      <c r="O43" s="8"/>
    </row>
    <row r="44" ht="22.5" customHeight="1">
      <c r="A44" s="6"/>
      <c r="B44" s="6"/>
      <c r="M44" s="8"/>
      <c r="O44" s="8"/>
    </row>
    <row r="45" ht="22.5" customHeight="1">
      <c r="A45" s="6"/>
      <c r="B45" s="6"/>
      <c r="M45" s="8"/>
      <c r="O45" s="8"/>
    </row>
    <row r="46" ht="22.5" customHeight="1">
      <c r="A46" s="6"/>
      <c r="B46" s="6"/>
      <c r="M46" s="8"/>
      <c r="O46" s="8"/>
    </row>
    <row r="47" ht="22.5" customHeight="1">
      <c r="A47" s="6"/>
      <c r="B47" s="6"/>
      <c r="M47" s="8"/>
      <c r="O47" s="8"/>
    </row>
    <row r="48" ht="22.5" customHeight="1">
      <c r="A48" s="6"/>
      <c r="B48" s="6"/>
      <c r="M48" s="8"/>
      <c r="O48" s="8"/>
    </row>
    <row r="49" ht="22.5" customHeight="1">
      <c r="A49" s="6"/>
      <c r="B49" s="6"/>
      <c r="M49" s="8"/>
      <c r="O49" s="8"/>
    </row>
    <row r="50" ht="22.5" customHeight="1">
      <c r="A50" s="6"/>
      <c r="B50" s="6"/>
      <c r="M50" s="8"/>
      <c r="O50" s="8"/>
    </row>
    <row r="51" ht="22.5" customHeight="1">
      <c r="A51" s="6"/>
      <c r="B51" s="6"/>
      <c r="M51" s="8"/>
      <c r="O51" s="8"/>
    </row>
    <row r="52" ht="22.5" customHeight="1">
      <c r="A52" s="6"/>
      <c r="B52" s="6"/>
      <c r="M52" s="8"/>
      <c r="O52" s="8"/>
    </row>
    <row r="53" ht="22.5" customHeight="1">
      <c r="A53" s="6"/>
      <c r="B53" s="6"/>
      <c r="M53" s="8"/>
      <c r="O53" s="8"/>
    </row>
    <row r="54" ht="22.5" customHeight="1">
      <c r="A54" s="6"/>
      <c r="B54" s="6"/>
      <c r="M54" s="8"/>
      <c r="O54" s="8"/>
    </row>
    <row r="55" ht="22.5" customHeight="1">
      <c r="A55" s="6"/>
      <c r="B55" s="6"/>
      <c r="M55" s="8"/>
      <c r="O55" s="8"/>
    </row>
    <row r="56" ht="22.5" customHeight="1">
      <c r="A56" s="6"/>
      <c r="B56" s="6"/>
      <c r="M56" s="8"/>
      <c r="O56" s="8"/>
    </row>
    <row r="57" ht="22.5" customHeight="1">
      <c r="A57" s="6"/>
      <c r="B57" s="6"/>
      <c r="M57" s="8"/>
      <c r="O57" s="8"/>
    </row>
    <row r="58" ht="22.5" customHeight="1">
      <c r="A58" s="6"/>
      <c r="B58" s="6"/>
      <c r="M58" s="8"/>
      <c r="O58" s="8"/>
    </row>
    <row r="59" ht="22.5" customHeight="1">
      <c r="A59" s="6"/>
      <c r="B59" s="6"/>
      <c r="M59" s="8"/>
      <c r="O59" s="8"/>
    </row>
    <row r="60" ht="22.5" customHeight="1">
      <c r="A60" s="6"/>
      <c r="B60" s="6"/>
      <c r="M60" s="8"/>
      <c r="O60" s="8"/>
    </row>
    <row r="61" ht="22.5" customHeight="1">
      <c r="A61" s="6"/>
      <c r="B61" s="6"/>
      <c r="M61" s="8"/>
      <c r="O61" s="8"/>
    </row>
    <row r="62" ht="22.5" customHeight="1">
      <c r="A62" s="6"/>
      <c r="B62" s="6"/>
      <c r="M62" s="8"/>
      <c r="O62" s="8"/>
    </row>
    <row r="63" ht="22.5" customHeight="1">
      <c r="A63" s="6"/>
      <c r="B63" s="6"/>
      <c r="M63" s="8"/>
      <c r="O63" s="8"/>
    </row>
    <row r="64" ht="22.5" customHeight="1">
      <c r="A64" s="6"/>
      <c r="B64" s="6"/>
      <c r="M64" s="8"/>
      <c r="O64" s="8"/>
    </row>
    <row r="65" ht="22.5" customHeight="1">
      <c r="A65" s="6"/>
      <c r="B65" s="6"/>
      <c r="M65" s="8"/>
      <c r="O65" s="8"/>
    </row>
    <row r="66" ht="22.5" customHeight="1">
      <c r="A66" s="6"/>
      <c r="B66" s="6"/>
      <c r="M66" s="8"/>
      <c r="O66" s="8"/>
    </row>
    <row r="67" ht="22.5" customHeight="1">
      <c r="A67" s="6"/>
      <c r="B67" s="6"/>
      <c r="M67" s="8"/>
      <c r="O67" s="8"/>
    </row>
    <row r="68" ht="22.5" customHeight="1">
      <c r="A68" s="6"/>
      <c r="B68" s="6"/>
      <c r="M68" s="8"/>
      <c r="O68" s="8"/>
    </row>
    <row r="69" ht="22.5" customHeight="1">
      <c r="A69" s="6"/>
      <c r="B69" s="6"/>
      <c r="M69" s="8"/>
      <c r="O69" s="8"/>
    </row>
    <row r="70" ht="22.5" customHeight="1">
      <c r="A70" s="6"/>
      <c r="B70" s="6"/>
      <c r="M70" s="8"/>
      <c r="O70" s="8"/>
    </row>
    <row r="71" ht="22.5" customHeight="1">
      <c r="A71" s="6"/>
      <c r="B71" s="6"/>
      <c r="M71" s="8"/>
      <c r="O71" s="8"/>
    </row>
    <row r="72" ht="22.5" customHeight="1">
      <c r="A72" s="6"/>
      <c r="B72" s="6"/>
      <c r="M72" s="8"/>
      <c r="O72" s="8"/>
    </row>
    <row r="73" ht="22.5" customHeight="1">
      <c r="A73" s="6"/>
      <c r="B73" s="6"/>
      <c r="M73" s="8"/>
      <c r="O73" s="8"/>
    </row>
    <row r="74" ht="22.5" customHeight="1">
      <c r="A74" s="6"/>
      <c r="B74" s="6"/>
      <c r="M74" s="8"/>
      <c r="O74" s="8"/>
    </row>
    <row r="75" ht="22.5" customHeight="1">
      <c r="A75" s="6"/>
      <c r="B75" s="6"/>
      <c r="M75" s="8"/>
      <c r="O75" s="8"/>
    </row>
    <row r="76" ht="22.5" customHeight="1">
      <c r="A76" s="6"/>
      <c r="B76" s="6"/>
      <c r="M76" s="8"/>
      <c r="O76" s="8"/>
    </row>
    <row r="77" ht="22.5" customHeight="1">
      <c r="A77" s="6"/>
      <c r="B77" s="6"/>
      <c r="M77" s="8"/>
      <c r="O77" s="8"/>
    </row>
    <row r="78" ht="22.5" customHeight="1">
      <c r="A78" s="6"/>
      <c r="B78" s="6"/>
      <c r="M78" s="8"/>
      <c r="O78" s="8"/>
    </row>
    <row r="79" ht="22.5" customHeight="1">
      <c r="A79" s="6"/>
      <c r="B79" s="6"/>
      <c r="M79" s="8"/>
      <c r="O79" s="8"/>
    </row>
    <row r="80" ht="22.5" customHeight="1">
      <c r="A80" s="6"/>
      <c r="B80" s="6"/>
      <c r="M80" s="8"/>
      <c r="O80" s="8"/>
    </row>
    <row r="81" ht="22.5" customHeight="1">
      <c r="A81" s="6"/>
      <c r="B81" s="6"/>
      <c r="M81" s="8"/>
      <c r="O81" s="8"/>
    </row>
    <row r="82" ht="22.5" customHeight="1">
      <c r="A82" s="6"/>
      <c r="B82" s="6"/>
      <c r="M82" s="8"/>
      <c r="O82" s="8"/>
    </row>
    <row r="83" ht="22.5" customHeight="1">
      <c r="A83" s="6"/>
      <c r="B83" s="6"/>
      <c r="M83" s="8"/>
      <c r="O83" s="8"/>
    </row>
    <row r="84" ht="22.5" customHeight="1">
      <c r="A84" s="6"/>
      <c r="B84" s="6"/>
      <c r="M84" s="8"/>
      <c r="O84" s="8"/>
    </row>
    <row r="85" ht="22.5" customHeight="1">
      <c r="A85" s="6"/>
      <c r="B85" s="6"/>
      <c r="M85" s="8"/>
      <c r="O85" s="8"/>
    </row>
    <row r="86" ht="22.5" customHeight="1">
      <c r="A86" s="6"/>
      <c r="B86" s="6"/>
      <c r="M86" s="8"/>
      <c r="O86" s="8"/>
    </row>
    <row r="87" ht="22.5" customHeight="1">
      <c r="A87" s="6"/>
      <c r="B87" s="6"/>
      <c r="M87" s="8"/>
      <c r="O87" s="8"/>
    </row>
    <row r="88" ht="22.5" customHeight="1">
      <c r="A88" s="6"/>
      <c r="B88" s="6"/>
      <c r="M88" s="8"/>
      <c r="O88" s="8"/>
    </row>
    <row r="89" ht="22.5" customHeight="1">
      <c r="A89" s="6"/>
      <c r="B89" s="6"/>
      <c r="M89" s="8"/>
      <c r="O89" s="8"/>
    </row>
    <row r="90" ht="22.5" customHeight="1">
      <c r="A90" s="6"/>
      <c r="B90" s="6"/>
      <c r="M90" s="8"/>
      <c r="O90" s="8"/>
    </row>
    <row r="91" ht="22.5" customHeight="1">
      <c r="A91" s="6"/>
      <c r="B91" s="6"/>
      <c r="M91" s="8"/>
      <c r="O91" s="8"/>
    </row>
    <row r="92" ht="22.5" customHeight="1">
      <c r="A92" s="6"/>
      <c r="B92" s="6"/>
      <c r="M92" s="8"/>
      <c r="O92" s="8"/>
    </row>
    <row r="93" ht="22.5" customHeight="1">
      <c r="A93" s="6"/>
      <c r="B93" s="6"/>
      <c r="M93" s="8"/>
      <c r="O93" s="8"/>
    </row>
    <row r="94" ht="22.5" customHeight="1">
      <c r="A94" s="6"/>
      <c r="B94" s="6"/>
      <c r="M94" s="8"/>
      <c r="O94" s="8"/>
    </row>
    <row r="95" ht="22.5" customHeight="1">
      <c r="A95" s="6"/>
      <c r="B95" s="6"/>
      <c r="M95" s="8"/>
      <c r="O95" s="8"/>
    </row>
    <row r="96" ht="22.5" customHeight="1">
      <c r="A96" s="6"/>
      <c r="B96" s="6"/>
      <c r="M96" s="8"/>
      <c r="O96" s="8"/>
    </row>
    <row r="97" ht="22.5" customHeight="1">
      <c r="A97" s="6"/>
      <c r="B97" s="6"/>
      <c r="M97" s="8"/>
      <c r="O97" s="8"/>
    </row>
    <row r="98" ht="22.5" customHeight="1">
      <c r="A98" s="6"/>
      <c r="B98" s="6"/>
      <c r="M98" s="8"/>
      <c r="O98" s="8"/>
    </row>
    <row r="99" ht="22.5" customHeight="1">
      <c r="A99" s="6"/>
      <c r="B99" s="6"/>
      <c r="M99" s="8"/>
      <c r="O99" s="8"/>
    </row>
    <row r="100" ht="22.5" customHeight="1">
      <c r="A100" s="6"/>
      <c r="B100" s="6"/>
      <c r="M100" s="8"/>
      <c r="O100" s="8"/>
    </row>
    <row r="101" ht="22.5" customHeight="1">
      <c r="A101" s="6"/>
      <c r="B101" s="6"/>
      <c r="M101" s="8"/>
      <c r="O101" s="8"/>
    </row>
    <row r="102" ht="22.5" customHeight="1">
      <c r="A102" s="6"/>
      <c r="B102" s="6"/>
      <c r="M102" s="8"/>
      <c r="O102" s="8"/>
    </row>
    <row r="103" ht="22.5" customHeight="1">
      <c r="A103" s="6"/>
      <c r="B103" s="6"/>
      <c r="M103" s="8"/>
      <c r="O103" s="8"/>
    </row>
    <row r="104" ht="22.5" customHeight="1">
      <c r="A104" s="6"/>
      <c r="B104" s="6"/>
      <c r="M104" s="8"/>
      <c r="O104" s="8"/>
    </row>
    <row r="105" ht="22.5" customHeight="1">
      <c r="A105" s="6"/>
      <c r="B105" s="6"/>
      <c r="M105" s="8"/>
      <c r="O105" s="8"/>
    </row>
    <row r="106" ht="22.5" customHeight="1">
      <c r="A106" s="6"/>
      <c r="B106" s="6"/>
      <c r="M106" s="8"/>
      <c r="O106" s="8"/>
    </row>
    <row r="107" ht="22.5" customHeight="1">
      <c r="A107" s="6"/>
      <c r="B107" s="6"/>
      <c r="M107" s="8"/>
      <c r="O107" s="8"/>
    </row>
    <row r="108" ht="22.5" customHeight="1">
      <c r="A108" s="6"/>
      <c r="B108" s="6"/>
      <c r="M108" s="8"/>
      <c r="O108" s="8"/>
    </row>
    <row r="109" ht="22.5" customHeight="1">
      <c r="A109" s="6"/>
      <c r="B109" s="6"/>
      <c r="M109" s="8"/>
      <c r="O109" s="8"/>
    </row>
    <row r="110" ht="22.5" customHeight="1">
      <c r="A110" s="6"/>
      <c r="B110" s="6"/>
      <c r="M110" s="8"/>
      <c r="O110" s="8"/>
    </row>
    <row r="111" ht="22.5" customHeight="1">
      <c r="A111" s="6"/>
      <c r="B111" s="6"/>
      <c r="M111" s="8"/>
      <c r="O111" s="8"/>
    </row>
    <row r="112" ht="22.5" customHeight="1">
      <c r="A112" s="6"/>
      <c r="B112" s="6"/>
      <c r="M112" s="8"/>
      <c r="O112" s="8"/>
    </row>
    <row r="113" ht="22.5" customHeight="1">
      <c r="A113" s="6"/>
      <c r="B113" s="6"/>
      <c r="M113" s="8"/>
      <c r="O113" s="8"/>
    </row>
    <row r="114" ht="22.5" customHeight="1">
      <c r="A114" s="6"/>
      <c r="B114" s="6"/>
      <c r="M114" s="8"/>
      <c r="O114" s="8"/>
    </row>
    <row r="115" ht="22.5" customHeight="1">
      <c r="A115" s="6"/>
      <c r="B115" s="6"/>
      <c r="M115" s="8"/>
      <c r="O115" s="8"/>
    </row>
    <row r="116" ht="22.5" customHeight="1">
      <c r="A116" s="6"/>
      <c r="B116" s="6"/>
      <c r="M116" s="8"/>
      <c r="O116" s="8"/>
    </row>
    <row r="117" ht="22.5" customHeight="1">
      <c r="A117" s="6"/>
      <c r="B117" s="6"/>
      <c r="M117" s="8"/>
      <c r="O117" s="8"/>
    </row>
    <row r="118" ht="22.5" customHeight="1">
      <c r="A118" s="6"/>
      <c r="B118" s="6"/>
      <c r="M118" s="8"/>
      <c r="O118" s="8"/>
    </row>
    <row r="119" ht="22.5" customHeight="1">
      <c r="A119" s="6"/>
      <c r="B119" s="6"/>
      <c r="M119" s="8"/>
      <c r="O119" s="8"/>
    </row>
    <row r="120" ht="22.5" customHeight="1">
      <c r="A120" s="6"/>
      <c r="B120" s="6"/>
      <c r="M120" s="8"/>
      <c r="O120" s="8"/>
    </row>
    <row r="121" ht="22.5" customHeight="1">
      <c r="A121" s="6"/>
      <c r="B121" s="6"/>
      <c r="M121" s="8"/>
      <c r="O121" s="8"/>
    </row>
    <row r="122" ht="22.5" customHeight="1">
      <c r="A122" s="6"/>
      <c r="B122" s="6"/>
      <c r="M122" s="8"/>
      <c r="O122" s="8"/>
    </row>
    <row r="123" ht="22.5" customHeight="1">
      <c r="A123" s="6"/>
      <c r="B123" s="6"/>
      <c r="M123" s="8"/>
      <c r="O123" s="8"/>
    </row>
    <row r="124" ht="22.5" customHeight="1">
      <c r="A124" s="6"/>
      <c r="B124" s="6"/>
      <c r="M124" s="8"/>
      <c r="O124" s="8"/>
    </row>
    <row r="125" ht="22.5" customHeight="1">
      <c r="A125" s="6"/>
      <c r="B125" s="6"/>
      <c r="M125" s="8"/>
      <c r="O125" s="8"/>
    </row>
    <row r="126" ht="22.5" customHeight="1">
      <c r="A126" s="6"/>
      <c r="B126" s="6"/>
      <c r="M126" s="8"/>
      <c r="O126" s="8"/>
    </row>
    <row r="127" ht="22.5" customHeight="1">
      <c r="A127" s="6"/>
      <c r="B127" s="6"/>
      <c r="M127" s="8"/>
      <c r="O127" s="8"/>
    </row>
    <row r="128" ht="22.5" customHeight="1">
      <c r="A128" s="6"/>
      <c r="B128" s="6"/>
      <c r="M128" s="8"/>
      <c r="O128" s="8"/>
    </row>
    <row r="129" ht="22.5" customHeight="1">
      <c r="A129" s="6"/>
      <c r="B129" s="6"/>
      <c r="M129" s="8"/>
      <c r="O129" s="8"/>
    </row>
    <row r="130" ht="22.5" customHeight="1">
      <c r="A130" s="6"/>
      <c r="B130" s="6"/>
      <c r="M130" s="8"/>
      <c r="O130" s="8"/>
    </row>
    <row r="131" ht="22.5" customHeight="1">
      <c r="A131" s="6"/>
      <c r="B131" s="6"/>
      <c r="M131" s="8"/>
      <c r="O131" s="8"/>
    </row>
    <row r="132" ht="22.5" customHeight="1">
      <c r="A132" s="6"/>
      <c r="B132" s="6"/>
      <c r="M132" s="8"/>
      <c r="O132" s="8"/>
    </row>
    <row r="133" ht="22.5" customHeight="1">
      <c r="A133" s="6"/>
      <c r="B133" s="6"/>
      <c r="M133" s="8"/>
      <c r="O133" s="8"/>
    </row>
    <row r="134" ht="22.5" customHeight="1">
      <c r="A134" s="6"/>
      <c r="B134" s="6"/>
      <c r="M134" s="8"/>
      <c r="O134" s="8"/>
    </row>
    <row r="135" ht="22.5" customHeight="1">
      <c r="A135" s="6"/>
      <c r="B135" s="6"/>
      <c r="M135" s="8"/>
      <c r="O135" s="8"/>
    </row>
    <row r="136" ht="22.5" customHeight="1">
      <c r="A136" s="6"/>
      <c r="B136" s="6"/>
      <c r="M136" s="8"/>
      <c r="O136" s="8"/>
    </row>
    <row r="137" ht="22.5" customHeight="1">
      <c r="A137" s="6"/>
      <c r="B137" s="6"/>
      <c r="M137" s="8"/>
      <c r="O137" s="8"/>
    </row>
    <row r="138" ht="22.5" customHeight="1">
      <c r="A138" s="6"/>
      <c r="B138" s="6"/>
      <c r="M138" s="8"/>
      <c r="O138" s="8"/>
    </row>
    <row r="139" ht="22.5" customHeight="1">
      <c r="A139" s="6"/>
      <c r="B139" s="6"/>
      <c r="M139" s="8"/>
      <c r="O139" s="8"/>
    </row>
    <row r="140" ht="22.5" customHeight="1">
      <c r="A140" s="6"/>
      <c r="B140" s="6"/>
      <c r="M140" s="8"/>
      <c r="O140" s="8"/>
    </row>
    <row r="141" ht="22.5" customHeight="1">
      <c r="A141" s="6"/>
      <c r="B141" s="6"/>
      <c r="M141" s="8"/>
      <c r="O141" s="8"/>
    </row>
    <row r="142" ht="22.5" customHeight="1">
      <c r="A142" s="6"/>
      <c r="B142" s="6"/>
      <c r="M142" s="8"/>
      <c r="O142" s="8"/>
    </row>
    <row r="143" ht="22.5" customHeight="1">
      <c r="A143" s="6"/>
      <c r="B143" s="6"/>
      <c r="M143" s="8"/>
      <c r="O143" s="8"/>
    </row>
    <row r="144" ht="22.5" customHeight="1">
      <c r="A144" s="6"/>
      <c r="B144" s="6"/>
      <c r="M144" s="8"/>
      <c r="O144" s="8"/>
    </row>
    <row r="145" ht="22.5" customHeight="1">
      <c r="A145" s="6"/>
      <c r="B145" s="6"/>
      <c r="M145" s="8"/>
      <c r="O145" s="8"/>
    </row>
    <row r="146" ht="22.5" customHeight="1">
      <c r="A146" s="6"/>
      <c r="B146" s="6"/>
      <c r="M146" s="8"/>
      <c r="O146" s="8"/>
    </row>
    <row r="147" ht="22.5" customHeight="1">
      <c r="A147" s="6"/>
      <c r="B147" s="6"/>
      <c r="M147" s="8"/>
      <c r="O147" s="8"/>
    </row>
    <row r="148" ht="22.5" customHeight="1">
      <c r="A148" s="6"/>
      <c r="B148" s="6"/>
      <c r="M148" s="8"/>
      <c r="O148" s="8"/>
    </row>
    <row r="149" ht="22.5" customHeight="1">
      <c r="A149" s="6"/>
      <c r="B149" s="6"/>
      <c r="M149" s="8"/>
      <c r="O149" s="8"/>
    </row>
    <row r="150" ht="22.5" customHeight="1">
      <c r="A150" s="6"/>
      <c r="B150" s="6"/>
      <c r="M150" s="8"/>
      <c r="O150" s="8"/>
    </row>
    <row r="151" ht="22.5" customHeight="1">
      <c r="A151" s="6"/>
      <c r="B151" s="6"/>
      <c r="M151" s="8"/>
      <c r="O151" s="8"/>
    </row>
    <row r="152" ht="22.5" customHeight="1">
      <c r="A152" s="6"/>
      <c r="B152" s="6"/>
      <c r="M152" s="8"/>
      <c r="O152" s="8"/>
    </row>
    <row r="153" ht="22.5" customHeight="1">
      <c r="A153" s="6"/>
      <c r="B153" s="6"/>
      <c r="M153" s="8"/>
      <c r="O153" s="8"/>
    </row>
    <row r="154" ht="22.5" customHeight="1">
      <c r="A154" s="6"/>
      <c r="B154" s="6"/>
      <c r="M154" s="8"/>
      <c r="O154" s="8"/>
    </row>
    <row r="155" ht="22.5" customHeight="1">
      <c r="A155" s="6"/>
      <c r="B155" s="6"/>
      <c r="M155" s="8"/>
      <c r="O155" s="8"/>
    </row>
    <row r="156" ht="22.5" customHeight="1">
      <c r="A156" s="6"/>
      <c r="B156" s="6"/>
      <c r="M156" s="8"/>
      <c r="O156" s="8"/>
    </row>
    <row r="157" ht="22.5" customHeight="1">
      <c r="A157" s="6"/>
      <c r="B157" s="6"/>
      <c r="M157" s="8"/>
      <c r="O157" s="8"/>
    </row>
    <row r="158" ht="22.5" customHeight="1">
      <c r="A158" s="6"/>
      <c r="B158" s="6"/>
      <c r="M158" s="8"/>
      <c r="O158" s="8"/>
    </row>
    <row r="159" ht="22.5" customHeight="1">
      <c r="A159" s="6"/>
      <c r="B159" s="6"/>
      <c r="M159" s="8"/>
      <c r="O159" s="8"/>
    </row>
    <row r="160" ht="22.5" customHeight="1">
      <c r="A160" s="6"/>
      <c r="B160" s="6"/>
      <c r="M160" s="8"/>
      <c r="O160" s="8"/>
    </row>
    <row r="161" ht="22.5" customHeight="1">
      <c r="A161" s="6"/>
      <c r="B161" s="6"/>
      <c r="M161" s="8"/>
      <c r="O161" s="8"/>
    </row>
    <row r="162" ht="22.5" customHeight="1">
      <c r="A162" s="6"/>
      <c r="B162" s="6"/>
      <c r="M162" s="8"/>
      <c r="O162" s="8"/>
    </row>
    <row r="163" ht="22.5" customHeight="1">
      <c r="A163" s="6"/>
      <c r="B163" s="6"/>
      <c r="M163" s="8"/>
      <c r="O163" s="8"/>
    </row>
    <row r="164" ht="22.5" customHeight="1">
      <c r="A164" s="6"/>
      <c r="B164" s="6"/>
      <c r="M164" s="8"/>
      <c r="O164" s="8"/>
    </row>
    <row r="165" ht="22.5" customHeight="1">
      <c r="A165" s="6"/>
      <c r="B165" s="6"/>
      <c r="M165" s="8"/>
      <c r="O165" s="8"/>
    </row>
    <row r="166" ht="22.5" customHeight="1">
      <c r="A166" s="6"/>
      <c r="B166" s="6"/>
      <c r="M166" s="8"/>
      <c r="O166" s="8"/>
    </row>
    <row r="167" ht="22.5" customHeight="1">
      <c r="A167" s="6"/>
      <c r="B167" s="6"/>
      <c r="M167" s="8"/>
      <c r="O167" s="8"/>
    </row>
    <row r="168" ht="22.5" customHeight="1">
      <c r="A168" s="6"/>
      <c r="B168" s="6"/>
      <c r="M168" s="8"/>
      <c r="O168" s="8"/>
    </row>
    <row r="169" ht="22.5" customHeight="1">
      <c r="A169" s="6"/>
      <c r="B169" s="6"/>
      <c r="M169" s="8"/>
      <c r="O169" s="8"/>
    </row>
    <row r="170" ht="22.5" customHeight="1">
      <c r="A170" s="6"/>
      <c r="B170" s="6"/>
      <c r="M170" s="8"/>
      <c r="O170" s="8"/>
    </row>
    <row r="171" ht="22.5" customHeight="1">
      <c r="A171" s="6"/>
      <c r="B171" s="6"/>
      <c r="M171" s="8"/>
      <c r="O171" s="8"/>
    </row>
    <row r="172" ht="22.5" customHeight="1">
      <c r="A172" s="6"/>
      <c r="B172" s="6"/>
      <c r="M172" s="8"/>
      <c r="O172" s="8"/>
    </row>
    <row r="173" ht="22.5" customHeight="1">
      <c r="A173" s="6"/>
      <c r="B173" s="6"/>
      <c r="M173" s="8"/>
      <c r="O173" s="8"/>
    </row>
    <row r="174" ht="22.5" customHeight="1">
      <c r="A174" s="6"/>
      <c r="B174" s="6"/>
      <c r="M174" s="8"/>
      <c r="O174" s="8"/>
    </row>
    <row r="175" ht="22.5" customHeight="1">
      <c r="A175" s="6"/>
      <c r="B175" s="6"/>
      <c r="M175" s="8"/>
      <c r="O175" s="8"/>
    </row>
    <row r="176" ht="22.5" customHeight="1">
      <c r="A176" s="6"/>
      <c r="B176" s="6"/>
      <c r="M176" s="8"/>
      <c r="O176" s="8"/>
    </row>
    <row r="177" ht="22.5" customHeight="1">
      <c r="A177" s="6"/>
      <c r="B177" s="6"/>
      <c r="M177" s="8"/>
      <c r="O177" s="8"/>
    </row>
    <row r="178" ht="22.5" customHeight="1">
      <c r="A178" s="6"/>
      <c r="B178" s="6"/>
      <c r="M178" s="8"/>
      <c r="O178" s="8"/>
    </row>
    <row r="179" ht="22.5" customHeight="1">
      <c r="A179" s="6"/>
      <c r="B179" s="6"/>
      <c r="M179" s="8"/>
      <c r="O179" s="8"/>
    </row>
    <row r="180" ht="22.5" customHeight="1">
      <c r="A180" s="6"/>
      <c r="B180" s="6"/>
      <c r="M180" s="8"/>
      <c r="O180" s="8"/>
    </row>
    <row r="181" ht="22.5" customHeight="1">
      <c r="A181" s="6"/>
      <c r="B181" s="6"/>
      <c r="M181" s="8"/>
      <c r="O181" s="8"/>
    </row>
    <row r="182" ht="22.5" customHeight="1">
      <c r="A182" s="6"/>
      <c r="B182" s="6"/>
      <c r="M182" s="8"/>
      <c r="O182" s="8"/>
    </row>
    <row r="183" ht="22.5" customHeight="1">
      <c r="A183" s="6"/>
      <c r="B183" s="6"/>
      <c r="M183" s="8"/>
      <c r="O183" s="8"/>
    </row>
    <row r="184" ht="22.5" customHeight="1">
      <c r="A184" s="6"/>
      <c r="B184" s="6"/>
      <c r="M184" s="8"/>
      <c r="O184" s="8"/>
    </row>
    <row r="185" ht="22.5" customHeight="1">
      <c r="A185" s="6"/>
      <c r="B185" s="6"/>
      <c r="M185" s="8"/>
      <c r="O185" s="8"/>
    </row>
    <row r="186" ht="22.5" customHeight="1">
      <c r="A186" s="6"/>
      <c r="B186" s="6"/>
      <c r="M186" s="8"/>
      <c r="O186" s="8"/>
    </row>
    <row r="187" ht="22.5" customHeight="1">
      <c r="A187" s="6"/>
      <c r="B187" s="6"/>
      <c r="M187" s="8"/>
      <c r="O187" s="8"/>
    </row>
    <row r="188" ht="22.5" customHeight="1">
      <c r="A188" s="6"/>
      <c r="B188" s="6"/>
      <c r="M188" s="8"/>
      <c r="O188" s="8"/>
    </row>
    <row r="189" ht="22.5" customHeight="1">
      <c r="A189" s="6"/>
      <c r="B189" s="6"/>
      <c r="M189" s="8"/>
      <c r="O189" s="8"/>
    </row>
    <row r="190" ht="22.5" customHeight="1">
      <c r="A190" s="6"/>
      <c r="B190" s="6"/>
      <c r="M190" s="8"/>
      <c r="O190" s="8"/>
    </row>
    <row r="191" ht="22.5" customHeight="1">
      <c r="A191" s="6"/>
      <c r="B191" s="6"/>
      <c r="M191" s="8"/>
      <c r="O191" s="8"/>
    </row>
    <row r="192" ht="22.5" customHeight="1">
      <c r="A192" s="6"/>
      <c r="B192" s="6"/>
      <c r="M192" s="8"/>
      <c r="O192" s="8"/>
    </row>
    <row r="193" ht="22.5" customHeight="1">
      <c r="A193" s="6"/>
      <c r="B193" s="6"/>
      <c r="M193" s="8"/>
      <c r="O193" s="8"/>
    </row>
    <row r="194" ht="22.5" customHeight="1">
      <c r="A194" s="6"/>
      <c r="B194" s="6"/>
      <c r="M194" s="8"/>
      <c r="O194" s="8"/>
    </row>
    <row r="195" ht="22.5" customHeight="1">
      <c r="A195" s="6"/>
      <c r="B195" s="6"/>
      <c r="M195" s="8"/>
      <c r="O195" s="8"/>
    </row>
    <row r="196" ht="22.5" customHeight="1">
      <c r="A196" s="6"/>
      <c r="B196" s="6"/>
      <c r="M196" s="8"/>
      <c r="O196" s="8"/>
    </row>
    <row r="197" ht="22.5" customHeight="1">
      <c r="A197" s="6"/>
      <c r="B197" s="6"/>
      <c r="M197" s="8"/>
      <c r="O197" s="8"/>
    </row>
    <row r="198" ht="22.5" customHeight="1">
      <c r="A198" s="6"/>
      <c r="B198" s="6"/>
      <c r="M198" s="8"/>
      <c r="O198" s="8"/>
    </row>
    <row r="199" ht="22.5" customHeight="1">
      <c r="A199" s="6"/>
      <c r="B199" s="6"/>
      <c r="M199" s="8"/>
      <c r="O199" s="8"/>
    </row>
    <row r="200" ht="22.5" customHeight="1">
      <c r="A200" s="6"/>
      <c r="B200" s="6"/>
      <c r="M200" s="8"/>
      <c r="O200" s="8"/>
    </row>
    <row r="201" ht="22.5" customHeight="1">
      <c r="A201" s="6"/>
      <c r="B201" s="6"/>
      <c r="M201" s="8"/>
      <c r="O201" s="8"/>
    </row>
    <row r="202" ht="22.5" customHeight="1">
      <c r="A202" s="6"/>
      <c r="B202" s="6"/>
      <c r="M202" s="8"/>
      <c r="O202" s="8"/>
    </row>
    <row r="203" ht="22.5" customHeight="1">
      <c r="A203" s="6"/>
      <c r="B203" s="6"/>
      <c r="M203" s="8"/>
      <c r="O203" s="8"/>
    </row>
    <row r="204" ht="22.5" customHeight="1">
      <c r="A204" s="6"/>
      <c r="B204" s="6"/>
      <c r="M204" s="8"/>
      <c r="O204" s="8"/>
    </row>
    <row r="205" ht="22.5" customHeight="1">
      <c r="A205" s="6"/>
      <c r="B205" s="6"/>
      <c r="M205" s="8"/>
      <c r="O205" s="8"/>
    </row>
    <row r="206" ht="22.5" customHeight="1">
      <c r="A206" s="6"/>
      <c r="B206" s="6"/>
      <c r="M206" s="8"/>
      <c r="O206" s="8"/>
    </row>
    <row r="207" ht="22.5" customHeight="1">
      <c r="A207" s="6"/>
      <c r="B207" s="6"/>
      <c r="M207" s="8"/>
      <c r="O207" s="8"/>
    </row>
    <row r="208" ht="22.5" customHeight="1">
      <c r="A208" s="6"/>
      <c r="B208" s="6"/>
      <c r="M208" s="8"/>
      <c r="O208" s="8"/>
    </row>
    <row r="209" ht="22.5" customHeight="1">
      <c r="A209" s="6"/>
      <c r="B209" s="6"/>
      <c r="M209" s="8"/>
      <c r="O209" s="8"/>
    </row>
    <row r="210" ht="22.5" customHeight="1">
      <c r="A210" s="6"/>
      <c r="B210" s="6"/>
      <c r="M210" s="8"/>
      <c r="O210" s="8"/>
    </row>
    <row r="211" ht="22.5" customHeight="1">
      <c r="A211" s="6"/>
      <c r="B211" s="6"/>
      <c r="M211" s="8"/>
      <c r="O211" s="8"/>
    </row>
    <row r="212" ht="22.5" customHeight="1">
      <c r="A212" s="6"/>
      <c r="B212" s="6"/>
      <c r="M212" s="8"/>
      <c r="O212" s="8"/>
    </row>
    <row r="213" ht="22.5" customHeight="1">
      <c r="A213" s="6"/>
      <c r="B213" s="6"/>
      <c r="M213" s="8"/>
      <c r="O213" s="8"/>
    </row>
    <row r="214" ht="22.5" customHeight="1">
      <c r="A214" s="6"/>
      <c r="B214" s="6"/>
      <c r="M214" s="8"/>
      <c r="O214" s="8"/>
    </row>
    <row r="215" ht="22.5" customHeight="1">
      <c r="A215" s="6"/>
      <c r="B215" s="6"/>
      <c r="M215" s="8"/>
      <c r="O215" s="8"/>
    </row>
    <row r="216" ht="22.5" customHeight="1">
      <c r="A216" s="6"/>
      <c r="B216" s="6"/>
      <c r="M216" s="8"/>
      <c r="O216" s="8"/>
    </row>
    <row r="217" ht="22.5" customHeight="1">
      <c r="A217" s="6"/>
      <c r="B217" s="6"/>
      <c r="M217" s="8"/>
      <c r="O217" s="8"/>
    </row>
    <row r="218" ht="22.5" customHeight="1">
      <c r="A218" s="6"/>
      <c r="B218" s="6"/>
      <c r="M218" s="8"/>
      <c r="O218" s="8"/>
    </row>
    <row r="219" ht="22.5" customHeight="1">
      <c r="A219" s="6"/>
      <c r="B219" s="6"/>
      <c r="M219" s="8"/>
      <c r="O219" s="8"/>
    </row>
    <row r="220" ht="22.5" customHeight="1">
      <c r="A220" s="6"/>
      <c r="B220" s="6"/>
      <c r="M220" s="8"/>
      <c r="O220" s="8"/>
    </row>
    <row r="221" ht="22.5" customHeight="1">
      <c r="A221" s="6"/>
      <c r="B221" s="6"/>
      <c r="M221" s="8"/>
      <c r="O221" s="8"/>
    </row>
    <row r="222" ht="22.5" customHeight="1">
      <c r="A222" s="6"/>
      <c r="B222" s="6"/>
      <c r="M222" s="8"/>
      <c r="O222" s="8"/>
    </row>
    <row r="223" ht="22.5" customHeight="1">
      <c r="A223" s="6"/>
      <c r="B223" s="6"/>
      <c r="M223" s="8"/>
      <c r="O223" s="8"/>
    </row>
    <row r="224" ht="22.5" customHeight="1">
      <c r="A224" s="6"/>
      <c r="B224" s="6"/>
      <c r="M224" s="8"/>
      <c r="O224" s="8"/>
    </row>
    <row r="225" ht="22.5" customHeight="1">
      <c r="A225" s="6"/>
      <c r="B225" s="6"/>
      <c r="M225" s="8"/>
      <c r="O225" s="8"/>
    </row>
    <row r="226" ht="22.5" customHeight="1">
      <c r="A226" s="6"/>
      <c r="B226" s="6"/>
      <c r="M226" s="8"/>
      <c r="O226" s="8"/>
    </row>
    <row r="227" ht="22.5" customHeight="1">
      <c r="A227" s="6"/>
      <c r="B227" s="6"/>
      <c r="M227" s="8"/>
      <c r="O227" s="8"/>
    </row>
    <row r="228" ht="22.5" customHeight="1">
      <c r="A228" s="6"/>
      <c r="B228" s="6"/>
      <c r="M228" s="8"/>
      <c r="O228" s="8"/>
    </row>
    <row r="229" ht="22.5" customHeight="1">
      <c r="A229" s="6"/>
      <c r="B229" s="6"/>
      <c r="M229" s="8"/>
      <c r="O229" s="8"/>
    </row>
    <row r="230" ht="22.5" customHeight="1">
      <c r="A230" s="6"/>
      <c r="B230" s="6"/>
      <c r="M230" s="8"/>
      <c r="O230" s="8"/>
    </row>
    <row r="231" ht="22.5" customHeight="1">
      <c r="A231" s="6"/>
      <c r="B231" s="6"/>
      <c r="M231" s="8"/>
      <c r="O231" s="8"/>
    </row>
    <row r="232" ht="22.5" customHeight="1">
      <c r="A232" s="6"/>
      <c r="B232" s="6"/>
      <c r="M232" s="8"/>
      <c r="O232" s="8"/>
    </row>
    <row r="233" ht="22.5" customHeight="1">
      <c r="A233" s="6"/>
      <c r="B233" s="6"/>
      <c r="M233" s="8"/>
      <c r="O233" s="8"/>
    </row>
    <row r="234" ht="22.5" customHeight="1">
      <c r="A234" s="6"/>
      <c r="B234" s="6"/>
      <c r="M234" s="8"/>
      <c r="O234" s="8"/>
    </row>
    <row r="235" ht="22.5" customHeight="1">
      <c r="A235" s="6"/>
      <c r="B235" s="6"/>
      <c r="M235" s="8"/>
      <c r="O235" s="8"/>
    </row>
    <row r="236" ht="22.5" customHeight="1">
      <c r="A236" s="6"/>
      <c r="B236" s="6"/>
      <c r="M236" s="8"/>
      <c r="O236" s="8"/>
    </row>
    <row r="237" ht="22.5" customHeight="1">
      <c r="A237" s="6"/>
      <c r="B237" s="6"/>
      <c r="M237" s="8"/>
      <c r="O237" s="8"/>
    </row>
    <row r="238" ht="22.5" customHeight="1">
      <c r="A238" s="6"/>
      <c r="B238" s="6"/>
      <c r="M238" s="8"/>
      <c r="O238" s="8"/>
    </row>
    <row r="239" ht="22.5" customHeight="1">
      <c r="A239" s="6"/>
      <c r="B239" s="6"/>
      <c r="M239" s="8"/>
      <c r="O239" s="8"/>
    </row>
    <row r="240" ht="22.5" customHeight="1">
      <c r="A240" s="6"/>
      <c r="B240" s="6"/>
      <c r="M240" s="8"/>
      <c r="O240" s="8"/>
    </row>
    <row r="241" ht="22.5" customHeight="1">
      <c r="A241" s="6"/>
      <c r="B241" s="6"/>
      <c r="M241" s="8"/>
      <c r="O241" s="8"/>
    </row>
    <row r="242" ht="22.5" customHeight="1">
      <c r="A242" s="6"/>
      <c r="B242" s="6"/>
      <c r="M242" s="8"/>
      <c r="O242" s="8"/>
    </row>
    <row r="243" ht="22.5" customHeight="1">
      <c r="A243" s="6"/>
      <c r="B243" s="6"/>
      <c r="M243" s="8"/>
      <c r="O243" s="8"/>
    </row>
    <row r="244" ht="22.5" customHeight="1">
      <c r="A244" s="6"/>
      <c r="B244" s="6"/>
      <c r="M244" s="8"/>
      <c r="O244" s="8"/>
    </row>
    <row r="245" ht="22.5" customHeight="1">
      <c r="A245" s="6"/>
      <c r="B245" s="6"/>
      <c r="M245" s="8"/>
      <c r="O245" s="8"/>
    </row>
    <row r="246" ht="22.5" customHeight="1">
      <c r="A246" s="6"/>
      <c r="B246" s="6"/>
      <c r="M246" s="8"/>
      <c r="O246" s="8"/>
    </row>
    <row r="247" ht="22.5" customHeight="1">
      <c r="A247" s="6"/>
      <c r="B247" s="6"/>
      <c r="M247" s="8"/>
      <c r="O247" s="8"/>
    </row>
    <row r="248" ht="22.5" customHeight="1">
      <c r="A248" s="6"/>
      <c r="B248" s="6"/>
      <c r="M248" s="8"/>
      <c r="O248" s="8"/>
    </row>
    <row r="249" ht="22.5" customHeight="1">
      <c r="A249" s="6"/>
      <c r="B249" s="6"/>
      <c r="M249" s="8"/>
      <c r="O249" s="8"/>
    </row>
    <row r="250" ht="22.5" customHeight="1">
      <c r="A250" s="6"/>
      <c r="B250" s="6"/>
      <c r="M250" s="8"/>
      <c r="O250" s="8"/>
    </row>
    <row r="251" ht="22.5" customHeight="1">
      <c r="A251" s="6"/>
      <c r="B251" s="6"/>
      <c r="M251" s="8"/>
      <c r="O251" s="8"/>
    </row>
    <row r="252" ht="22.5" customHeight="1">
      <c r="A252" s="6"/>
      <c r="B252" s="6"/>
      <c r="M252" s="8"/>
      <c r="O252" s="8"/>
    </row>
    <row r="253" ht="22.5" customHeight="1">
      <c r="A253" s="6"/>
      <c r="B253" s="6"/>
      <c r="M253" s="8"/>
      <c r="O253" s="8"/>
    </row>
    <row r="254" ht="22.5" customHeight="1">
      <c r="A254" s="6"/>
      <c r="B254" s="6"/>
      <c r="M254" s="8"/>
      <c r="O254" s="8"/>
    </row>
    <row r="255" ht="22.5" customHeight="1">
      <c r="A255" s="6"/>
      <c r="B255" s="6"/>
      <c r="M255" s="8"/>
      <c r="O255" s="8"/>
    </row>
    <row r="256" ht="22.5" customHeight="1">
      <c r="A256" s="6"/>
      <c r="B256" s="6"/>
      <c r="M256" s="8"/>
      <c r="O256" s="8"/>
    </row>
    <row r="257" ht="22.5" customHeight="1">
      <c r="A257" s="6"/>
      <c r="B257" s="6"/>
      <c r="M257" s="8"/>
      <c r="O257" s="8"/>
    </row>
    <row r="258" ht="22.5" customHeight="1">
      <c r="A258" s="6"/>
      <c r="B258" s="6"/>
      <c r="M258" s="8"/>
      <c r="O258" s="8"/>
    </row>
    <row r="259" ht="22.5" customHeight="1">
      <c r="A259" s="6"/>
      <c r="B259" s="6"/>
      <c r="M259" s="8"/>
      <c r="O259" s="8"/>
    </row>
    <row r="260" ht="22.5" customHeight="1">
      <c r="A260" s="6"/>
      <c r="B260" s="6"/>
      <c r="M260" s="8"/>
      <c r="O260" s="8"/>
    </row>
    <row r="261" ht="22.5" customHeight="1">
      <c r="A261" s="6"/>
      <c r="B261" s="6"/>
      <c r="M261" s="8"/>
      <c r="O261" s="8"/>
    </row>
    <row r="262" ht="22.5" customHeight="1">
      <c r="A262" s="6"/>
      <c r="B262" s="6"/>
      <c r="M262" s="8"/>
      <c r="O262" s="8"/>
    </row>
    <row r="263" ht="22.5" customHeight="1">
      <c r="A263" s="6"/>
      <c r="B263" s="6"/>
      <c r="M263" s="8"/>
      <c r="O263" s="8"/>
    </row>
    <row r="264" ht="22.5" customHeight="1">
      <c r="A264" s="6"/>
      <c r="B264" s="6"/>
      <c r="M264" s="8"/>
      <c r="O264" s="8"/>
    </row>
    <row r="265" ht="22.5" customHeight="1">
      <c r="A265" s="6"/>
      <c r="B265" s="6"/>
      <c r="M265" s="8"/>
      <c r="O265" s="8"/>
    </row>
    <row r="266" ht="22.5" customHeight="1">
      <c r="A266" s="6"/>
      <c r="B266" s="6"/>
      <c r="M266" s="8"/>
      <c r="O266" s="8"/>
    </row>
    <row r="267" ht="22.5" customHeight="1">
      <c r="A267" s="6"/>
      <c r="B267" s="6"/>
      <c r="M267" s="8"/>
      <c r="O267" s="8"/>
    </row>
    <row r="268" ht="22.5" customHeight="1">
      <c r="A268" s="6"/>
      <c r="B268" s="6"/>
      <c r="M268" s="8"/>
      <c r="O268" s="8"/>
    </row>
    <row r="269" ht="22.5" customHeight="1">
      <c r="A269" s="6"/>
      <c r="B269" s="6"/>
      <c r="M269" s="8"/>
      <c r="O269" s="8"/>
    </row>
    <row r="270" ht="22.5" customHeight="1">
      <c r="A270" s="6"/>
      <c r="B270" s="6"/>
      <c r="M270" s="8"/>
      <c r="O270" s="8"/>
    </row>
    <row r="271" ht="22.5" customHeight="1">
      <c r="A271" s="6"/>
      <c r="B271" s="6"/>
      <c r="M271" s="8"/>
      <c r="O271" s="8"/>
    </row>
    <row r="272" ht="22.5" customHeight="1">
      <c r="A272" s="6"/>
      <c r="B272" s="6"/>
      <c r="M272" s="8"/>
      <c r="O272" s="8"/>
    </row>
    <row r="273" ht="22.5" customHeight="1">
      <c r="A273" s="6"/>
      <c r="B273" s="6"/>
      <c r="M273" s="8"/>
      <c r="O273" s="8"/>
    </row>
    <row r="274" ht="22.5" customHeight="1">
      <c r="A274" s="6"/>
      <c r="B274" s="6"/>
      <c r="M274" s="8"/>
      <c r="O274" s="8"/>
    </row>
    <row r="275" ht="22.5" customHeight="1">
      <c r="A275" s="6"/>
      <c r="B275" s="6"/>
      <c r="M275" s="8"/>
      <c r="O275" s="8"/>
    </row>
    <row r="276" ht="22.5" customHeight="1">
      <c r="A276" s="6"/>
      <c r="B276" s="6"/>
      <c r="M276" s="8"/>
      <c r="O276" s="8"/>
    </row>
    <row r="277" ht="22.5" customHeight="1">
      <c r="A277" s="6"/>
      <c r="B277" s="6"/>
      <c r="M277" s="8"/>
      <c r="O277" s="8"/>
    </row>
    <row r="278" ht="22.5" customHeight="1">
      <c r="A278" s="6"/>
      <c r="B278" s="6"/>
      <c r="M278" s="8"/>
      <c r="O278" s="8"/>
    </row>
    <row r="279" ht="22.5" customHeight="1">
      <c r="A279" s="6"/>
      <c r="B279" s="6"/>
      <c r="M279" s="8"/>
      <c r="O279" s="8"/>
    </row>
    <row r="280" ht="22.5" customHeight="1">
      <c r="A280" s="6"/>
      <c r="B280" s="6"/>
      <c r="M280" s="8"/>
      <c r="O280" s="8"/>
    </row>
    <row r="281" ht="22.5" customHeight="1">
      <c r="A281" s="6"/>
      <c r="B281" s="6"/>
      <c r="M281" s="8"/>
      <c r="O281" s="8"/>
    </row>
    <row r="282" ht="22.5" customHeight="1">
      <c r="A282" s="6"/>
      <c r="B282" s="6"/>
      <c r="M282" s="8"/>
      <c r="O282" s="8"/>
    </row>
    <row r="283" ht="22.5" customHeight="1">
      <c r="A283" s="6"/>
      <c r="B283" s="6"/>
      <c r="M283" s="8"/>
      <c r="O283" s="8"/>
    </row>
    <row r="284" ht="22.5" customHeight="1">
      <c r="A284" s="6"/>
      <c r="B284" s="6"/>
      <c r="M284" s="8"/>
      <c r="O284" s="8"/>
    </row>
    <row r="285" ht="22.5" customHeight="1">
      <c r="A285" s="6"/>
      <c r="B285" s="6"/>
      <c r="M285" s="8"/>
      <c r="O285" s="8"/>
    </row>
    <row r="286" ht="22.5" customHeight="1">
      <c r="A286" s="6"/>
      <c r="B286" s="6"/>
      <c r="M286" s="8"/>
      <c r="O286" s="8"/>
    </row>
    <row r="287" ht="22.5" customHeight="1">
      <c r="A287" s="6"/>
      <c r="B287" s="6"/>
      <c r="M287" s="8"/>
      <c r="O287" s="8"/>
    </row>
    <row r="288" ht="22.5" customHeight="1">
      <c r="A288" s="6"/>
      <c r="B288" s="6"/>
      <c r="M288" s="8"/>
      <c r="O288" s="8"/>
    </row>
    <row r="289" ht="22.5" customHeight="1">
      <c r="A289" s="6"/>
      <c r="B289" s="6"/>
      <c r="M289" s="8"/>
      <c r="O289" s="8"/>
    </row>
    <row r="290" ht="22.5" customHeight="1">
      <c r="A290" s="6"/>
      <c r="B290" s="6"/>
      <c r="M290" s="8"/>
      <c r="O290" s="8"/>
    </row>
    <row r="291" ht="22.5" customHeight="1">
      <c r="A291" s="6"/>
      <c r="B291" s="6"/>
      <c r="M291" s="8"/>
      <c r="O291" s="8"/>
    </row>
    <row r="292" ht="22.5" customHeight="1">
      <c r="A292" s="6"/>
      <c r="B292" s="6"/>
      <c r="M292" s="8"/>
      <c r="O292" s="8"/>
    </row>
    <row r="293" ht="22.5" customHeight="1">
      <c r="A293" s="6"/>
      <c r="B293" s="6"/>
      <c r="M293" s="8"/>
      <c r="O293" s="8"/>
    </row>
    <row r="294" ht="22.5" customHeight="1">
      <c r="A294" s="6"/>
      <c r="B294" s="6"/>
      <c r="M294" s="8"/>
      <c r="O294" s="8"/>
    </row>
    <row r="295" ht="22.5" customHeight="1">
      <c r="A295" s="6"/>
      <c r="B295" s="6"/>
      <c r="M295" s="8"/>
      <c r="O295" s="8"/>
    </row>
    <row r="296" ht="22.5" customHeight="1">
      <c r="A296" s="6"/>
      <c r="B296" s="6"/>
      <c r="M296" s="8"/>
      <c r="O296" s="8"/>
    </row>
    <row r="297" ht="22.5" customHeight="1">
      <c r="A297" s="6"/>
      <c r="B297" s="6"/>
      <c r="M297" s="8"/>
      <c r="O297" s="8"/>
    </row>
    <row r="298" ht="22.5" customHeight="1">
      <c r="A298" s="6"/>
      <c r="B298" s="6"/>
      <c r="M298" s="8"/>
      <c r="O298" s="8"/>
    </row>
    <row r="299" ht="22.5" customHeight="1">
      <c r="A299" s="6"/>
      <c r="B299" s="6"/>
      <c r="M299" s="8"/>
      <c r="O299" s="8"/>
    </row>
    <row r="300" ht="22.5" customHeight="1">
      <c r="A300" s="6"/>
      <c r="B300" s="6"/>
      <c r="M300" s="8"/>
      <c r="O300" s="8"/>
    </row>
    <row r="301" ht="22.5" customHeight="1">
      <c r="A301" s="6"/>
      <c r="B301" s="6"/>
      <c r="M301" s="8"/>
      <c r="O301" s="8"/>
    </row>
    <row r="302" ht="22.5" customHeight="1">
      <c r="A302" s="6"/>
      <c r="B302" s="6"/>
      <c r="M302" s="8"/>
      <c r="O302" s="8"/>
    </row>
    <row r="303" ht="22.5" customHeight="1">
      <c r="A303" s="6"/>
      <c r="B303" s="6"/>
      <c r="M303" s="8"/>
      <c r="O303" s="8"/>
    </row>
    <row r="304" ht="22.5" customHeight="1">
      <c r="A304" s="6"/>
      <c r="B304" s="6"/>
      <c r="M304" s="8"/>
      <c r="O304" s="8"/>
    </row>
    <row r="305" ht="22.5" customHeight="1">
      <c r="A305" s="6"/>
      <c r="B305" s="6"/>
      <c r="M305" s="8"/>
      <c r="O305" s="8"/>
    </row>
    <row r="306" ht="22.5" customHeight="1">
      <c r="A306" s="6"/>
      <c r="B306" s="6"/>
      <c r="M306" s="8"/>
      <c r="O306" s="8"/>
    </row>
    <row r="307" ht="22.5" customHeight="1">
      <c r="A307" s="6"/>
      <c r="B307" s="6"/>
      <c r="M307" s="8"/>
      <c r="O307" s="8"/>
    </row>
    <row r="308" ht="22.5" customHeight="1">
      <c r="A308" s="6"/>
      <c r="B308" s="6"/>
      <c r="M308" s="8"/>
      <c r="O308" s="8"/>
    </row>
    <row r="309" ht="22.5" customHeight="1">
      <c r="A309" s="6"/>
      <c r="B309" s="6"/>
      <c r="M309" s="8"/>
      <c r="O309" s="8"/>
    </row>
    <row r="310" ht="22.5" customHeight="1">
      <c r="A310" s="6"/>
      <c r="B310" s="6"/>
      <c r="M310" s="8"/>
      <c r="O310" s="8"/>
    </row>
    <row r="311" ht="22.5" customHeight="1">
      <c r="A311" s="6"/>
      <c r="B311" s="6"/>
      <c r="M311" s="8"/>
      <c r="O311" s="8"/>
    </row>
    <row r="312" ht="22.5" customHeight="1">
      <c r="A312" s="6"/>
      <c r="B312" s="6"/>
      <c r="M312" s="8"/>
      <c r="O312" s="8"/>
    </row>
    <row r="313" ht="22.5" customHeight="1">
      <c r="A313" s="6"/>
      <c r="B313" s="6"/>
      <c r="M313" s="8"/>
      <c r="O313" s="8"/>
    </row>
    <row r="314" ht="22.5" customHeight="1">
      <c r="A314" s="6"/>
      <c r="B314" s="6"/>
      <c r="M314" s="8"/>
      <c r="O314" s="8"/>
    </row>
    <row r="315" ht="22.5" customHeight="1">
      <c r="A315" s="6"/>
      <c r="B315" s="6"/>
      <c r="M315" s="8"/>
      <c r="O315" s="8"/>
    </row>
    <row r="316" ht="22.5" customHeight="1">
      <c r="A316" s="6"/>
      <c r="B316" s="6"/>
      <c r="M316" s="8"/>
      <c r="O316" s="8"/>
    </row>
    <row r="317" ht="22.5" customHeight="1">
      <c r="A317" s="6"/>
      <c r="B317" s="6"/>
      <c r="M317" s="8"/>
      <c r="O317" s="8"/>
    </row>
    <row r="318" ht="22.5" customHeight="1">
      <c r="A318" s="6"/>
      <c r="B318" s="6"/>
      <c r="M318" s="8"/>
      <c r="O318" s="8"/>
    </row>
    <row r="319" ht="22.5" customHeight="1">
      <c r="A319" s="6"/>
      <c r="B319" s="6"/>
      <c r="M319" s="8"/>
      <c r="O319" s="8"/>
    </row>
    <row r="320" ht="22.5" customHeight="1">
      <c r="A320" s="6"/>
      <c r="B320" s="6"/>
      <c r="M320" s="8"/>
      <c r="O320" s="8"/>
    </row>
    <row r="321" ht="22.5" customHeight="1">
      <c r="A321" s="6"/>
      <c r="B321" s="6"/>
      <c r="M321" s="8"/>
      <c r="O321" s="8"/>
    </row>
    <row r="322" ht="22.5" customHeight="1">
      <c r="A322" s="6"/>
      <c r="B322" s="6"/>
      <c r="M322" s="8"/>
      <c r="O322" s="8"/>
    </row>
    <row r="323" ht="22.5" customHeight="1">
      <c r="A323" s="6"/>
      <c r="B323" s="6"/>
      <c r="M323" s="8"/>
      <c r="O323" s="8"/>
    </row>
    <row r="324" ht="22.5" customHeight="1">
      <c r="A324" s="6"/>
      <c r="B324" s="6"/>
      <c r="M324" s="8"/>
      <c r="O324" s="8"/>
    </row>
    <row r="325" ht="22.5" customHeight="1">
      <c r="A325" s="6"/>
      <c r="B325" s="6"/>
      <c r="M325" s="8"/>
      <c r="O325" s="8"/>
    </row>
    <row r="326" ht="22.5" customHeight="1">
      <c r="A326" s="6"/>
      <c r="B326" s="6"/>
      <c r="M326" s="8"/>
      <c r="O326" s="8"/>
    </row>
    <row r="327" ht="22.5" customHeight="1">
      <c r="A327" s="6"/>
      <c r="B327" s="6"/>
      <c r="M327" s="8"/>
      <c r="O327" s="8"/>
    </row>
    <row r="328" ht="22.5" customHeight="1">
      <c r="A328" s="6"/>
      <c r="B328" s="6"/>
      <c r="M328" s="8"/>
      <c r="O328" s="8"/>
    </row>
    <row r="329" ht="22.5" customHeight="1">
      <c r="A329" s="6"/>
      <c r="B329" s="6"/>
      <c r="M329" s="8"/>
      <c r="O329" s="8"/>
    </row>
    <row r="330" ht="22.5" customHeight="1">
      <c r="A330" s="6"/>
      <c r="B330" s="6"/>
      <c r="M330" s="8"/>
      <c r="O330" s="8"/>
    </row>
    <row r="331" ht="22.5" customHeight="1">
      <c r="A331" s="6"/>
      <c r="B331" s="6"/>
      <c r="M331" s="8"/>
      <c r="O331" s="8"/>
    </row>
    <row r="332" ht="22.5" customHeight="1">
      <c r="A332" s="6"/>
      <c r="B332" s="6"/>
      <c r="M332" s="8"/>
      <c r="O332" s="8"/>
    </row>
    <row r="333" ht="22.5" customHeight="1">
      <c r="A333" s="6"/>
      <c r="B333" s="6"/>
      <c r="M333" s="8"/>
      <c r="O333" s="8"/>
    </row>
    <row r="334" ht="22.5" customHeight="1">
      <c r="A334" s="6"/>
      <c r="B334" s="6"/>
      <c r="M334" s="8"/>
      <c r="O334" s="8"/>
    </row>
    <row r="335" ht="22.5" customHeight="1">
      <c r="A335" s="6"/>
      <c r="B335" s="6"/>
      <c r="M335" s="8"/>
      <c r="O335" s="8"/>
    </row>
    <row r="336" ht="22.5" customHeight="1">
      <c r="A336" s="6"/>
      <c r="B336" s="6"/>
      <c r="M336" s="8"/>
      <c r="O336" s="8"/>
    </row>
    <row r="337" ht="22.5" customHeight="1">
      <c r="A337" s="6"/>
      <c r="B337" s="6"/>
      <c r="M337" s="8"/>
      <c r="O337" s="8"/>
    </row>
    <row r="338" ht="22.5" customHeight="1">
      <c r="A338" s="6"/>
      <c r="B338" s="6"/>
      <c r="M338" s="8"/>
      <c r="O338" s="8"/>
    </row>
    <row r="339" ht="22.5" customHeight="1">
      <c r="A339" s="6"/>
      <c r="B339" s="6"/>
      <c r="M339" s="8"/>
      <c r="O339" s="8"/>
    </row>
    <row r="340" ht="22.5" customHeight="1">
      <c r="A340" s="6"/>
      <c r="B340" s="6"/>
      <c r="M340" s="8"/>
      <c r="O340" s="8"/>
    </row>
    <row r="341" ht="22.5" customHeight="1">
      <c r="A341" s="6"/>
      <c r="B341" s="6"/>
      <c r="M341" s="8"/>
      <c r="O341" s="8"/>
    </row>
    <row r="342" ht="22.5" customHeight="1">
      <c r="A342" s="6"/>
      <c r="B342" s="6"/>
      <c r="M342" s="8"/>
      <c r="O342" s="8"/>
    </row>
    <row r="343" ht="22.5" customHeight="1">
      <c r="A343" s="6"/>
      <c r="B343" s="6"/>
      <c r="M343" s="8"/>
      <c r="O343" s="8"/>
    </row>
    <row r="344" ht="22.5" customHeight="1">
      <c r="A344" s="6"/>
      <c r="B344" s="6"/>
      <c r="M344" s="8"/>
      <c r="O344" s="8"/>
    </row>
    <row r="345" ht="22.5" customHeight="1">
      <c r="A345" s="6"/>
      <c r="B345" s="6"/>
      <c r="M345" s="8"/>
      <c r="O345" s="8"/>
    </row>
    <row r="346" ht="22.5" customHeight="1">
      <c r="A346" s="6"/>
      <c r="B346" s="6"/>
      <c r="M346" s="8"/>
      <c r="O346" s="8"/>
    </row>
    <row r="347" ht="22.5" customHeight="1">
      <c r="A347" s="6"/>
      <c r="B347" s="6"/>
      <c r="M347" s="8"/>
      <c r="O347" s="8"/>
    </row>
    <row r="348" ht="22.5" customHeight="1">
      <c r="A348" s="6"/>
      <c r="B348" s="6"/>
      <c r="M348" s="8"/>
      <c r="O348" s="8"/>
    </row>
    <row r="349" ht="22.5" customHeight="1">
      <c r="A349" s="6"/>
      <c r="B349" s="6"/>
      <c r="M349" s="8"/>
      <c r="O349" s="8"/>
    </row>
    <row r="350" ht="22.5" customHeight="1">
      <c r="A350" s="6"/>
      <c r="B350" s="6"/>
      <c r="M350" s="8"/>
      <c r="O350" s="8"/>
    </row>
    <row r="351" ht="22.5" customHeight="1">
      <c r="A351" s="6"/>
      <c r="B351" s="6"/>
      <c r="M351" s="8"/>
      <c r="O351" s="8"/>
    </row>
    <row r="352" ht="22.5" customHeight="1">
      <c r="A352" s="6"/>
      <c r="B352" s="6"/>
      <c r="M352" s="8"/>
      <c r="O352" s="8"/>
    </row>
    <row r="353" ht="22.5" customHeight="1">
      <c r="A353" s="6"/>
      <c r="B353" s="6"/>
      <c r="M353" s="8"/>
      <c r="O353" s="8"/>
    </row>
    <row r="354" ht="22.5" customHeight="1">
      <c r="A354" s="6"/>
      <c r="B354" s="6"/>
      <c r="M354" s="8"/>
      <c r="O354" s="8"/>
    </row>
    <row r="355" ht="22.5" customHeight="1">
      <c r="A355" s="6"/>
      <c r="B355" s="6"/>
      <c r="M355" s="8"/>
      <c r="O355" s="8"/>
    </row>
    <row r="356" ht="22.5" customHeight="1">
      <c r="A356" s="6"/>
      <c r="B356" s="6"/>
      <c r="M356" s="8"/>
      <c r="O356" s="8"/>
    </row>
    <row r="357" ht="22.5" customHeight="1">
      <c r="A357" s="6"/>
      <c r="B357" s="6"/>
      <c r="M357" s="8"/>
      <c r="O357" s="8"/>
    </row>
    <row r="358" ht="22.5" customHeight="1">
      <c r="A358" s="6"/>
      <c r="B358" s="6"/>
      <c r="M358" s="8"/>
      <c r="O358" s="8"/>
    </row>
    <row r="359" ht="22.5" customHeight="1">
      <c r="A359" s="6"/>
      <c r="B359" s="6"/>
      <c r="M359" s="8"/>
      <c r="O359" s="8"/>
    </row>
    <row r="360" ht="22.5" customHeight="1">
      <c r="A360" s="6"/>
      <c r="B360" s="6"/>
      <c r="M360" s="8"/>
      <c r="O360" s="8"/>
    </row>
    <row r="361" ht="22.5" customHeight="1">
      <c r="A361" s="6"/>
      <c r="B361" s="6"/>
      <c r="M361" s="8"/>
      <c r="O361" s="8"/>
    </row>
    <row r="362" ht="22.5" customHeight="1">
      <c r="A362" s="6"/>
      <c r="B362" s="6"/>
      <c r="M362" s="8"/>
      <c r="O362" s="8"/>
    </row>
    <row r="363" ht="22.5" customHeight="1">
      <c r="A363" s="6"/>
      <c r="B363" s="6"/>
      <c r="M363" s="8"/>
      <c r="O363" s="8"/>
    </row>
    <row r="364" ht="22.5" customHeight="1">
      <c r="A364" s="6"/>
      <c r="B364" s="6"/>
      <c r="M364" s="8"/>
      <c r="O364" s="8"/>
    </row>
    <row r="365" ht="22.5" customHeight="1">
      <c r="A365" s="6"/>
      <c r="B365" s="6"/>
      <c r="M365" s="8"/>
      <c r="O365" s="8"/>
    </row>
    <row r="366" ht="22.5" customHeight="1">
      <c r="A366" s="6"/>
      <c r="B366" s="6"/>
      <c r="M366" s="8"/>
      <c r="O366" s="8"/>
    </row>
    <row r="367" ht="22.5" customHeight="1">
      <c r="A367" s="6"/>
      <c r="B367" s="6"/>
      <c r="M367" s="8"/>
      <c r="O367" s="8"/>
    </row>
    <row r="368" ht="22.5" customHeight="1">
      <c r="A368" s="6"/>
      <c r="B368" s="6"/>
      <c r="M368" s="8"/>
      <c r="O368" s="8"/>
    </row>
    <row r="369" ht="22.5" customHeight="1">
      <c r="A369" s="6"/>
      <c r="B369" s="6"/>
      <c r="M369" s="8"/>
      <c r="O369" s="8"/>
    </row>
    <row r="370" ht="22.5" customHeight="1">
      <c r="A370" s="6"/>
      <c r="B370" s="6"/>
      <c r="M370" s="8"/>
      <c r="O370" s="8"/>
    </row>
    <row r="371" ht="22.5" customHeight="1">
      <c r="A371" s="6"/>
      <c r="B371" s="6"/>
      <c r="M371" s="8"/>
      <c r="O371" s="8"/>
    </row>
    <row r="372" ht="22.5" customHeight="1">
      <c r="A372" s="6"/>
      <c r="B372" s="6"/>
      <c r="M372" s="8"/>
      <c r="O372" s="8"/>
    </row>
    <row r="373" ht="22.5" customHeight="1">
      <c r="A373" s="6"/>
      <c r="B373" s="6"/>
      <c r="M373" s="8"/>
      <c r="O373" s="8"/>
    </row>
    <row r="374" ht="22.5" customHeight="1">
      <c r="A374" s="6"/>
      <c r="B374" s="6"/>
      <c r="M374" s="8"/>
      <c r="O374" s="8"/>
    </row>
    <row r="375" ht="22.5" customHeight="1">
      <c r="A375" s="6"/>
      <c r="B375" s="6"/>
      <c r="M375" s="8"/>
      <c r="O375" s="8"/>
    </row>
    <row r="376" ht="22.5" customHeight="1">
      <c r="A376" s="6"/>
      <c r="B376" s="6"/>
      <c r="M376" s="8"/>
      <c r="O376" s="8"/>
    </row>
    <row r="377" ht="22.5" customHeight="1">
      <c r="A377" s="6"/>
      <c r="B377" s="6"/>
      <c r="M377" s="8"/>
      <c r="O377" s="8"/>
    </row>
    <row r="378" ht="22.5" customHeight="1">
      <c r="A378" s="6"/>
      <c r="B378" s="6"/>
      <c r="M378" s="8"/>
      <c r="O378" s="8"/>
    </row>
    <row r="379" ht="22.5" customHeight="1">
      <c r="A379" s="6"/>
      <c r="B379" s="6"/>
      <c r="M379" s="8"/>
      <c r="O379" s="8"/>
    </row>
    <row r="380" ht="22.5" customHeight="1">
      <c r="A380" s="6"/>
      <c r="B380" s="6"/>
      <c r="M380" s="8"/>
      <c r="O380" s="8"/>
    </row>
    <row r="381" ht="22.5" customHeight="1">
      <c r="A381" s="6"/>
      <c r="B381" s="6"/>
      <c r="M381" s="8"/>
      <c r="O381" s="8"/>
    </row>
    <row r="382" ht="22.5" customHeight="1">
      <c r="A382" s="6"/>
      <c r="B382" s="6"/>
      <c r="M382" s="8"/>
      <c r="O382" s="8"/>
    </row>
    <row r="383" ht="22.5" customHeight="1">
      <c r="A383" s="6"/>
      <c r="B383" s="6"/>
      <c r="M383" s="8"/>
      <c r="O383" s="8"/>
    </row>
    <row r="384" ht="22.5" customHeight="1">
      <c r="A384" s="6"/>
      <c r="B384" s="6"/>
      <c r="M384" s="8"/>
      <c r="O384" s="8"/>
    </row>
    <row r="385" ht="22.5" customHeight="1">
      <c r="A385" s="6"/>
      <c r="B385" s="6"/>
      <c r="M385" s="8"/>
      <c r="O385" s="8"/>
    </row>
    <row r="386" ht="22.5" customHeight="1">
      <c r="A386" s="6"/>
      <c r="B386" s="6"/>
      <c r="M386" s="8"/>
      <c r="O386" s="8"/>
    </row>
    <row r="387" ht="22.5" customHeight="1">
      <c r="A387" s="6"/>
      <c r="B387" s="6"/>
      <c r="M387" s="8"/>
      <c r="O387" s="8"/>
    </row>
    <row r="388" ht="22.5" customHeight="1">
      <c r="A388" s="6"/>
      <c r="B388" s="6"/>
      <c r="M388" s="8"/>
      <c r="O388" s="8"/>
    </row>
    <row r="389" ht="22.5" customHeight="1">
      <c r="A389" s="6"/>
      <c r="B389" s="6"/>
      <c r="M389" s="8"/>
      <c r="O389" s="8"/>
    </row>
    <row r="390" ht="22.5" customHeight="1">
      <c r="A390" s="6"/>
      <c r="B390" s="6"/>
      <c r="M390" s="8"/>
      <c r="O390" s="8"/>
    </row>
    <row r="391" ht="22.5" customHeight="1">
      <c r="A391" s="6"/>
      <c r="B391" s="6"/>
      <c r="M391" s="8"/>
      <c r="O391" s="8"/>
    </row>
    <row r="392" ht="22.5" customHeight="1">
      <c r="A392" s="6"/>
      <c r="B392" s="6"/>
      <c r="M392" s="8"/>
      <c r="O392" s="8"/>
    </row>
    <row r="393" ht="22.5" customHeight="1">
      <c r="A393" s="6"/>
      <c r="B393" s="6"/>
      <c r="M393" s="8"/>
      <c r="O393" s="8"/>
    </row>
    <row r="394" ht="22.5" customHeight="1">
      <c r="A394" s="6"/>
      <c r="B394" s="6"/>
      <c r="M394" s="8"/>
      <c r="O394" s="8"/>
    </row>
    <row r="395" ht="22.5" customHeight="1">
      <c r="A395" s="6"/>
      <c r="B395" s="6"/>
      <c r="M395" s="8"/>
      <c r="O395" s="8"/>
    </row>
    <row r="396" ht="22.5" customHeight="1">
      <c r="A396" s="6"/>
      <c r="B396" s="6"/>
      <c r="M396" s="8"/>
      <c r="O396" s="8"/>
    </row>
    <row r="397" ht="22.5" customHeight="1">
      <c r="A397" s="6"/>
      <c r="B397" s="6"/>
      <c r="M397" s="8"/>
      <c r="O397" s="8"/>
    </row>
    <row r="398" ht="22.5" customHeight="1">
      <c r="A398" s="6"/>
      <c r="B398" s="6"/>
      <c r="M398" s="8"/>
      <c r="O398" s="8"/>
    </row>
    <row r="399" ht="22.5" customHeight="1">
      <c r="A399" s="6"/>
      <c r="B399" s="6"/>
      <c r="M399" s="8"/>
      <c r="O399" s="8"/>
    </row>
    <row r="400" ht="22.5" customHeight="1">
      <c r="A400" s="6"/>
      <c r="B400" s="6"/>
      <c r="M400" s="8"/>
      <c r="O400" s="8"/>
    </row>
    <row r="401" ht="22.5" customHeight="1">
      <c r="A401" s="6"/>
      <c r="B401" s="6"/>
      <c r="M401" s="8"/>
      <c r="O401" s="8"/>
    </row>
    <row r="402" ht="22.5" customHeight="1">
      <c r="A402" s="6"/>
      <c r="B402" s="6"/>
      <c r="M402" s="8"/>
      <c r="O402" s="8"/>
    </row>
    <row r="403" ht="22.5" customHeight="1">
      <c r="A403" s="6"/>
      <c r="B403" s="6"/>
      <c r="M403" s="8"/>
      <c r="O403" s="8"/>
    </row>
    <row r="404" ht="22.5" customHeight="1">
      <c r="A404" s="6"/>
      <c r="B404" s="6"/>
      <c r="M404" s="8"/>
      <c r="O404" s="8"/>
    </row>
    <row r="405" ht="22.5" customHeight="1">
      <c r="A405" s="6"/>
      <c r="B405" s="6"/>
      <c r="M405" s="8"/>
      <c r="O405" s="8"/>
    </row>
    <row r="406" ht="22.5" customHeight="1">
      <c r="A406" s="6"/>
      <c r="B406" s="6"/>
      <c r="M406" s="8"/>
      <c r="O406" s="8"/>
    </row>
    <row r="407" ht="22.5" customHeight="1">
      <c r="A407" s="6"/>
      <c r="B407" s="6"/>
      <c r="M407" s="8"/>
      <c r="O407" s="8"/>
    </row>
    <row r="408" ht="22.5" customHeight="1">
      <c r="A408" s="6"/>
      <c r="B408" s="6"/>
      <c r="M408" s="8"/>
      <c r="O408" s="8"/>
    </row>
    <row r="409" ht="22.5" customHeight="1">
      <c r="A409" s="6"/>
      <c r="B409" s="6"/>
      <c r="M409" s="8"/>
      <c r="O409" s="8"/>
    </row>
    <row r="410" ht="22.5" customHeight="1">
      <c r="A410" s="6"/>
      <c r="B410" s="6"/>
      <c r="M410" s="8"/>
      <c r="O410" s="8"/>
    </row>
    <row r="411" ht="22.5" customHeight="1">
      <c r="A411" s="6"/>
      <c r="B411" s="6"/>
      <c r="M411" s="8"/>
      <c r="O411" s="8"/>
    </row>
    <row r="412" ht="22.5" customHeight="1">
      <c r="A412" s="6"/>
      <c r="B412" s="6"/>
      <c r="M412" s="8"/>
      <c r="O412" s="8"/>
    </row>
    <row r="413" ht="22.5" customHeight="1">
      <c r="A413" s="6"/>
      <c r="B413" s="6"/>
      <c r="M413" s="8"/>
      <c r="O413" s="8"/>
    </row>
    <row r="414" ht="22.5" customHeight="1">
      <c r="A414" s="6"/>
      <c r="B414" s="6"/>
      <c r="M414" s="8"/>
      <c r="O414" s="8"/>
    </row>
    <row r="415" ht="22.5" customHeight="1">
      <c r="A415" s="6"/>
      <c r="B415" s="6"/>
      <c r="M415" s="8"/>
      <c r="O415" s="8"/>
    </row>
    <row r="416" ht="22.5" customHeight="1">
      <c r="A416" s="6"/>
      <c r="B416" s="6"/>
      <c r="M416" s="8"/>
      <c r="O416" s="8"/>
    </row>
    <row r="417" ht="22.5" customHeight="1">
      <c r="A417" s="6"/>
      <c r="B417" s="6"/>
      <c r="M417" s="8"/>
      <c r="O417" s="8"/>
    </row>
    <row r="418" ht="22.5" customHeight="1">
      <c r="A418" s="6"/>
      <c r="B418" s="6"/>
      <c r="M418" s="8"/>
      <c r="O418" s="8"/>
    </row>
    <row r="419" ht="22.5" customHeight="1">
      <c r="A419" s="6"/>
      <c r="B419" s="6"/>
      <c r="M419" s="8"/>
      <c r="O419" s="8"/>
    </row>
    <row r="420" ht="22.5" customHeight="1">
      <c r="A420" s="6"/>
      <c r="B420" s="6"/>
      <c r="M420" s="8"/>
      <c r="O420" s="8"/>
    </row>
    <row r="421" ht="22.5" customHeight="1">
      <c r="A421" s="6"/>
      <c r="B421" s="6"/>
      <c r="M421" s="8"/>
      <c r="O421" s="8"/>
    </row>
    <row r="422" ht="22.5" customHeight="1">
      <c r="A422" s="6"/>
      <c r="B422" s="6"/>
      <c r="M422" s="8"/>
      <c r="O422" s="8"/>
    </row>
    <row r="423" ht="22.5" customHeight="1">
      <c r="A423" s="6"/>
      <c r="B423" s="6"/>
      <c r="M423" s="8"/>
      <c r="O423" s="8"/>
    </row>
    <row r="424" ht="22.5" customHeight="1">
      <c r="A424" s="6"/>
      <c r="B424" s="6"/>
      <c r="M424" s="8"/>
      <c r="O424" s="8"/>
    </row>
    <row r="425" ht="22.5" customHeight="1">
      <c r="A425" s="6"/>
      <c r="B425" s="6"/>
      <c r="M425" s="8"/>
      <c r="O425" s="8"/>
    </row>
    <row r="426" ht="22.5" customHeight="1">
      <c r="A426" s="6"/>
      <c r="B426" s="6"/>
      <c r="M426" s="8"/>
      <c r="O426" s="8"/>
    </row>
    <row r="427" ht="22.5" customHeight="1">
      <c r="A427" s="6"/>
      <c r="B427" s="6"/>
      <c r="M427" s="8"/>
      <c r="O427" s="8"/>
    </row>
    <row r="428" ht="22.5" customHeight="1">
      <c r="A428" s="6"/>
      <c r="B428" s="6"/>
      <c r="M428" s="8"/>
      <c r="O428" s="8"/>
    </row>
    <row r="429" ht="22.5" customHeight="1">
      <c r="A429" s="6"/>
      <c r="B429" s="6"/>
      <c r="M429" s="8"/>
      <c r="O429" s="8"/>
    </row>
    <row r="430" ht="22.5" customHeight="1">
      <c r="A430" s="6"/>
      <c r="B430" s="6"/>
      <c r="M430" s="8"/>
      <c r="O430" s="8"/>
    </row>
    <row r="431" ht="22.5" customHeight="1">
      <c r="A431" s="6"/>
      <c r="B431" s="6"/>
      <c r="M431" s="8"/>
      <c r="O431" s="8"/>
    </row>
    <row r="432" ht="22.5" customHeight="1">
      <c r="A432" s="6"/>
      <c r="B432" s="6"/>
      <c r="M432" s="8"/>
      <c r="O432" s="8"/>
    </row>
    <row r="433" ht="22.5" customHeight="1">
      <c r="A433" s="6"/>
      <c r="B433" s="6"/>
      <c r="M433" s="8"/>
      <c r="O433" s="8"/>
    </row>
    <row r="434" ht="22.5" customHeight="1">
      <c r="A434" s="6"/>
      <c r="B434" s="6"/>
      <c r="M434" s="8"/>
      <c r="O434" s="8"/>
    </row>
    <row r="435" ht="22.5" customHeight="1">
      <c r="A435" s="6"/>
      <c r="B435" s="6"/>
      <c r="M435" s="8"/>
      <c r="O435" s="8"/>
    </row>
    <row r="436" ht="22.5" customHeight="1">
      <c r="A436" s="6"/>
      <c r="B436" s="6"/>
      <c r="M436" s="8"/>
      <c r="O436" s="8"/>
    </row>
    <row r="437" ht="22.5" customHeight="1">
      <c r="A437" s="6"/>
      <c r="B437" s="6"/>
      <c r="M437" s="8"/>
      <c r="O437" s="8"/>
    </row>
    <row r="438" ht="22.5" customHeight="1">
      <c r="A438" s="6"/>
      <c r="B438" s="6"/>
      <c r="M438" s="8"/>
      <c r="O438" s="8"/>
    </row>
    <row r="439" ht="22.5" customHeight="1">
      <c r="A439" s="6"/>
      <c r="B439" s="6"/>
      <c r="M439" s="8"/>
      <c r="O439" s="8"/>
    </row>
    <row r="440" ht="22.5" customHeight="1">
      <c r="A440" s="6"/>
      <c r="B440" s="6"/>
      <c r="M440" s="8"/>
      <c r="O440" s="8"/>
    </row>
    <row r="441" ht="22.5" customHeight="1">
      <c r="A441" s="6"/>
      <c r="B441" s="6"/>
      <c r="M441" s="8"/>
      <c r="O441" s="8"/>
    </row>
    <row r="442" ht="22.5" customHeight="1">
      <c r="A442" s="6"/>
      <c r="B442" s="6"/>
      <c r="M442" s="8"/>
      <c r="O442" s="8"/>
    </row>
    <row r="443" ht="22.5" customHeight="1">
      <c r="A443" s="6"/>
      <c r="B443" s="6"/>
      <c r="M443" s="8"/>
      <c r="O443" s="8"/>
    </row>
    <row r="444" ht="22.5" customHeight="1">
      <c r="A444" s="6"/>
      <c r="B444" s="6"/>
      <c r="M444" s="8"/>
      <c r="O444" s="8"/>
    </row>
    <row r="445" ht="22.5" customHeight="1">
      <c r="A445" s="6"/>
      <c r="B445" s="6"/>
      <c r="M445" s="8"/>
      <c r="O445" s="8"/>
    </row>
    <row r="446" ht="22.5" customHeight="1">
      <c r="A446" s="6"/>
      <c r="B446" s="6"/>
      <c r="M446" s="8"/>
      <c r="O446" s="8"/>
    </row>
    <row r="447" ht="22.5" customHeight="1">
      <c r="A447" s="6"/>
      <c r="B447" s="6"/>
      <c r="M447" s="8"/>
      <c r="O447" s="8"/>
    </row>
    <row r="448" ht="22.5" customHeight="1">
      <c r="A448" s="6"/>
      <c r="B448" s="6"/>
      <c r="M448" s="8"/>
      <c r="O448" s="8"/>
    </row>
    <row r="449" ht="22.5" customHeight="1">
      <c r="A449" s="6"/>
      <c r="B449" s="6"/>
      <c r="M449" s="8"/>
      <c r="O449" s="8"/>
    </row>
    <row r="450" ht="22.5" customHeight="1">
      <c r="A450" s="6"/>
      <c r="B450" s="6"/>
      <c r="M450" s="8"/>
      <c r="O450" s="8"/>
    </row>
    <row r="451" ht="22.5" customHeight="1">
      <c r="A451" s="6"/>
      <c r="B451" s="6"/>
      <c r="M451" s="8"/>
      <c r="O451" s="8"/>
    </row>
    <row r="452" ht="22.5" customHeight="1">
      <c r="A452" s="6"/>
      <c r="B452" s="6"/>
      <c r="M452" s="8"/>
      <c r="O452" s="8"/>
    </row>
    <row r="453" ht="22.5" customHeight="1">
      <c r="A453" s="6"/>
      <c r="B453" s="6"/>
      <c r="M453" s="8"/>
      <c r="O453" s="8"/>
    </row>
    <row r="454" ht="22.5" customHeight="1">
      <c r="A454" s="6"/>
      <c r="B454" s="6"/>
      <c r="M454" s="8"/>
      <c r="O454" s="8"/>
    </row>
    <row r="455" ht="22.5" customHeight="1">
      <c r="A455" s="6"/>
      <c r="B455" s="6"/>
      <c r="M455" s="8"/>
      <c r="O455" s="8"/>
    </row>
    <row r="456" ht="22.5" customHeight="1">
      <c r="A456" s="6"/>
      <c r="B456" s="6"/>
      <c r="M456" s="8"/>
      <c r="O456" s="8"/>
    </row>
    <row r="457" ht="22.5" customHeight="1">
      <c r="A457" s="6"/>
      <c r="B457" s="6"/>
      <c r="M457" s="8"/>
      <c r="O457" s="8"/>
    </row>
    <row r="458" ht="22.5" customHeight="1">
      <c r="A458" s="6"/>
      <c r="B458" s="6"/>
      <c r="M458" s="8"/>
      <c r="O458" s="8"/>
    </row>
    <row r="459" ht="22.5" customHeight="1">
      <c r="A459" s="6"/>
      <c r="B459" s="6"/>
      <c r="M459" s="8"/>
      <c r="O459" s="8"/>
    </row>
    <row r="460" ht="22.5" customHeight="1">
      <c r="A460" s="6"/>
      <c r="B460" s="6"/>
      <c r="M460" s="8"/>
      <c r="O460" s="8"/>
    </row>
    <row r="461" ht="22.5" customHeight="1">
      <c r="A461" s="6"/>
      <c r="B461" s="6"/>
      <c r="M461" s="8"/>
      <c r="O461" s="8"/>
    </row>
    <row r="462" ht="22.5" customHeight="1">
      <c r="A462" s="6"/>
      <c r="B462" s="6"/>
      <c r="M462" s="8"/>
      <c r="O462" s="8"/>
    </row>
    <row r="463" ht="22.5" customHeight="1">
      <c r="A463" s="6"/>
      <c r="B463" s="6"/>
      <c r="M463" s="8"/>
      <c r="O463" s="8"/>
    </row>
    <row r="464" ht="22.5" customHeight="1">
      <c r="A464" s="6"/>
      <c r="B464" s="6"/>
      <c r="M464" s="8"/>
      <c r="O464" s="8"/>
    </row>
    <row r="465" ht="22.5" customHeight="1">
      <c r="A465" s="6"/>
      <c r="B465" s="6"/>
      <c r="M465" s="8"/>
      <c r="O465" s="8"/>
    </row>
    <row r="466" ht="22.5" customHeight="1">
      <c r="A466" s="6"/>
      <c r="B466" s="6"/>
      <c r="M466" s="8"/>
      <c r="O466" s="8"/>
    </row>
    <row r="467" ht="22.5" customHeight="1">
      <c r="A467" s="6"/>
      <c r="B467" s="6"/>
      <c r="M467" s="8"/>
      <c r="O467" s="8"/>
    </row>
    <row r="468" ht="22.5" customHeight="1">
      <c r="A468" s="6"/>
      <c r="B468" s="6"/>
      <c r="M468" s="8"/>
      <c r="O468" s="8"/>
    </row>
    <row r="469" ht="22.5" customHeight="1">
      <c r="A469" s="6"/>
      <c r="B469" s="6"/>
      <c r="M469" s="8"/>
      <c r="O469" s="8"/>
    </row>
    <row r="470" ht="22.5" customHeight="1">
      <c r="A470" s="6"/>
      <c r="B470" s="6"/>
      <c r="M470" s="8"/>
      <c r="O470" s="8"/>
    </row>
    <row r="471" ht="22.5" customHeight="1">
      <c r="A471" s="6"/>
      <c r="B471" s="6"/>
      <c r="M471" s="8"/>
      <c r="O471" s="8"/>
    </row>
    <row r="472" ht="22.5" customHeight="1">
      <c r="A472" s="6"/>
      <c r="B472" s="6"/>
      <c r="M472" s="8"/>
      <c r="O472" s="8"/>
    </row>
    <row r="473" ht="22.5" customHeight="1">
      <c r="A473" s="6"/>
      <c r="B473" s="6"/>
      <c r="M473" s="8"/>
      <c r="O473" s="8"/>
    </row>
    <row r="474" ht="22.5" customHeight="1">
      <c r="A474" s="6"/>
      <c r="B474" s="6"/>
      <c r="M474" s="8"/>
      <c r="O474" s="8"/>
    </row>
    <row r="475" ht="22.5" customHeight="1">
      <c r="A475" s="6"/>
      <c r="B475" s="6"/>
      <c r="M475" s="8"/>
      <c r="O475" s="8"/>
    </row>
    <row r="476" ht="22.5" customHeight="1">
      <c r="A476" s="6"/>
      <c r="B476" s="6"/>
      <c r="M476" s="8"/>
      <c r="O476" s="8"/>
    </row>
    <row r="477" ht="22.5" customHeight="1">
      <c r="A477" s="6"/>
      <c r="B477" s="6"/>
      <c r="M477" s="8"/>
      <c r="O477" s="8"/>
    </row>
    <row r="478" ht="22.5" customHeight="1">
      <c r="A478" s="6"/>
      <c r="B478" s="6"/>
      <c r="M478" s="8"/>
      <c r="O478" s="8"/>
    </row>
    <row r="479" ht="22.5" customHeight="1">
      <c r="A479" s="6"/>
      <c r="B479" s="6"/>
      <c r="M479" s="8"/>
      <c r="O479" s="8"/>
    </row>
    <row r="480" ht="22.5" customHeight="1">
      <c r="A480" s="6"/>
      <c r="B480" s="6"/>
      <c r="M480" s="8"/>
      <c r="O480" s="8"/>
    </row>
    <row r="481" ht="22.5" customHeight="1">
      <c r="A481" s="6"/>
      <c r="B481" s="6"/>
      <c r="M481" s="8"/>
      <c r="O481" s="8"/>
    </row>
    <row r="482" ht="22.5" customHeight="1">
      <c r="A482" s="6"/>
      <c r="B482" s="6"/>
      <c r="M482" s="8"/>
      <c r="O482" s="8"/>
    </row>
    <row r="483" ht="22.5" customHeight="1">
      <c r="A483" s="6"/>
      <c r="B483" s="6"/>
      <c r="M483" s="8"/>
      <c r="O483" s="8"/>
    </row>
    <row r="484" ht="22.5" customHeight="1">
      <c r="A484" s="6"/>
      <c r="B484" s="6"/>
      <c r="M484" s="8"/>
      <c r="O484" s="8"/>
    </row>
    <row r="485" ht="22.5" customHeight="1">
      <c r="A485" s="6"/>
      <c r="B485" s="6"/>
      <c r="M485" s="8"/>
      <c r="O485" s="8"/>
    </row>
    <row r="486" ht="22.5" customHeight="1">
      <c r="A486" s="6"/>
      <c r="B486" s="6"/>
      <c r="M486" s="8"/>
      <c r="O486" s="8"/>
    </row>
    <row r="487" ht="22.5" customHeight="1">
      <c r="A487" s="6"/>
      <c r="B487" s="6"/>
      <c r="M487" s="8"/>
      <c r="O487" s="8"/>
    </row>
    <row r="488" ht="22.5" customHeight="1">
      <c r="A488" s="6"/>
      <c r="B488" s="6"/>
      <c r="M488" s="8"/>
      <c r="O488" s="8"/>
    </row>
    <row r="489" ht="22.5" customHeight="1">
      <c r="A489" s="6"/>
      <c r="B489" s="6"/>
      <c r="M489" s="8"/>
      <c r="O489" s="8"/>
    </row>
    <row r="490" ht="22.5" customHeight="1">
      <c r="A490" s="6"/>
      <c r="B490" s="6"/>
      <c r="M490" s="8"/>
      <c r="O490" s="8"/>
    </row>
    <row r="491" ht="22.5" customHeight="1">
      <c r="A491" s="6"/>
      <c r="B491" s="6"/>
      <c r="M491" s="8"/>
      <c r="O491" s="8"/>
    </row>
    <row r="492" ht="22.5" customHeight="1">
      <c r="A492" s="6"/>
      <c r="B492" s="6"/>
      <c r="M492" s="8"/>
      <c r="O492" s="8"/>
    </row>
    <row r="493" ht="22.5" customHeight="1">
      <c r="A493" s="6"/>
      <c r="B493" s="6"/>
      <c r="M493" s="8"/>
      <c r="O493" s="8"/>
    </row>
    <row r="494" ht="22.5" customHeight="1">
      <c r="A494" s="6"/>
      <c r="B494" s="6"/>
      <c r="M494" s="8"/>
      <c r="O494" s="8"/>
    </row>
    <row r="495" ht="22.5" customHeight="1">
      <c r="A495" s="6"/>
      <c r="B495" s="6"/>
      <c r="M495" s="8"/>
      <c r="O495" s="8"/>
    </row>
    <row r="496" ht="22.5" customHeight="1">
      <c r="A496" s="6"/>
      <c r="B496" s="6"/>
      <c r="M496" s="8"/>
      <c r="O496" s="8"/>
    </row>
    <row r="497" ht="22.5" customHeight="1">
      <c r="A497" s="6"/>
      <c r="B497" s="6"/>
      <c r="M497" s="8"/>
      <c r="O497" s="8"/>
    </row>
    <row r="498" ht="22.5" customHeight="1">
      <c r="A498" s="6"/>
      <c r="B498" s="6"/>
      <c r="M498" s="8"/>
      <c r="O498" s="8"/>
    </row>
    <row r="499" ht="22.5" customHeight="1">
      <c r="A499" s="6"/>
      <c r="B499" s="6"/>
      <c r="M499" s="8"/>
      <c r="O499" s="8"/>
    </row>
    <row r="500" ht="22.5" customHeight="1">
      <c r="A500" s="6"/>
      <c r="B500" s="6"/>
      <c r="M500" s="8"/>
      <c r="O500" s="8"/>
    </row>
    <row r="501" ht="22.5" customHeight="1">
      <c r="A501" s="6"/>
      <c r="B501" s="6"/>
      <c r="M501" s="8"/>
      <c r="O501" s="8"/>
    </row>
    <row r="502" ht="22.5" customHeight="1">
      <c r="A502" s="6"/>
      <c r="B502" s="6"/>
      <c r="M502" s="8"/>
      <c r="O502" s="8"/>
    </row>
    <row r="503" ht="22.5" customHeight="1">
      <c r="A503" s="6"/>
      <c r="B503" s="6"/>
      <c r="M503" s="8"/>
      <c r="O503" s="8"/>
    </row>
    <row r="504" ht="22.5" customHeight="1">
      <c r="A504" s="6"/>
      <c r="B504" s="6"/>
      <c r="M504" s="8"/>
      <c r="O504" s="8"/>
    </row>
    <row r="505" ht="22.5" customHeight="1">
      <c r="A505" s="6"/>
      <c r="B505" s="6"/>
      <c r="M505" s="8"/>
      <c r="O505" s="8"/>
    </row>
    <row r="506" ht="22.5" customHeight="1">
      <c r="A506" s="6"/>
      <c r="B506" s="6"/>
      <c r="M506" s="8"/>
      <c r="O506" s="8"/>
    </row>
    <row r="507" ht="22.5" customHeight="1">
      <c r="A507" s="6"/>
      <c r="B507" s="6"/>
      <c r="M507" s="8"/>
      <c r="O507" s="8"/>
    </row>
    <row r="508" ht="22.5" customHeight="1">
      <c r="A508" s="6"/>
      <c r="B508" s="6"/>
      <c r="M508" s="8"/>
      <c r="O508" s="8"/>
    </row>
    <row r="509" ht="22.5" customHeight="1">
      <c r="A509" s="6"/>
      <c r="B509" s="6"/>
      <c r="M509" s="8"/>
      <c r="O509" s="8"/>
    </row>
    <row r="510" ht="22.5" customHeight="1">
      <c r="A510" s="6"/>
      <c r="B510" s="6"/>
      <c r="M510" s="8"/>
      <c r="O510" s="8"/>
    </row>
    <row r="511" ht="22.5" customHeight="1">
      <c r="A511" s="6"/>
      <c r="B511" s="6"/>
      <c r="M511" s="8"/>
      <c r="O511" s="8"/>
    </row>
    <row r="512" ht="22.5" customHeight="1">
      <c r="A512" s="6"/>
      <c r="B512" s="6"/>
      <c r="M512" s="8"/>
      <c r="O512" s="8"/>
    </row>
    <row r="513" ht="22.5" customHeight="1">
      <c r="A513" s="6"/>
      <c r="B513" s="6"/>
      <c r="M513" s="8"/>
      <c r="O513" s="8"/>
    </row>
    <row r="514" ht="22.5" customHeight="1">
      <c r="A514" s="6"/>
      <c r="B514" s="6"/>
      <c r="M514" s="8"/>
      <c r="O514" s="8"/>
    </row>
    <row r="515" ht="22.5" customHeight="1">
      <c r="A515" s="6"/>
      <c r="B515" s="6"/>
      <c r="M515" s="8"/>
      <c r="O515" s="8"/>
    </row>
    <row r="516" ht="22.5" customHeight="1">
      <c r="A516" s="6"/>
      <c r="B516" s="6"/>
      <c r="M516" s="8"/>
      <c r="O516" s="8"/>
    </row>
    <row r="517" ht="22.5" customHeight="1">
      <c r="A517" s="6"/>
      <c r="B517" s="6"/>
      <c r="M517" s="8"/>
      <c r="O517" s="8"/>
    </row>
    <row r="518" ht="22.5" customHeight="1">
      <c r="A518" s="6"/>
      <c r="B518" s="6"/>
      <c r="M518" s="8"/>
      <c r="O518" s="8"/>
    </row>
    <row r="519" ht="22.5" customHeight="1">
      <c r="A519" s="6"/>
      <c r="B519" s="6"/>
      <c r="M519" s="8"/>
      <c r="O519" s="8"/>
    </row>
    <row r="520" ht="22.5" customHeight="1">
      <c r="A520" s="6"/>
      <c r="B520" s="6"/>
      <c r="M520" s="8"/>
      <c r="O520" s="8"/>
    </row>
    <row r="521" ht="22.5" customHeight="1">
      <c r="A521" s="6"/>
      <c r="B521" s="6"/>
      <c r="M521" s="8"/>
      <c r="O521" s="8"/>
    </row>
    <row r="522" ht="22.5" customHeight="1">
      <c r="A522" s="6"/>
      <c r="B522" s="6"/>
      <c r="M522" s="8"/>
      <c r="O522" s="8"/>
    </row>
    <row r="523" ht="22.5" customHeight="1">
      <c r="A523" s="6"/>
      <c r="B523" s="6"/>
      <c r="M523" s="8"/>
      <c r="O523" s="8"/>
    </row>
    <row r="524" ht="22.5" customHeight="1">
      <c r="A524" s="6"/>
      <c r="B524" s="6"/>
      <c r="M524" s="8"/>
      <c r="O524" s="8"/>
    </row>
    <row r="525" ht="22.5" customHeight="1">
      <c r="A525" s="6"/>
      <c r="B525" s="6"/>
      <c r="M525" s="8"/>
      <c r="O525" s="8"/>
    </row>
    <row r="526" ht="22.5" customHeight="1">
      <c r="A526" s="6"/>
      <c r="B526" s="6"/>
      <c r="M526" s="8"/>
      <c r="O526" s="8"/>
    </row>
    <row r="527" ht="22.5" customHeight="1">
      <c r="A527" s="6"/>
      <c r="B527" s="6"/>
      <c r="M527" s="8"/>
      <c r="O527" s="8"/>
    </row>
    <row r="528" ht="22.5" customHeight="1">
      <c r="A528" s="6"/>
      <c r="B528" s="6"/>
      <c r="M528" s="8"/>
      <c r="O528" s="8"/>
    </row>
    <row r="529" ht="22.5" customHeight="1">
      <c r="A529" s="6"/>
      <c r="B529" s="6"/>
      <c r="M529" s="8"/>
      <c r="O529" s="8"/>
    </row>
    <row r="530" ht="22.5" customHeight="1">
      <c r="A530" s="6"/>
      <c r="B530" s="6"/>
      <c r="M530" s="8"/>
      <c r="O530" s="8"/>
    </row>
    <row r="531" ht="22.5" customHeight="1">
      <c r="A531" s="6"/>
      <c r="B531" s="6"/>
      <c r="M531" s="8"/>
      <c r="O531" s="8"/>
    </row>
    <row r="532" ht="22.5" customHeight="1">
      <c r="A532" s="6"/>
      <c r="B532" s="6"/>
      <c r="M532" s="8"/>
      <c r="O532" s="8"/>
    </row>
    <row r="533" ht="22.5" customHeight="1">
      <c r="A533" s="6"/>
      <c r="B533" s="6"/>
      <c r="M533" s="8"/>
      <c r="O533" s="8"/>
    </row>
    <row r="534" ht="22.5" customHeight="1">
      <c r="A534" s="6"/>
      <c r="B534" s="6"/>
      <c r="M534" s="8"/>
      <c r="O534" s="8"/>
    </row>
    <row r="535" ht="22.5" customHeight="1">
      <c r="A535" s="6"/>
      <c r="B535" s="6"/>
      <c r="M535" s="8"/>
      <c r="O535" s="8"/>
    </row>
    <row r="536" ht="22.5" customHeight="1">
      <c r="A536" s="6"/>
      <c r="B536" s="6"/>
      <c r="M536" s="8"/>
      <c r="O536" s="8"/>
    </row>
    <row r="537" ht="22.5" customHeight="1">
      <c r="A537" s="6"/>
      <c r="B537" s="6"/>
      <c r="M537" s="8"/>
      <c r="O537" s="8"/>
    </row>
    <row r="538" ht="22.5" customHeight="1">
      <c r="A538" s="6"/>
      <c r="B538" s="6"/>
      <c r="M538" s="8"/>
      <c r="O538" s="8"/>
    </row>
    <row r="539" ht="22.5" customHeight="1">
      <c r="A539" s="6"/>
      <c r="B539" s="6"/>
      <c r="M539" s="8"/>
      <c r="O539" s="8"/>
    </row>
    <row r="540" ht="22.5" customHeight="1">
      <c r="A540" s="6"/>
      <c r="B540" s="6"/>
      <c r="M540" s="8"/>
      <c r="O540" s="8"/>
    </row>
    <row r="541" ht="22.5" customHeight="1">
      <c r="A541" s="6"/>
      <c r="B541" s="6"/>
      <c r="M541" s="8"/>
      <c r="O541" s="8"/>
    </row>
    <row r="542" ht="22.5" customHeight="1">
      <c r="A542" s="6"/>
      <c r="B542" s="6"/>
      <c r="M542" s="8"/>
      <c r="O542" s="8"/>
    </row>
    <row r="543" ht="22.5" customHeight="1">
      <c r="A543" s="6"/>
      <c r="B543" s="6"/>
      <c r="M543" s="8"/>
      <c r="O543" s="8"/>
    </row>
    <row r="544" ht="22.5" customHeight="1">
      <c r="A544" s="6"/>
      <c r="B544" s="6"/>
      <c r="M544" s="8"/>
      <c r="O544" s="8"/>
    </row>
    <row r="545" ht="22.5" customHeight="1">
      <c r="A545" s="6"/>
      <c r="B545" s="6"/>
      <c r="M545" s="8"/>
      <c r="O545" s="8"/>
    </row>
    <row r="546" ht="22.5" customHeight="1">
      <c r="A546" s="6"/>
      <c r="B546" s="6"/>
      <c r="M546" s="8"/>
      <c r="O546" s="8"/>
    </row>
    <row r="547" ht="22.5" customHeight="1">
      <c r="A547" s="6"/>
      <c r="B547" s="6"/>
      <c r="M547" s="8"/>
      <c r="O547" s="8"/>
    </row>
    <row r="548" ht="22.5" customHeight="1">
      <c r="A548" s="6"/>
      <c r="B548" s="6"/>
      <c r="M548" s="8"/>
      <c r="O548" s="8"/>
    </row>
    <row r="549" ht="22.5" customHeight="1">
      <c r="A549" s="6"/>
      <c r="B549" s="6"/>
      <c r="M549" s="8"/>
      <c r="O549" s="8"/>
    </row>
    <row r="550" ht="22.5" customHeight="1">
      <c r="A550" s="6"/>
      <c r="B550" s="6"/>
      <c r="M550" s="8"/>
      <c r="O550" s="8"/>
    </row>
    <row r="551" ht="22.5" customHeight="1">
      <c r="A551" s="6"/>
      <c r="B551" s="6"/>
      <c r="M551" s="8"/>
      <c r="O551" s="8"/>
    </row>
    <row r="552" ht="22.5" customHeight="1">
      <c r="A552" s="6"/>
      <c r="B552" s="6"/>
      <c r="M552" s="8"/>
      <c r="O552" s="8"/>
    </row>
    <row r="553" ht="22.5" customHeight="1">
      <c r="A553" s="6"/>
      <c r="B553" s="6"/>
      <c r="M553" s="8"/>
      <c r="O553" s="8"/>
    </row>
    <row r="554" ht="22.5" customHeight="1">
      <c r="A554" s="6"/>
      <c r="B554" s="6"/>
      <c r="M554" s="8"/>
      <c r="O554" s="8"/>
    </row>
    <row r="555" ht="22.5" customHeight="1">
      <c r="A555" s="6"/>
      <c r="B555" s="6"/>
      <c r="M555" s="8"/>
      <c r="O555" s="8"/>
    </row>
    <row r="556" ht="22.5" customHeight="1">
      <c r="A556" s="6"/>
      <c r="B556" s="6"/>
      <c r="M556" s="8"/>
      <c r="O556" s="8"/>
    </row>
    <row r="557" ht="22.5" customHeight="1">
      <c r="A557" s="6"/>
      <c r="B557" s="6"/>
      <c r="M557" s="8"/>
      <c r="O557" s="8"/>
    </row>
    <row r="558" ht="22.5" customHeight="1">
      <c r="A558" s="6"/>
      <c r="B558" s="6"/>
      <c r="M558" s="8"/>
      <c r="O558" s="8"/>
    </row>
    <row r="559" ht="22.5" customHeight="1">
      <c r="A559" s="6"/>
      <c r="B559" s="6"/>
      <c r="M559" s="8"/>
      <c r="O559" s="8"/>
    </row>
    <row r="560" ht="22.5" customHeight="1">
      <c r="A560" s="6"/>
      <c r="B560" s="6"/>
      <c r="M560" s="8"/>
      <c r="O560" s="8"/>
    </row>
    <row r="561" ht="22.5" customHeight="1">
      <c r="A561" s="6"/>
      <c r="B561" s="6"/>
      <c r="M561" s="8"/>
      <c r="O561" s="8"/>
    </row>
    <row r="562" ht="22.5" customHeight="1">
      <c r="A562" s="6"/>
      <c r="B562" s="6"/>
      <c r="M562" s="8"/>
      <c r="O562" s="8"/>
    </row>
    <row r="563" ht="22.5" customHeight="1">
      <c r="A563" s="6"/>
      <c r="B563" s="6"/>
      <c r="M563" s="8"/>
      <c r="O563" s="8"/>
    </row>
    <row r="564" ht="22.5" customHeight="1">
      <c r="A564" s="6"/>
      <c r="B564" s="6"/>
      <c r="M564" s="8"/>
      <c r="O564" s="8"/>
    </row>
    <row r="565" ht="22.5" customHeight="1">
      <c r="A565" s="6"/>
      <c r="B565" s="6"/>
      <c r="M565" s="8"/>
      <c r="O565" s="8"/>
    </row>
    <row r="566" ht="22.5" customHeight="1">
      <c r="A566" s="6"/>
      <c r="B566" s="6"/>
      <c r="M566" s="8"/>
      <c r="O566" s="8"/>
    </row>
    <row r="567" ht="22.5" customHeight="1">
      <c r="A567" s="6"/>
      <c r="B567" s="6"/>
      <c r="M567" s="8"/>
      <c r="O567" s="8"/>
    </row>
    <row r="568" ht="22.5" customHeight="1">
      <c r="A568" s="6"/>
      <c r="B568" s="6"/>
      <c r="M568" s="8"/>
      <c r="O568" s="8"/>
    </row>
    <row r="569" ht="22.5" customHeight="1">
      <c r="A569" s="6"/>
      <c r="B569" s="6"/>
      <c r="M569" s="8"/>
      <c r="O569" s="8"/>
    </row>
    <row r="570" ht="22.5" customHeight="1">
      <c r="A570" s="6"/>
      <c r="B570" s="6"/>
      <c r="M570" s="8"/>
      <c r="O570" s="8"/>
    </row>
    <row r="571" ht="22.5" customHeight="1">
      <c r="A571" s="6"/>
      <c r="B571" s="6"/>
      <c r="M571" s="8"/>
      <c r="O571" s="8"/>
    </row>
    <row r="572" ht="22.5" customHeight="1">
      <c r="A572" s="6"/>
      <c r="B572" s="6"/>
      <c r="M572" s="8"/>
      <c r="O572" s="8"/>
    </row>
    <row r="573" ht="22.5" customHeight="1">
      <c r="A573" s="6"/>
      <c r="B573" s="6"/>
      <c r="M573" s="8"/>
      <c r="O573" s="8"/>
    </row>
    <row r="574" ht="22.5" customHeight="1">
      <c r="A574" s="6"/>
      <c r="B574" s="6"/>
      <c r="M574" s="8"/>
      <c r="O574" s="8"/>
    </row>
    <row r="575" ht="22.5" customHeight="1">
      <c r="A575" s="6"/>
      <c r="B575" s="6"/>
      <c r="M575" s="8"/>
      <c r="O575" s="8"/>
    </row>
    <row r="576" ht="22.5" customHeight="1">
      <c r="A576" s="6"/>
      <c r="B576" s="6"/>
      <c r="M576" s="8"/>
      <c r="O576" s="8"/>
    </row>
    <row r="577" ht="22.5" customHeight="1">
      <c r="A577" s="6"/>
      <c r="B577" s="6"/>
      <c r="M577" s="8"/>
      <c r="O577" s="8"/>
    </row>
    <row r="578" ht="22.5" customHeight="1">
      <c r="A578" s="6"/>
      <c r="B578" s="6"/>
      <c r="M578" s="8"/>
      <c r="O578" s="8"/>
    </row>
    <row r="579" ht="22.5" customHeight="1">
      <c r="A579" s="6"/>
      <c r="B579" s="6"/>
      <c r="M579" s="8"/>
      <c r="O579" s="8"/>
    </row>
    <row r="580" ht="22.5" customHeight="1">
      <c r="A580" s="6"/>
      <c r="B580" s="6"/>
      <c r="M580" s="8"/>
      <c r="O580" s="8"/>
    </row>
    <row r="581" ht="22.5" customHeight="1">
      <c r="A581" s="6"/>
      <c r="B581" s="6"/>
      <c r="M581" s="8"/>
      <c r="O581" s="8"/>
    </row>
    <row r="582" ht="22.5" customHeight="1">
      <c r="A582" s="6"/>
      <c r="B582" s="6"/>
      <c r="M582" s="8"/>
      <c r="O582" s="8"/>
    </row>
    <row r="583" ht="22.5" customHeight="1">
      <c r="A583" s="6"/>
      <c r="B583" s="6"/>
      <c r="M583" s="8"/>
      <c r="O583" s="8"/>
    </row>
    <row r="584" ht="22.5" customHeight="1">
      <c r="A584" s="6"/>
      <c r="B584" s="6"/>
      <c r="M584" s="8"/>
      <c r="O584" s="8"/>
    </row>
    <row r="585" ht="22.5" customHeight="1">
      <c r="A585" s="6"/>
      <c r="B585" s="6"/>
      <c r="M585" s="8"/>
      <c r="O585" s="8"/>
    </row>
    <row r="586" ht="22.5" customHeight="1">
      <c r="A586" s="6"/>
      <c r="B586" s="6"/>
      <c r="M586" s="8"/>
      <c r="O586" s="8"/>
    </row>
    <row r="587" ht="22.5" customHeight="1">
      <c r="A587" s="6"/>
      <c r="B587" s="6"/>
      <c r="M587" s="8"/>
      <c r="O587" s="8"/>
    </row>
    <row r="588" ht="22.5" customHeight="1">
      <c r="A588" s="6"/>
      <c r="B588" s="6"/>
      <c r="M588" s="8"/>
      <c r="O588" s="8"/>
    </row>
    <row r="589" ht="22.5" customHeight="1">
      <c r="A589" s="6"/>
      <c r="B589" s="6"/>
      <c r="M589" s="8"/>
      <c r="O589" s="8"/>
    </row>
    <row r="590" ht="22.5" customHeight="1">
      <c r="A590" s="6"/>
      <c r="B590" s="6"/>
      <c r="M590" s="8"/>
      <c r="O590" s="8"/>
    </row>
    <row r="591" ht="22.5" customHeight="1">
      <c r="A591" s="6"/>
      <c r="B591" s="6"/>
      <c r="M591" s="8"/>
      <c r="O591" s="8"/>
    </row>
    <row r="592" ht="22.5" customHeight="1">
      <c r="A592" s="6"/>
      <c r="B592" s="6"/>
      <c r="M592" s="8"/>
      <c r="O592" s="8"/>
    </row>
    <row r="593" ht="22.5" customHeight="1">
      <c r="A593" s="6"/>
      <c r="B593" s="6"/>
      <c r="M593" s="8"/>
      <c r="O593" s="8"/>
    </row>
    <row r="594" ht="22.5" customHeight="1">
      <c r="A594" s="6"/>
      <c r="B594" s="6"/>
      <c r="M594" s="8"/>
      <c r="O594" s="8"/>
    </row>
    <row r="595" ht="22.5" customHeight="1">
      <c r="A595" s="6"/>
      <c r="B595" s="6"/>
      <c r="M595" s="8"/>
      <c r="O595" s="8"/>
    </row>
    <row r="596" ht="22.5" customHeight="1">
      <c r="A596" s="6"/>
      <c r="B596" s="6"/>
      <c r="M596" s="8"/>
      <c r="O596" s="8"/>
    </row>
    <row r="597" ht="22.5" customHeight="1">
      <c r="A597" s="6"/>
      <c r="B597" s="6"/>
      <c r="M597" s="8"/>
      <c r="O597" s="8"/>
    </row>
    <row r="598" ht="22.5" customHeight="1">
      <c r="A598" s="6"/>
      <c r="B598" s="6"/>
      <c r="M598" s="8"/>
      <c r="O598" s="8"/>
    </row>
    <row r="599" ht="22.5" customHeight="1">
      <c r="A599" s="6"/>
      <c r="B599" s="6"/>
      <c r="M599" s="8"/>
      <c r="O599" s="8"/>
    </row>
    <row r="600" ht="22.5" customHeight="1">
      <c r="A600" s="6"/>
      <c r="B600" s="6"/>
      <c r="M600" s="8"/>
      <c r="O600" s="8"/>
    </row>
    <row r="601" ht="22.5" customHeight="1">
      <c r="A601" s="6"/>
      <c r="B601" s="6"/>
      <c r="M601" s="8"/>
      <c r="O601" s="8"/>
    </row>
    <row r="602" ht="22.5" customHeight="1">
      <c r="A602" s="6"/>
      <c r="B602" s="6"/>
      <c r="M602" s="8"/>
      <c r="O602" s="8"/>
    </row>
    <row r="603" ht="22.5" customHeight="1">
      <c r="A603" s="6"/>
      <c r="B603" s="6"/>
      <c r="M603" s="8"/>
      <c r="O603" s="8"/>
    </row>
    <row r="604" ht="22.5" customHeight="1">
      <c r="A604" s="6"/>
      <c r="B604" s="6"/>
      <c r="M604" s="8"/>
      <c r="O604" s="8"/>
    </row>
    <row r="605" ht="22.5" customHeight="1">
      <c r="A605" s="6"/>
      <c r="B605" s="6"/>
      <c r="M605" s="8"/>
      <c r="O605" s="8"/>
    </row>
    <row r="606" ht="22.5" customHeight="1">
      <c r="A606" s="6"/>
      <c r="B606" s="6"/>
      <c r="M606" s="8"/>
      <c r="O606" s="8"/>
    </row>
    <row r="607" ht="22.5" customHeight="1">
      <c r="A607" s="6"/>
      <c r="B607" s="6"/>
      <c r="M607" s="8"/>
      <c r="O607" s="8"/>
    </row>
    <row r="608" ht="22.5" customHeight="1">
      <c r="A608" s="6"/>
      <c r="B608" s="6"/>
      <c r="M608" s="8"/>
      <c r="O608" s="8"/>
    </row>
    <row r="609" ht="22.5" customHeight="1">
      <c r="A609" s="6"/>
      <c r="B609" s="6"/>
      <c r="M609" s="8"/>
      <c r="O609" s="8"/>
    </row>
    <row r="610" ht="22.5" customHeight="1">
      <c r="A610" s="6"/>
      <c r="B610" s="6"/>
      <c r="M610" s="8"/>
      <c r="O610" s="8"/>
    </row>
    <row r="611" ht="22.5" customHeight="1">
      <c r="A611" s="6"/>
      <c r="B611" s="6"/>
      <c r="M611" s="8"/>
      <c r="O611" s="8"/>
    </row>
    <row r="612" ht="22.5" customHeight="1">
      <c r="A612" s="6"/>
      <c r="B612" s="6"/>
      <c r="M612" s="8"/>
      <c r="O612" s="8"/>
    </row>
    <row r="613" ht="22.5" customHeight="1">
      <c r="A613" s="6"/>
      <c r="B613" s="6"/>
      <c r="M613" s="8"/>
      <c r="O613" s="8"/>
    </row>
    <row r="614" ht="22.5" customHeight="1">
      <c r="A614" s="6"/>
      <c r="B614" s="6"/>
      <c r="M614" s="8"/>
      <c r="O614" s="8"/>
    </row>
    <row r="615" ht="22.5" customHeight="1">
      <c r="A615" s="6"/>
      <c r="B615" s="6"/>
      <c r="M615" s="8"/>
      <c r="O615" s="8"/>
    </row>
    <row r="616" ht="22.5" customHeight="1">
      <c r="A616" s="6"/>
      <c r="B616" s="6"/>
      <c r="M616" s="8"/>
      <c r="O616" s="8"/>
    </row>
    <row r="617" ht="22.5" customHeight="1">
      <c r="A617" s="6"/>
      <c r="B617" s="6"/>
      <c r="M617" s="8"/>
      <c r="O617" s="8"/>
    </row>
    <row r="618" ht="22.5" customHeight="1">
      <c r="A618" s="6"/>
      <c r="B618" s="6"/>
      <c r="M618" s="8"/>
      <c r="O618" s="8"/>
    </row>
    <row r="619" ht="22.5" customHeight="1">
      <c r="A619" s="6"/>
      <c r="B619" s="6"/>
      <c r="M619" s="8"/>
      <c r="O619" s="8"/>
    </row>
    <row r="620" ht="22.5" customHeight="1">
      <c r="A620" s="6"/>
      <c r="B620" s="6"/>
      <c r="M620" s="8"/>
      <c r="O620" s="8"/>
    </row>
    <row r="621" ht="22.5" customHeight="1">
      <c r="A621" s="6"/>
      <c r="B621" s="6"/>
      <c r="M621" s="8"/>
      <c r="O621" s="8"/>
    </row>
    <row r="622" ht="22.5" customHeight="1">
      <c r="A622" s="6"/>
      <c r="B622" s="6"/>
      <c r="M622" s="8"/>
      <c r="O622" s="8"/>
    </row>
    <row r="623" ht="22.5" customHeight="1">
      <c r="A623" s="6"/>
      <c r="B623" s="6"/>
      <c r="M623" s="8"/>
      <c r="O623" s="8"/>
    </row>
    <row r="624" ht="22.5" customHeight="1">
      <c r="A624" s="6"/>
      <c r="B624" s="6"/>
      <c r="M624" s="8"/>
      <c r="O624" s="8"/>
    </row>
    <row r="625" ht="22.5" customHeight="1">
      <c r="A625" s="6"/>
      <c r="B625" s="6"/>
      <c r="M625" s="8"/>
      <c r="O625" s="8"/>
    </row>
    <row r="626" ht="22.5" customHeight="1">
      <c r="A626" s="6"/>
      <c r="B626" s="6"/>
      <c r="M626" s="8"/>
      <c r="O626" s="8"/>
    </row>
    <row r="627" ht="22.5" customHeight="1">
      <c r="A627" s="6"/>
      <c r="B627" s="6"/>
      <c r="M627" s="8"/>
      <c r="O627" s="8"/>
    </row>
    <row r="628" ht="22.5" customHeight="1">
      <c r="A628" s="6"/>
      <c r="B628" s="6"/>
      <c r="M628" s="8"/>
      <c r="O628" s="8"/>
    </row>
    <row r="629" ht="22.5" customHeight="1">
      <c r="A629" s="6"/>
      <c r="B629" s="6"/>
      <c r="M629" s="8"/>
      <c r="O629" s="8"/>
    </row>
    <row r="630" ht="22.5" customHeight="1">
      <c r="A630" s="6"/>
      <c r="B630" s="6"/>
      <c r="M630" s="8"/>
      <c r="O630" s="8"/>
    </row>
    <row r="631" ht="22.5" customHeight="1">
      <c r="A631" s="6"/>
      <c r="B631" s="6"/>
      <c r="M631" s="8"/>
      <c r="O631" s="8"/>
    </row>
    <row r="632" ht="22.5" customHeight="1">
      <c r="A632" s="6"/>
      <c r="B632" s="6"/>
      <c r="M632" s="8"/>
      <c r="O632" s="8"/>
    </row>
    <row r="633" ht="22.5" customHeight="1">
      <c r="A633" s="6"/>
      <c r="B633" s="6"/>
      <c r="M633" s="8"/>
      <c r="O633" s="8"/>
    </row>
    <row r="634" ht="22.5" customHeight="1">
      <c r="A634" s="6"/>
      <c r="B634" s="6"/>
      <c r="M634" s="8"/>
      <c r="O634" s="8"/>
    </row>
    <row r="635" ht="22.5" customHeight="1">
      <c r="A635" s="6"/>
      <c r="B635" s="6"/>
      <c r="M635" s="8"/>
      <c r="O635" s="8"/>
    </row>
    <row r="636" ht="22.5" customHeight="1">
      <c r="A636" s="6"/>
      <c r="B636" s="6"/>
      <c r="M636" s="8"/>
      <c r="O636" s="8"/>
    </row>
    <row r="637" ht="22.5" customHeight="1">
      <c r="A637" s="6"/>
      <c r="B637" s="6"/>
      <c r="M637" s="8"/>
      <c r="O637" s="8"/>
    </row>
    <row r="638" ht="22.5" customHeight="1">
      <c r="A638" s="6"/>
      <c r="B638" s="6"/>
      <c r="M638" s="8"/>
      <c r="O638" s="8"/>
    </row>
    <row r="639" ht="22.5" customHeight="1">
      <c r="A639" s="6"/>
      <c r="B639" s="6"/>
      <c r="M639" s="8"/>
      <c r="O639" s="8"/>
    </row>
    <row r="640" ht="22.5" customHeight="1">
      <c r="A640" s="6"/>
      <c r="B640" s="6"/>
      <c r="M640" s="8"/>
      <c r="O640" s="8"/>
    </row>
    <row r="641" ht="22.5" customHeight="1">
      <c r="A641" s="6"/>
      <c r="B641" s="6"/>
      <c r="M641" s="8"/>
      <c r="O641" s="8"/>
    </row>
    <row r="642" ht="22.5" customHeight="1">
      <c r="A642" s="6"/>
      <c r="B642" s="6"/>
      <c r="M642" s="8"/>
      <c r="O642" s="8"/>
    </row>
    <row r="643" ht="22.5" customHeight="1">
      <c r="A643" s="6"/>
      <c r="B643" s="6"/>
      <c r="M643" s="8"/>
      <c r="O643" s="8"/>
    </row>
    <row r="644" ht="22.5" customHeight="1">
      <c r="A644" s="6"/>
      <c r="B644" s="6"/>
      <c r="M644" s="8"/>
      <c r="O644" s="8"/>
    </row>
    <row r="645" ht="22.5" customHeight="1">
      <c r="A645" s="6"/>
      <c r="B645" s="6"/>
      <c r="M645" s="8"/>
      <c r="O645" s="8"/>
    </row>
    <row r="646" ht="22.5" customHeight="1">
      <c r="A646" s="6"/>
      <c r="B646" s="6"/>
      <c r="M646" s="8"/>
      <c r="O646" s="8"/>
    </row>
    <row r="647" ht="22.5" customHeight="1">
      <c r="A647" s="6"/>
      <c r="B647" s="6"/>
      <c r="M647" s="8"/>
      <c r="O647" s="8"/>
    </row>
    <row r="648" ht="22.5" customHeight="1">
      <c r="A648" s="6"/>
      <c r="B648" s="6"/>
      <c r="M648" s="8"/>
      <c r="O648" s="8"/>
    </row>
    <row r="649" ht="22.5" customHeight="1">
      <c r="A649" s="6"/>
      <c r="B649" s="6"/>
      <c r="M649" s="8"/>
      <c r="O649" s="8"/>
    </row>
    <row r="650" ht="22.5" customHeight="1">
      <c r="A650" s="6"/>
      <c r="B650" s="6"/>
      <c r="M650" s="8"/>
      <c r="O650" s="8"/>
    </row>
    <row r="651" ht="22.5" customHeight="1">
      <c r="A651" s="6"/>
      <c r="B651" s="6"/>
      <c r="M651" s="8"/>
      <c r="O651" s="8"/>
    </row>
    <row r="652" ht="22.5" customHeight="1">
      <c r="A652" s="6"/>
      <c r="B652" s="6"/>
      <c r="M652" s="8"/>
      <c r="O652" s="8"/>
    </row>
    <row r="653" ht="22.5" customHeight="1">
      <c r="A653" s="6"/>
      <c r="B653" s="6"/>
      <c r="M653" s="8"/>
      <c r="O653" s="8"/>
    </row>
    <row r="654" ht="22.5" customHeight="1">
      <c r="A654" s="6"/>
      <c r="B654" s="6"/>
      <c r="M654" s="8"/>
      <c r="O654" s="8"/>
    </row>
    <row r="655" ht="22.5" customHeight="1">
      <c r="A655" s="6"/>
      <c r="B655" s="6"/>
      <c r="M655" s="8"/>
      <c r="O655" s="8"/>
    </row>
    <row r="656" ht="22.5" customHeight="1">
      <c r="A656" s="6"/>
      <c r="B656" s="6"/>
      <c r="M656" s="8"/>
      <c r="O656" s="8"/>
    </row>
    <row r="657" ht="22.5" customHeight="1">
      <c r="A657" s="6"/>
      <c r="B657" s="6"/>
      <c r="M657" s="8"/>
      <c r="O657" s="8"/>
    </row>
    <row r="658" ht="22.5" customHeight="1">
      <c r="A658" s="6"/>
      <c r="B658" s="6"/>
      <c r="M658" s="8"/>
      <c r="O658" s="8"/>
    </row>
    <row r="659" ht="22.5" customHeight="1">
      <c r="A659" s="6"/>
      <c r="B659" s="6"/>
      <c r="M659" s="8"/>
      <c r="O659" s="8"/>
    </row>
    <row r="660" ht="22.5" customHeight="1">
      <c r="A660" s="6"/>
      <c r="B660" s="6"/>
      <c r="M660" s="8"/>
      <c r="O660" s="8"/>
    </row>
    <row r="661" ht="22.5" customHeight="1">
      <c r="A661" s="6"/>
      <c r="B661" s="6"/>
      <c r="M661" s="8"/>
      <c r="O661" s="8"/>
    </row>
    <row r="662" ht="22.5" customHeight="1">
      <c r="A662" s="6"/>
      <c r="B662" s="6"/>
      <c r="M662" s="8"/>
      <c r="O662" s="8"/>
    </row>
    <row r="663" ht="22.5" customHeight="1">
      <c r="A663" s="6"/>
      <c r="B663" s="6"/>
      <c r="M663" s="8"/>
      <c r="O663" s="8"/>
    </row>
    <row r="664" ht="22.5" customHeight="1">
      <c r="A664" s="6"/>
      <c r="B664" s="6"/>
      <c r="M664" s="8"/>
      <c r="O664" s="8"/>
    </row>
    <row r="665" ht="22.5" customHeight="1">
      <c r="A665" s="6"/>
      <c r="B665" s="6"/>
      <c r="M665" s="8"/>
      <c r="O665" s="8"/>
    </row>
    <row r="666" ht="22.5" customHeight="1">
      <c r="A666" s="6"/>
      <c r="B666" s="6"/>
      <c r="M666" s="8"/>
      <c r="O666" s="8"/>
    </row>
    <row r="667" ht="22.5" customHeight="1">
      <c r="A667" s="6"/>
      <c r="B667" s="6"/>
      <c r="M667" s="8"/>
      <c r="O667" s="8"/>
    </row>
    <row r="668" ht="22.5" customHeight="1">
      <c r="A668" s="6"/>
      <c r="B668" s="6"/>
      <c r="M668" s="8"/>
      <c r="O668" s="8"/>
    </row>
    <row r="669" ht="22.5" customHeight="1">
      <c r="A669" s="6"/>
      <c r="B669" s="6"/>
      <c r="M669" s="8"/>
      <c r="O669" s="8"/>
    </row>
    <row r="670" ht="22.5" customHeight="1">
      <c r="A670" s="6"/>
      <c r="B670" s="6"/>
      <c r="M670" s="8"/>
      <c r="O670" s="8"/>
    </row>
    <row r="671" ht="22.5" customHeight="1">
      <c r="A671" s="6"/>
      <c r="B671" s="6"/>
      <c r="M671" s="8"/>
      <c r="O671" s="8"/>
    </row>
    <row r="672" ht="22.5" customHeight="1">
      <c r="A672" s="6"/>
      <c r="B672" s="6"/>
      <c r="M672" s="8"/>
      <c r="O672" s="8"/>
    </row>
    <row r="673" ht="22.5" customHeight="1">
      <c r="A673" s="6"/>
      <c r="B673" s="6"/>
      <c r="M673" s="8"/>
      <c r="O673" s="8"/>
    </row>
    <row r="674" ht="22.5" customHeight="1">
      <c r="A674" s="6"/>
      <c r="B674" s="6"/>
      <c r="M674" s="8"/>
      <c r="O674" s="8"/>
    </row>
    <row r="675" ht="22.5" customHeight="1">
      <c r="A675" s="6"/>
      <c r="B675" s="6"/>
      <c r="M675" s="8"/>
      <c r="O675" s="8"/>
    </row>
    <row r="676" ht="22.5" customHeight="1">
      <c r="A676" s="6"/>
      <c r="B676" s="6"/>
      <c r="M676" s="8"/>
      <c r="O676" s="8"/>
    </row>
    <row r="677" ht="22.5" customHeight="1">
      <c r="A677" s="6"/>
      <c r="B677" s="6"/>
      <c r="M677" s="8"/>
      <c r="O677" s="8"/>
    </row>
    <row r="678" ht="22.5" customHeight="1">
      <c r="A678" s="6"/>
      <c r="B678" s="6"/>
      <c r="M678" s="8"/>
      <c r="O678" s="8"/>
    </row>
    <row r="679" ht="22.5" customHeight="1">
      <c r="A679" s="6"/>
      <c r="B679" s="6"/>
      <c r="M679" s="8"/>
      <c r="O679" s="8"/>
    </row>
    <row r="680" ht="22.5" customHeight="1">
      <c r="A680" s="6"/>
      <c r="B680" s="6"/>
      <c r="M680" s="8"/>
      <c r="O680" s="8"/>
    </row>
    <row r="681" ht="22.5" customHeight="1">
      <c r="A681" s="6"/>
      <c r="B681" s="6"/>
      <c r="M681" s="8"/>
      <c r="O681" s="8"/>
    </row>
    <row r="682" ht="22.5" customHeight="1">
      <c r="A682" s="6"/>
      <c r="B682" s="6"/>
      <c r="M682" s="8"/>
      <c r="O682" s="8"/>
    </row>
    <row r="683" ht="22.5" customHeight="1">
      <c r="A683" s="6"/>
      <c r="B683" s="6"/>
      <c r="M683" s="8"/>
      <c r="O683" s="8"/>
    </row>
    <row r="684" ht="22.5" customHeight="1">
      <c r="A684" s="6"/>
      <c r="B684" s="6"/>
      <c r="M684" s="8"/>
      <c r="O684" s="8"/>
    </row>
    <row r="685" ht="22.5" customHeight="1">
      <c r="A685" s="6"/>
      <c r="B685" s="6"/>
      <c r="M685" s="8"/>
      <c r="O685" s="8"/>
    </row>
    <row r="686" ht="22.5" customHeight="1">
      <c r="A686" s="6"/>
      <c r="B686" s="6"/>
      <c r="M686" s="8"/>
      <c r="O686" s="8"/>
    </row>
    <row r="687" ht="22.5" customHeight="1">
      <c r="A687" s="6"/>
      <c r="B687" s="6"/>
      <c r="M687" s="8"/>
      <c r="O687" s="8"/>
    </row>
    <row r="688" ht="22.5" customHeight="1">
      <c r="A688" s="6"/>
      <c r="B688" s="6"/>
      <c r="M688" s="8"/>
      <c r="O688" s="8"/>
    </row>
    <row r="689" ht="22.5" customHeight="1">
      <c r="A689" s="6"/>
      <c r="B689" s="6"/>
      <c r="M689" s="8"/>
      <c r="O689" s="8"/>
    </row>
    <row r="690" ht="22.5" customHeight="1">
      <c r="A690" s="6"/>
      <c r="B690" s="6"/>
      <c r="M690" s="8"/>
      <c r="O690" s="8"/>
    </row>
    <row r="691" ht="22.5" customHeight="1">
      <c r="A691" s="6"/>
      <c r="B691" s="6"/>
      <c r="M691" s="8"/>
      <c r="O691" s="8"/>
    </row>
    <row r="692" ht="22.5" customHeight="1">
      <c r="A692" s="6"/>
      <c r="B692" s="6"/>
      <c r="M692" s="8"/>
      <c r="O692" s="8"/>
    </row>
    <row r="693" ht="22.5" customHeight="1">
      <c r="A693" s="6"/>
      <c r="B693" s="6"/>
      <c r="M693" s="8"/>
      <c r="O693" s="8"/>
    </row>
    <row r="694" ht="22.5" customHeight="1">
      <c r="A694" s="6"/>
      <c r="B694" s="6"/>
      <c r="M694" s="8"/>
      <c r="O694" s="8"/>
    </row>
    <row r="695" ht="22.5" customHeight="1">
      <c r="A695" s="6"/>
      <c r="B695" s="6"/>
      <c r="M695" s="8"/>
      <c r="O695" s="8"/>
    </row>
    <row r="696" ht="22.5" customHeight="1">
      <c r="A696" s="6"/>
      <c r="B696" s="6"/>
      <c r="M696" s="8"/>
      <c r="O696" s="8"/>
    </row>
    <row r="697" ht="22.5" customHeight="1">
      <c r="A697" s="6"/>
      <c r="B697" s="6"/>
      <c r="M697" s="8"/>
      <c r="O697" s="8"/>
    </row>
    <row r="698" ht="22.5" customHeight="1">
      <c r="A698" s="6"/>
      <c r="B698" s="6"/>
      <c r="M698" s="8"/>
      <c r="O698" s="8"/>
    </row>
    <row r="699" ht="22.5" customHeight="1">
      <c r="A699" s="6"/>
      <c r="B699" s="6"/>
      <c r="M699" s="8"/>
      <c r="O699" s="8"/>
    </row>
    <row r="700" ht="22.5" customHeight="1">
      <c r="A700" s="6"/>
      <c r="B700" s="6"/>
      <c r="M700" s="8"/>
      <c r="O700" s="8"/>
    </row>
    <row r="701" ht="22.5" customHeight="1">
      <c r="A701" s="6"/>
      <c r="B701" s="6"/>
      <c r="M701" s="8"/>
      <c r="O701" s="8"/>
    </row>
    <row r="702" ht="22.5" customHeight="1">
      <c r="A702" s="6"/>
      <c r="B702" s="6"/>
      <c r="M702" s="8"/>
      <c r="O702" s="8"/>
    </row>
    <row r="703" ht="22.5" customHeight="1">
      <c r="A703" s="6"/>
      <c r="B703" s="6"/>
      <c r="M703" s="8"/>
      <c r="O703" s="8"/>
    </row>
    <row r="704" ht="22.5" customHeight="1">
      <c r="A704" s="6"/>
      <c r="B704" s="6"/>
      <c r="M704" s="8"/>
      <c r="O704" s="8"/>
    </row>
    <row r="705" ht="22.5" customHeight="1">
      <c r="A705" s="6"/>
      <c r="B705" s="6"/>
      <c r="M705" s="8"/>
      <c r="O705" s="8"/>
    </row>
    <row r="706" ht="22.5" customHeight="1">
      <c r="A706" s="6"/>
      <c r="B706" s="6"/>
      <c r="M706" s="8"/>
      <c r="O706" s="8"/>
    </row>
    <row r="707" ht="22.5" customHeight="1">
      <c r="A707" s="6"/>
      <c r="B707" s="6"/>
      <c r="M707" s="8"/>
      <c r="O707" s="8"/>
    </row>
    <row r="708" ht="22.5" customHeight="1">
      <c r="A708" s="6"/>
      <c r="B708" s="6"/>
      <c r="M708" s="8"/>
      <c r="O708" s="8"/>
    </row>
    <row r="709" ht="22.5" customHeight="1">
      <c r="A709" s="6"/>
      <c r="B709" s="6"/>
      <c r="M709" s="8"/>
      <c r="O709" s="8"/>
    </row>
    <row r="710" ht="22.5" customHeight="1">
      <c r="A710" s="6"/>
      <c r="B710" s="6"/>
      <c r="M710" s="8"/>
      <c r="O710" s="8"/>
    </row>
    <row r="711" ht="22.5" customHeight="1">
      <c r="A711" s="6"/>
      <c r="B711" s="6"/>
      <c r="M711" s="8"/>
      <c r="O711" s="8"/>
    </row>
    <row r="712" ht="22.5" customHeight="1">
      <c r="A712" s="6"/>
      <c r="B712" s="6"/>
      <c r="M712" s="8"/>
      <c r="O712" s="8"/>
    </row>
    <row r="713" ht="22.5" customHeight="1">
      <c r="A713" s="6"/>
      <c r="B713" s="6"/>
      <c r="M713" s="8"/>
      <c r="O713" s="8"/>
    </row>
    <row r="714" ht="22.5" customHeight="1">
      <c r="A714" s="6"/>
      <c r="B714" s="6"/>
      <c r="M714" s="8"/>
      <c r="O714" s="8"/>
    </row>
    <row r="715" ht="22.5" customHeight="1">
      <c r="A715" s="6"/>
      <c r="B715" s="6"/>
      <c r="M715" s="8"/>
      <c r="O715" s="8"/>
    </row>
    <row r="716" ht="22.5" customHeight="1">
      <c r="A716" s="6"/>
      <c r="B716" s="6"/>
      <c r="M716" s="8"/>
      <c r="O716" s="8"/>
    </row>
    <row r="717" ht="22.5" customHeight="1">
      <c r="A717" s="6"/>
      <c r="B717" s="6"/>
      <c r="M717" s="8"/>
      <c r="O717" s="8"/>
    </row>
    <row r="718" ht="22.5" customHeight="1">
      <c r="A718" s="6"/>
      <c r="B718" s="6"/>
      <c r="M718" s="8"/>
      <c r="O718" s="8"/>
    </row>
    <row r="719" ht="22.5" customHeight="1">
      <c r="A719" s="6"/>
      <c r="B719" s="6"/>
      <c r="M719" s="8"/>
      <c r="O719" s="8"/>
    </row>
    <row r="720" ht="22.5" customHeight="1">
      <c r="A720" s="6"/>
      <c r="B720" s="6"/>
      <c r="M720" s="8"/>
      <c r="O720" s="8"/>
    </row>
    <row r="721" ht="22.5" customHeight="1">
      <c r="A721" s="6"/>
      <c r="B721" s="6"/>
      <c r="M721" s="8"/>
      <c r="O721" s="8"/>
    </row>
    <row r="722" ht="22.5" customHeight="1">
      <c r="A722" s="6"/>
      <c r="B722" s="6"/>
      <c r="M722" s="8"/>
      <c r="O722" s="8"/>
    </row>
    <row r="723" ht="22.5" customHeight="1">
      <c r="A723" s="6"/>
      <c r="B723" s="6"/>
      <c r="M723" s="8"/>
      <c r="O723" s="8"/>
    </row>
    <row r="724" ht="22.5" customHeight="1">
      <c r="A724" s="6"/>
      <c r="B724" s="6"/>
      <c r="M724" s="8"/>
      <c r="O724" s="8"/>
    </row>
    <row r="725" ht="22.5" customHeight="1">
      <c r="A725" s="6"/>
      <c r="B725" s="6"/>
      <c r="M725" s="8"/>
      <c r="O725" s="8"/>
    </row>
    <row r="726" ht="22.5" customHeight="1">
      <c r="A726" s="6"/>
      <c r="B726" s="6"/>
      <c r="M726" s="8"/>
      <c r="O726" s="8"/>
    </row>
    <row r="727" ht="22.5" customHeight="1">
      <c r="A727" s="6"/>
      <c r="B727" s="6"/>
      <c r="M727" s="8"/>
      <c r="O727" s="8"/>
    </row>
    <row r="728" ht="22.5" customHeight="1">
      <c r="A728" s="6"/>
      <c r="B728" s="6"/>
      <c r="M728" s="8"/>
      <c r="O728" s="8"/>
    </row>
    <row r="729" ht="22.5" customHeight="1">
      <c r="A729" s="6"/>
      <c r="B729" s="6"/>
      <c r="M729" s="8"/>
      <c r="O729" s="8"/>
    </row>
    <row r="730" ht="22.5" customHeight="1">
      <c r="A730" s="6"/>
      <c r="B730" s="6"/>
      <c r="M730" s="8"/>
      <c r="O730" s="8"/>
    </row>
    <row r="731" ht="22.5" customHeight="1">
      <c r="A731" s="6"/>
      <c r="B731" s="6"/>
      <c r="M731" s="8"/>
      <c r="O731" s="8"/>
    </row>
    <row r="732" ht="22.5" customHeight="1">
      <c r="A732" s="6"/>
      <c r="B732" s="6"/>
      <c r="M732" s="8"/>
      <c r="O732" s="8"/>
    </row>
    <row r="733" ht="22.5" customHeight="1">
      <c r="A733" s="6"/>
      <c r="B733" s="6"/>
      <c r="M733" s="8"/>
      <c r="O733" s="8"/>
    </row>
    <row r="734" ht="22.5" customHeight="1">
      <c r="A734" s="6"/>
      <c r="B734" s="6"/>
      <c r="M734" s="8"/>
      <c r="O734" s="8"/>
    </row>
    <row r="735" ht="22.5" customHeight="1">
      <c r="A735" s="6"/>
      <c r="B735" s="6"/>
      <c r="M735" s="8"/>
      <c r="O735" s="8"/>
    </row>
    <row r="736" ht="22.5" customHeight="1">
      <c r="A736" s="6"/>
      <c r="B736" s="6"/>
      <c r="M736" s="8"/>
      <c r="O736" s="8"/>
    </row>
    <row r="737" ht="22.5" customHeight="1">
      <c r="A737" s="6"/>
      <c r="B737" s="6"/>
      <c r="M737" s="8"/>
      <c r="O737" s="8"/>
    </row>
    <row r="738" ht="22.5" customHeight="1">
      <c r="A738" s="6"/>
      <c r="B738" s="6"/>
      <c r="M738" s="8"/>
      <c r="O738" s="8"/>
    </row>
    <row r="739" ht="22.5" customHeight="1">
      <c r="A739" s="6"/>
      <c r="B739" s="6"/>
      <c r="M739" s="8"/>
      <c r="O739" s="8"/>
    </row>
    <row r="740" ht="22.5" customHeight="1">
      <c r="A740" s="6"/>
      <c r="B740" s="6"/>
      <c r="M740" s="8"/>
      <c r="O740" s="8"/>
    </row>
    <row r="741" ht="22.5" customHeight="1">
      <c r="A741" s="6"/>
      <c r="B741" s="6"/>
      <c r="M741" s="8"/>
      <c r="O741" s="8"/>
    </row>
    <row r="742" ht="22.5" customHeight="1">
      <c r="A742" s="6"/>
      <c r="B742" s="6"/>
      <c r="M742" s="8"/>
      <c r="O742" s="8"/>
    </row>
    <row r="743" ht="22.5" customHeight="1">
      <c r="A743" s="6"/>
      <c r="B743" s="6"/>
      <c r="M743" s="8"/>
      <c r="O743" s="8"/>
    </row>
    <row r="744" ht="22.5" customHeight="1">
      <c r="A744" s="6"/>
      <c r="B744" s="6"/>
      <c r="M744" s="8"/>
      <c r="O744" s="8"/>
    </row>
    <row r="745" ht="22.5" customHeight="1">
      <c r="A745" s="6"/>
      <c r="B745" s="6"/>
      <c r="M745" s="8"/>
      <c r="O745" s="8"/>
    </row>
    <row r="746" ht="22.5" customHeight="1">
      <c r="A746" s="6"/>
      <c r="B746" s="6"/>
      <c r="M746" s="8"/>
      <c r="O746" s="8"/>
    </row>
    <row r="747" ht="22.5" customHeight="1">
      <c r="A747" s="6"/>
      <c r="B747" s="6"/>
      <c r="M747" s="8"/>
      <c r="O747" s="8"/>
    </row>
    <row r="748" ht="22.5" customHeight="1">
      <c r="A748" s="6"/>
      <c r="B748" s="6"/>
      <c r="M748" s="8"/>
      <c r="O748" s="8"/>
    </row>
    <row r="749" ht="22.5" customHeight="1">
      <c r="A749" s="6"/>
      <c r="B749" s="6"/>
      <c r="M749" s="8"/>
      <c r="O749" s="8"/>
    </row>
    <row r="750" ht="22.5" customHeight="1">
      <c r="A750" s="6"/>
      <c r="B750" s="6"/>
      <c r="M750" s="8"/>
      <c r="O750" s="8"/>
    </row>
    <row r="751" ht="22.5" customHeight="1">
      <c r="A751" s="6"/>
      <c r="B751" s="6"/>
      <c r="M751" s="8"/>
      <c r="O751" s="8"/>
    </row>
    <row r="752" ht="22.5" customHeight="1">
      <c r="A752" s="6"/>
      <c r="B752" s="6"/>
      <c r="M752" s="8"/>
      <c r="O752" s="8"/>
    </row>
    <row r="753" ht="22.5" customHeight="1">
      <c r="A753" s="6"/>
      <c r="B753" s="6"/>
      <c r="M753" s="8"/>
      <c r="O753" s="8"/>
    </row>
    <row r="754" ht="22.5" customHeight="1">
      <c r="A754" s="6"/>
      <c r="B754" s="6"/>
      <c r="M754" s="8"/>
      <c r="O754" s="8"/>
    </row>
    <row r="755" ht="22.5" customHeight="1">
      <c r="A755" s="6"/>
      <c r="B755" s="6"/>
      <c r="M755" s="8"/>
      <c r="O755" s="8"/>
    </row>
    <row r="756" ht="22.5" customHeight="1">
      <c r="A756" s="6"/>
      <c r="B756" s="6"/>
      <c r="M756" s="8"/>
      <c r="O756" s="8"/>
    </row>
    <row r="757" ht="22.5" customHeight="1">
      <c r="A757" s="6"/>
      <c r="B757" s="6"/>
      <c r="M757" s="8"/>
      <c r="O757" s="8"/>
    </row>
    <row r="758" ht="22.5" customHeight="1">
      <c r="A758" s="6"/>
      <c r="B758" s="6"/>
      <c r="M758" s="8"/>
      <c r="O758" s="8"/>
    </row>
    <row r="759" ht="22.5" customHeight="1">
      <c r="A759" s="6"/>
      <c r="B759" s="6"/>
      <c r="M759" s="8"/>
      <c r="O759" s="8"/>
    </row>
    <row r="760" ht="22.5" customHeight="1">
      <c r="A760" s="6"/>
      <c r="B760" s="6"/>
      <c r="M760" s="8"/>
      <c r="O760" s="8"/>
    </row>
    <row r="761" ht="22.5" customHeight="1">
      <c r="A761" s="6"/>
      <c r="B761" s="6"/>
      <c r="M761" s="8"/>
      <c r="O761" s="8"/>
    </row>
    <row r="762" ht="22.5" customHeight="1">
      <c r="A762" s="6"/>
      <c r="B762" s="6"/>
      <c r="M762" s="8"/>
      <c r="O762" s="8"/>
    </row>
    <row r="763" ht="22.5" customHeight="1">
      <c r="A763" s="6"/>
      <c r="B763" s="6"/>
      <c r="M763" s="8"/>
      <c r="O763" s="8"/>
    </row>
    <row r="764" ht="22.5" customHeight="1">
      <c r="A764" s="6"/>
      <c r="B764" s="6"/>
      <c r="M764" s="8"/>
      <c r="O764" s="8"/>
    </row>
    <row r="765" ht="22.5" customHeight="1">
      <c r="A765" s="6"/>
      <c r="B765" s="6"/>
      <c r="M765" s="8"/>
      <c r="O765" s="8"/>
    </row>
    <row r="766" ht="22.5" customHeight="1">
      <c r="A766" s="6"/>
      <c r="B766" s="6"/>
      <c r="M766" s="8"/>
      <c r="O766" s="8"/>
    </row>
    <row r="767" ht="22.5" customHeight="1">
      <c r="A767" s="6"/>
      <c r="B767" s="6"/>
      <c r="M767" s="8"/>
      <c r="O767" s="8"/>
    </row>
    <row r="768" ht="22.5" customHeight="1">
      <c r="A768" s="6"/>
      <c r="B768" s="6"/>
      <c r="M768" s="8"/>
      <c r="O768" s="8"/>
    </row>
    <row r="769" ht="22.5" customHeight="1">
      <c r="A769" s="6"/>
      <c r="B769" s="6"/>
      <c r="M769" s="8"/>
      <c r="O769" s="8"/>
    </row>
    <row r="770" ht="22.5" customHeight="1">
      <c r="A770" s="6"/>
      <c r="B770" s="6"/>
      <c r="M770" s="8"/>
      <c r="O770" s="8"/>
    </row>
    <row r="771" ht="22.5" customHeight="1">
      <c r="A771" s="6"/>
      <c r="B771" s="6"/>
      <c r="M771" s="8"/>
      <c r="O771" s="8"/>
    </row>
    <row r="772" ht="22.5" customHeight="1">
      <c r="A772" s="6"/>
      <c r="B772" s="6"/>
      <c r="M772" s="8"/>
      <c r="O772" s="8"/>
    </row>
    <row r="773" ht="22.5" customHeight="1">
      <c r="A773" s="6"/>
      <c r="B773" s="6"/>
      <c r="M773" s="8"/>
      <c r="O773" s="8"/>
    </row>
    <row r="774" ht="22.5" customHeight="1">
      <c r="A774" s="6"/>
      <c r="B774" s="6"/>
      <c r="M774" s="8"/>
      <c r="O774" s="8"/>
    </row>
    <row r="775" ht="22.5" customHeight="1">
      <c r="A775" s="6"/>
      <c r="B775" s="6"/>
      <c r="M775" s="8"/>
      <c r="O775" s="8"/>
    </row>
    <row r="776" ht="22.5" customHeight="1">
      <c r="A776" s="6"/>
      <c r="B776" s="6"/>
      <c r="M776" s="8"/>
      <c r="O776" s="8"/>
    </row>
    <row r="777" ht="22.5" customHeight="1">
      <c r="A777" s="6"/>
      <c r="B777" s="6"/>
      <c r="M777" s="8"/>
      <c r="O777" s="8"/>
    </row>
    <row r="778" ht="22.5" customHeight="1">
      <c r="A778" s="6"/>
      <c r="B778" s="6"/>
      <c r="M778" s="8"/>
      <c r="O778" s="8"/>
    </row>
    <row r="779" ht="22.5" customHeight="1">
      <c r="A779" s="6"/>
      <c r="B779" s="6"/>
      <c r="M779" s="8"/>
      <c r="O779" s="8"/>
    </row>
    <row r="780" ht="22.5" customHeight="1">
      <c r="A780" s="6"/>
      <c r="B780" s="6"/>
      <c r="M780" s="8"/>
      <c r="O780" s="8"/>
    </row>
    <row r="781" ht="22.5" customHeight="1">
      <c r="A781" s="6"/>
      <c r="B781" s="6"/>
      <c r="M781" s="8"/>
      <c r="O781" s="8"/>
    </row>
    <row r="782" ht="22.5" customHeight="1">
      <c r="A782" s="6"/>
      <c r="B782" s="6"/>
      <c r="M782" s="8"/>
      <c r="O782" s="8"/>
    </row>
    <row r="783" ht="22.5" customHeight="1">
      <c r="A783" s="6"/>
      <c r="B783" s="6"/>
      <c r="M783" s="8"/>
      <c r="O783" s="8"/>
    </row>
    <row r="784" ht="22.5" customHeight="1">
      <c r="A784" s="6"/>
      <c r="B784" s="6"/>
      <c r="M784" s="8"/>
      <c r="O784" s="8"/>
    </row>
    <row r="785" ht="22.5" customHeight="1">
      <c r="A785" s="6"/>
      <c r="B785" s="6"/>
      <c r="M785" s="8"/>
      <c r="O785" s="8"/>
    </row>
    <row r="786" ht="22.5" customHeight="1">
      <c r="A786" s="6"/>
      <c r="B786" s="6"/>
      <c r="M786" s="8"/>
      <c r="O786" s="8"/>
    </row>
    <row r="787" ht="22.5" customHeight="1">
      <c r="A787" s="6"/>
      <c r="B787" s="6"/>
      <c r="M787" s="8"/>
      <c r="O787" s="8"/>
    </row>
    <row r="788" ht="22.5" customHeight="1">
      <c r="A788" s="6"/>
      <c r="B788" s="6"/>
      <c r="M788" s="8"/>
      <c r="O788" s="8"/>
    </row>
    <row r="789" ht="22.5" customHeight="1">
      <c r="A789" s="6"/>
      <c r="B789" s="6"/>
      <c r="M789" s="8"/>
      <c r="O789" s="8"/>
    </row>
    <row r="790" ht="22.5" customHeight="1">
      <c r="A790" s="6"/>
      <c r="B790" s="6"/>
      <c r="M790" s="8"/>
      <c r="O790" s="8"/>
    </row>
    <row r="791" ht="22.5" customHeight="1">
      <c r="A791" s="6"/>
      <c r="B791" s="6"/>
      <c r="M791" s="8"/>
      <c r="O791" s="8"/>
    </row>
    <row r="792" ht="22.5" customHeight="1">
      <c r="A792" s="6"/>
      <c r="B792" s="6"/>
      <c r="M792" s="8"/>
      <c r="O792" s="8"/>
    </row>
    <row r="793" ht="22.5" customHeight="1">
      <c r="A793" s="6"/>
      <c r="B793" s="6"/>
      <c r="M793" s="8"/>
      <c r="O793" s="8"/>
    </row>
    <row r="794" ht="22.5" customHeight="1">
      <c r="A794" s="6"/>
      <c r="B794" s="6"/>
      <c r="M794" s="8"/>
      <c r="O794" s="8"/>
    </row>
    <row r="795" ht="22.5" customHeight="1">
      <c r="A795" s="6"/>
      <c r="B795" s="6"/>
      <c r="M795" s="8"/>
      <c r="O795" s="8"/>
    </row>
    <row r="796" ht="22.5" customHeight="1">
      <c r="A796" s="6"/>
      <c r="B796" s="6"/>
      <c r="M796" s="8"/>
      <c r="O796" s="8"/>
    </row>
    <row r="797" ht="22.5" customHeight="1">
      <c r="A797" s="6"/>
      <c r="B797" s="6"/>
      <c r="M797" s="8"/>
      <c r="O797" s="8"/>
    </row>
    <row r="798" ht="22.5" customHeight="1">
      <c r="A798" s="6"/>
      <c r="B798" s="6"/>
      <c r="M798" s="8"/>
      <c r="O798" s="8"/>
    </row>
    <row r="799" ht="22.5" customHeight="1">
      <c r="A799" s="6"/>
      <c r="B799" s="6"/>
      <c r="M799" s="8"/>
      <c r="O799" s="8"/>
    </row>
    <row r="800" ht="22.5" customHeight="1">
      <c r="A800" s="6"/>
      <c r="B800" s="6"/>
      <c r="M800" s="8"/>
      <c r="O800" s="8"/>
    </row>
    <row r="801" ht="22.5" customHeight="1">
      <c r="A801" s="6"/>
      <c r="B801" s="6"/>
      <c r="M801" s="8"/>
      <c r="O801" s="8"/>
    </row>
    <row r="802" ht="22.5" customHeight="1">
      <c r="A802" s="6"/>
      <c r="B802" s="6"/>
      <c r="M802" s="8"/>
      <c r="O802" s="8"/>
    </row>
    <row r="803" ht="22.5" customHeight="1">
      <c r="A803" s="6"/>
      <c r="B803" s="6"/>
      <c r="M803" s="8"/>
      <c r="O803" s="8"/>
    </row>
    <row r="804" ht="22.5" customHeight="1">
      <c r="A804" s="6"/>
      <c r="B804" s="6"/>
      <c r="M804" s="8"/>
      <c r="O804" s="8"/>
    </row>
    <row r="805" ht="22.5" customHeight="1">
      <c r="A805" s="6"/>
      <c r="B805" s="6"/>
      <c r="M805" s="8"/>
      <c r="O805" s="8"/>
    </row>
    <row r="806" ht="22.5" customHeight="1">
      <c r="A806" s="6"/>
      <c r="B806" s="6"/>
      <c r="M806" s="8"/>
      <c r="O806" s="8"/>
    </row>
    <row r="807" ht="22.5" customHeight="1">
      <c r="A807" s="6"/>
      <c r="B807" s="6"/>
      <c r="M807" s="8"/>
      <c r="O807" s="8"/>
    </row>
    <row r="808" ht="22.5" customHeight="1">
      <c r="A808" s="6"/>
      <c r="B808" s="6"/>
      <c r="M808" s="8"/>
      <c r="O808" s="8"/>
    </row>
    <row r="809" ht="22.5" customHeight="1">
      <c r="A809" s="6"/>
      <c r="B809" s="6"/>
      <c r="M809" s="8"/>
      <c r="O809" s="8"/>
    </row>
    <row r="810" ht="22.5" customHeight="1">
      <c r="A810" s="6"/>
      <c r="B810" s="6"/>
      <c r="M810" s="8"/>
      <c r="O810" s="8"/>
    </row>
    <row r="811" ht="22.5" customHeight="1">
      <c r="A811" s="6"/>
      <c r="B811" s="6"/>
      <c r="M811" s="8"/>
      <c r="O811" s="8"/>
    </row>
    <row r="812" ht="22.5" customHeight="1">
      <c r="A812" s="6"/>
      <c r="B812" s="6"/>
      <c r="M812" s="8"/>
      <c r="O812" s="8"/>
    </row>
    <row r="813" ht="22.5" customHeight="1">
      <c r="A813" s="6"/>
      <c r="B813" s="6"/>
      <c r="M813" s="8"/>
      <c r="O813" s="8"/>
    </row>
    <row r="814" ht="22.5" customHeight="1">
      <c r="A814" s="6"/>
      <c r="B814" s="6"/>
      <c r="M814" s="8"/>
      <c r="O814" s="8"/>
    </row>
    <row r="815" ht="22.5" customHeight="1">
      <c r="A815" s="6"/>
      <c r="B815" s="6"/>
      <c r="M815" s="8"/>
      <c r="O815" s="8"/>
    </row>
    <row r="816" ht="22.5" customHeight="1">
      <c r="A816" s="6"/>
      <c r="B816" s="6"/>
      <c r="M816" s="8"/>
      <c r="O816" s="8"/>
    </row>
    <row r="817" ht="22.5" customHeight="1">
      <c r="A817" s="6"/>
      <c r="B817" s="6"/>
      <c r="M817" s="8"/>
      <c r="O817" s="8"/>
    </row>
    <row r="818" ht="22.5" customHeight="1">
      <c r="A818" s="6"/>
      <c r="B818" s="6"/>
      <c r="M818" s="8"/>
      <c r="O818" s="8"/>
    </row>
    <row r="819" ht="22.5" customHeight="1">
      <c r="A819" s="6"/>
      <c r="B819" s="6"/>
      <c r="M819" s="8"/>
      <c r="O819" s="8"/>
    </row>
    <row r="820" ht="22.5" customHeight="1">
      <c r="A820" s="6"/>
      <c r="B820" s="6"/>
      <c r="M820" s="8"/>
      <c r="O820" s="8"/>
    </row>
    <row r="821" ht="22.5" customHeight="1">
      <c r="A821" s="6"/>
      <c r="B821" s="6"/>
      <c r="M821" s="8"/>
      <c r="O821" s="8"/>
    </row>
    <row r="822" ht="22.5" customHeight="1">
      <c r="A822" s="6"/>
      <c r="B822" s="6"/>
      <c r="M822" s="8"/>
      <c r="O822" s="8"/>
    </row>
    <row r="823" ht="22.5" customHeight="1">
      <c r="A823" s="6"/>
      <c r="B823" s="6"/>
      <c r="M823" s="8"/>
      <c r="O823" s="8"/>
    </row>
    <row r="824" ht="22.5" customHeight="1">
      <c r="A824" s="6"/>
      <c r="B824" s="6"/>
      <c r="M824" s="8"/>
      <c r="O824" s="8"/>
    </row>
    <row r="825" ht="22.5" customHeight="1">
      <c r="A825" s="6"/>
      <c r="B825" s="6"/>
      <c r="M825" s="8"/>
      <c r="O825" s="8"/>
    </row>
    <row r="826" ht="22.5" customHeight="1">
      <c r="A826" s="6"/>
      <c r="B826" s="6"/>
      <c r="M826" s="8"/>
      <c r="O826" s="8"/>
    </row>
    <row r="827" ht="22.5" customHeight="1">
      <c r="A827" s="6"/>
      <c r="B827" s="6"/>
      <c r="M827" s="8"/>
      <c r="O827" s="8"/>
    </row>
    <row r="828" ht="22.5" customHeight="1">
      <c r="A828" s="6"/>
      <c r="B828" s="6"/>
      <c r="M828" s="8"/>
      <c r="O828" s="8"/>
    </row>
    <row r="829" ht="22.5" customHeight="1">
      <c r="A829" s="6"/>
      <c r="B829" s="6"/>
      <c r="M829" s="8"/>
      <c r="O829" s="8"/>
    </row>
    <row r="830" ht="22.5" customHeight="1">
      <c r="A830" s="6"/>
      <c r="B830" s="6"/>
      <c r="M830" s="8"/>
      <c r="O830" s="8"/>
    </row>
    <row r="831" ht="22.5" customHeight="1">
      <c r="A831" s="6"/>
      <c r="B831" s="6"/>
      <c r="M831" s="8"/>
      <c r="O831" s="8"/>
    </row>
    <row r="832" ht="22.5" customHeight="1">
      <c r="A832" s="6"/>
      <c r="B832" s="6"/>
      <c r="M832" s="8"/>
      <c r="O832" s="8"/>
    </row>
    <row r="833" ht="22.5" customHeight="1">
      <c r="A833" s="6"/>
      <c r="B833" s="6"/>
      <c r="M833" s="8"/>
      <c r="O833" s="8"/>
    </row>
    <row r="834" ht="22.5" customHeight="1">
      <c r="A834" s="6"/>
      <c r="B834" s="6"/>
      <c r="M834" s="8"/>
      <c r="O834" s="8"/>
    </row>
    <row r="835" ht="22.5" customHeight="1">
      <c r="A835" s="6"/>
      <c r="B835" s="6"/>
      <c r="M835" s="8"/>
      <c r="O835" s="8"/>
    </row>
    <row r="836" ht="22.5" customHeight="1">
      <c r="A836" s="6"/>
      <c r="B836" s="6"/>
      <c r="M836" s="8"/>
      <c r="O836" s="8"/>
    </row>
    <row r="837" ht="22.5" customHeight="1">
      <c r="A837" s="6"/>
      <c r="B837" s="6"/>
      <c r="M837" s="8"/>
      <c r="O837" s="8"/>
    </row>
    <row r="838" ht="22.5" customHeight="1">
      <c r="A838" s="6"/>
      <c r="B838" s="6"/>
      <c r="M838" s="8"/>
      <c r="O838" s="8"/>
    </row>
    <row r="839" ht="22.5" customHeight="1">
      <c r="A839" s="6"/>
      <c r="B839" s="6"/>
      <c r="M839" s="8"/>
      <c r="O839" s="8"/>
    </row>
    <row r="840" ht="22.5" customHeight="1">
      <c r="A840" s="6"/>
      <c r="B840" s="6"/>
      <c r="M840" s="8"/>
      <c r="O840" s="8"/>
    </row>
    <row r="841" ht="22.5" customHeight="1">
      <c r="A841" s="6"/>
      <c r="B841" s="6"/>
      <c r="M841" s="8"/>
      <c r="O841" s="8"/>
    </row>
    <row r="842" ht="22.5" customHeight="1">
      <c r="A842" s="6"/>
      <c r="B842" s="6"/>
      <c r="M842" s="8"/>
      <c r="O842" s="8"/>
    </row>
    <row r="843" ht="22.5" customHeight="1">
      <c r="A843" s="6"/>
      <c r="B843" s="6"/>
      <c r="M843" s="8"/>
      <c r="O843" s="8"/>
    </row>
    <row r="844" ht="22.5" customHeight="1">
      <c r="A844" s="6"/>
      <c r="B844" s="6"/>
      <c r="M844" s="8"/>
      <c r="O844" s="8"/>
    </row>
    <row r="845" ht="22.5" customHeight="1">
      <c r="A845" s="6"/>
      <c r="B845" s="6"/>
      <c r="M845" s="8"/>
      <c r="O845" s="8"/>
    </row>
    <row r="846" ht="22.5" customHeight="1">
      <c r="A846" s="6"/>
      <c r="B846" s="6"/>
      <c r="M846" s="8"/>
      <c r="O846" s="8"/>
    </row>
    <row r="847" ht="22.5" customHeight="1">
      <c r="A847" s="6"/>
      <c r="B847" s="6"/>
      <c r="M847" s="8"/>
      <c r="O847" s="8"/>
    </row>
    <row r="848" ht="22.5" customHeight="1">
      <c r="A848" s="6"/>
      <c r="B848" s="6"/>
      <c r="M848" s="8"/>
      <c r="O848" s="8"/>
    </row>
    <row r="849" ht="22.5" customHeight="1">
      <c r="A849" s="6"/>
      <c r="B849" s="6"/>
      <c r="M849" s="8"/>
      <c r="O849" s="8"/>
    </row>
    <row r="850" ht="22.5" customHeight="1">
      <c r="A850" s="6"/>
      <c r="B850" s="6"/>
      <c r="M850" s="8"/>
      <c r="O850" s="8"/>
    </row>
    <row r="851" ht="22.5" customHeight="1">
      <c r="A851" s="6"/>
      <c r="B851" s="6"/>
      <c r="M851" s="8"/>
      <c r="O851" s="8"/>
    </row>
    <row r="852" ht="22.5" customHeight="1">
      <c r="A852" s="6"/>
      <c r="B852" s="6"/>
      <c r="M852" s="8"/>
      <c r="O852" s="8"/>
    </row>
    <row r="853" ht="22.5" customHeight="1">
      <c r="A853" s="6"/>
      <c r="B853" s="6"/>
      <c r="M853" s="8"/>
      <c r="O853" s="8"/>
    </row>
    <row r="854" ht="22.5" customHeight="1">
      <c r="A854" s="6"/>
      <c r="B854" s="6"/>
      <c r="M854" s="8"/>
      <c r="O854" s="8"/>
    </row>
    <row r="855" ht="22.5" customHeight="1">
      <c r="A855" s="6"/>
      <c r="B855" s="6"/>
      <c r="M855" s="8"/>
      <c r="O855" s="8"/>
    </row>
    <row r="856" ht="22.5" customHeight="1">
      <c r="A856" s="6"/>
      <c r="B856" s="6"/>
      <c r="M856" s="8"/>
      <c r="O856" s="8"/>
    </row>
    <row r="857" ht="22.5" customHeight="1">
      <c r="A857" s="6"/>
      <c r="B857" s="6"/>
      <c r="M857" s="8"/>
      <c r="O857" s="8"/>
    </row>
    <row r="858" ht="22.5" customHeight="1">
      <c r="A858" s="6"/>
      <c r="B858" s="6"/>
      <c r="M858" s="8"/>
      <c r="O858" s="8"/>
    </row>
    <row r="859" ht="22.5" customHeight="1">
      <c r="A859" s="6"/>
      <c r="B859" s="6"/>
      <c r="M859" s="8"/>
      <c r="O859" s="8"/>
    </row>
    <row r="860" ht="22.5" customHeight="1">
      <c r="A860" s="6"/>
      <c r="B860" s="6"/>
      <c r="M860" s="8"/>
      <c r="O860" s="8"/>
    </row>
    <row r="861" ht="22.5" customHeight="1">
      <c r="A861" s="6"/>
      <c r="B861" s="6"/>
      <c r="M861" s="8"/>
      <c r="O861" s="8"/>
    </row>
    <row r="862" ht="22.5" customHeight="1">
      <c r="A862" s="6"/>
      <c r="B862" s="6"/>
      <c r="M862" s="8"/>
      <c r="O862" s="8"/>
    </row>
    <row r="863" ht="22.5" customHeight="1">
      <c r="A863" s="6"/>
      <c r="B863" s="6"/>
      <c r="M863" s="8"/>
      <c r="O863" s="8"/>
    </row>
    <row r="864" ht="22.5" customHeight="1">
      <c r="A864" s="6"/>
      <c r="B864" s="6"/>
      <c r="M864" s="8"/>
      <c r="O864" s="8"/>
    </row>
    <row r="865" ht="22.5" customHeight="1">
      <c r="A865" s="6"/>
      <c r="B865" s="6"/>
      <c r="M865" s="8"/>
      <c r="O865" s="8"/>
    </row>
    <row r="866" ht="22.5" customHeight="1">
      <c r="A866" s="6"/>
      <c r="B866" s="6"/>
      <c r="M866" s="8"/>
      <c r="O866" s="8"/>
    </row>
    <row r="867" ht="22.5" customHeight="1">
      <c r="A867" s="6"/>
      <c r="B867" s="6"/>
      <c r="M867" s="8"/>
      <c r="O867" s="8"/>
    </row>
    <row r="868" ht="22.5" customHeight="1">
      <c r="A868" s="6"/>
      <c r="B868" s="6"/>
      <c r="M868" s="8"/>
      <c r="O868" s="8"/>
    </row>
    <row r="869" ht="22.5" customHeight="1">
      <c r="A869" s="6"/>
      <c r="B869" s="6"/>
      <c r="M869" s="8"/>
      <c r="O869" s="8"/>
    </row>
    <row r="870" ht="22.5" customHeight="1">
      <c r="A870" s="6"/>
      <c r="B870" s="6"/>
      <c r="M870" s="8"/>
      <c r="O870" s="8"/>
    </row>
    <row r="871" ht="22.5" customHeight="1">
      <c r="A871" s="6"/>
      <c r="B871" s="6"/>
      <c r="M871" s="8"/>
      <c r="O871" s="8"/>
    </row>
    <row r="872" ht="22.5" customHeight="1">
      <c r="A872" s="6"/>
      <c r="B872" s="6"/>
      <c r="M872" s="8"/>
      <c r="O872" s="8"/>
    </row>
    <row r="873" ht="22.5" customHeight="1">
      <c r="A873" s="6"/>
      <c r="B873" s="6"/>
      <c r="M873" s="8"/>
      <c r="O873" s="8"/>
    </row>
    <row r="874" ht="22.5" customHeight="1">
      <c r="A874" s="6"/>
      <c r="B874" s="6"/>
      <c r="M874" s="8"/>
      <c r="O874" s="8"/>
    </row>
    <row r="875" ht="22.5" customHeight="1">
      <c r="A875" s="6"/>
      <c r="B875" s="6"/>
      <c r="M875" s="8"/>
      <c r="O875" s="8"/>
    </row>
    <row r="876" ht="22.5" customHeight="1">
      <c r="A876" s="6"/>
      <c r="B876" s="6"/>
      <c r="M876" s="8"/>
      <c r="O876" s="8"/>
    </row>
    <row r="877" ht="22.5" customHeight="1">
      <c r="A877" s="6"/>
      <c r="B877" s="6"/>
      <c r="M877" s="8"/>
      <c r="O877" s="8"/>
    </row>
    <row r="878" ht="22.5" customHeight="1">
      <c r="A878" s="6"/>
      <c r="B878" s="6"/>
      <c r="M878" s="8"/>
      <c r="O878" s="8"/>
    </row>
    <row r="879" ht="22.5" customHeight="1">
      <c r="A879" s="6"/>
      <c r="B879" s="6"/>
      <c r="M879" s="8"/>
      <c r="O879" s="8"/>
    </row>
    <row r="880" ht="22.5" customHeight="1">
      <c r="A880" s="6"/>
      <c r="B880" s="6"/>
      <c r="M880" s="8"/>
      <c r="O880" s="8"/>
    </row>
    <row r="881" ht="22.5" customHeight="1">
      <c r="A881" s="6"/>
      <c r="B881" s="6"/>
      <c r="M881" s="8"/>
      <c r="O881" s="8"/>
    </row>
    <row r="882" ht="22.5" customHeight="1">
      <c r="A882" s="6"/>
      <c r="B882" s="6"/>
      <c r="M882" s="8"/>
      <c r="O882" s="8"/>
    </row>
    <row r="883" ht="22.5" customHeight="1">
      <c r="A883" s="6"/>
      <c r="B883" s="6"/>
      <c r="M883" s="8"/>
      <c r="O883" s="8"/>
    </row>
    <row r="884" ht="22.5" customHeight="1">
      <c r="A884" s="6"/>
      <c r="B884" s="6"/>
      <c r="M884" s="8"/>
      <c r="O884" s="8"/>
    </row>
    <row r="885" ht="22.5" customHeight="1">
      <c r="A885" s="6"/>
      <c r="B885" s="6"/>
      <c r="M885" s="8"/>
      <c r="O885" s="8"/>
    </row>
    <row r="886" ht="22.5" customHeight="1">
      <c r="A886" s="6"/>
      <c r="B886" s="6"/>
      <c r="M886" s="8"/>
      <c r="O886" s="8"/>
    </row>
    <row r="887" ht="22.5" customHeight="1">
      <c r="A887" s="6"/>
      <c r="B887" s="6"/>
      <c r="M887" s="8"/>
      <c r="O887" s="8"/>
    </row>
    <row r="888" ht="22.5" customHeight="1">
      <c r="A888" s="6"/>
      <c r="B888" s="6"/>
      <c r="M888" s="8"/>
      <c r="O888" s="8"/>
    </row>
    <row r="889" ht="22.5" customHeight="1">
      <c r="A889" s="6"/>
      <c r="B889" s="6"/>
      <c r="M889" s="8"/>
      <c r="O889" s="8"/>
    </row>
    <row r="890" ht="22.5" customHeight="1">
      <c r="A890" s="6"/>
      <c r="B890" s="6"/>
      <c r="M890" s="8"/>
      <c r="O890" s="8"/>
    </row>
    <row r="891" ht="22.5" customHeight="1">
      <c r="A891" s="6"/>
      <c r="B891" s="6"/>
      <c r="M891" s="8"/>
      <c r="O891" s="8"/>
    </row>
    <row r="892" ht="22.5" customHeight="1">
      <c r="A892" s="6"/>
      <c r="B892" s="6"/>
      <c r="M892" s="8"/>
      <c r="O892" s="8"/>
    </row>
    <row r="893" ht="22.5" customHeight="1">
      <c r="A893" s="6"/>
      <c r="B893" s="6"/>
      <c r="M893" s="8"/>
      <c r="O893" s="8"/>
    </row>
    <row r="894" ht="22.5" customHeight="1">
      <c r="A894" s="6"/>
      <c r="B894" s="6"/>
      <c r="M894" s="8"/>
      <c r="O894" s="8"/>
    </row>
    <row r="895" ht="22.5" customHeight="1">
      <c r="A895" s="6"/>
      <c r="B895" s="6"/>
      <c r="M895" s="8"/>
      <c r="O895" s="8"/>
    </row>
    <row r="896" ht="22.5" customHeight="1">
      <c r="A896" s="6"/>
      <c r="B896" s="6"/>
      <c r="M896" s="8"/>
      <c r="O896" s="8"/>
    </row>
    <row r="897" ht="22.5" customHeight="1">
      <c r="A897" s="6"/>
      <c r="B897" s="6"/>
      <c r="M897" s="8"/>
      <c r="O897" s="8"/>
    </row>
    <row r="898" ht="22.5" customHeight="1">
      <c r="A898" s="6"/>
      <c r="B898" s="6"/>
      <c r="M898" s="8"/>
      <c r="O898" s="8"/>
    </row>
    <row r="899" ht="22.5" customHeight="1">
      <c r="A899" s="6"/>
      <c r="B899" s="6"/>
      <c r="M899" s="8"/>
      <c r="O899" s="8"/>
    </row>
    <row r="900" ht="22.5" customHeight="1">
      <c r="A900" s="6"/>
      <c r="B900" s="6"/>
      <c r="M900" s="8"/>
      <c r="O900" s="8"/>
    </row>
    <row r="901" ht="22.5" customHeight="1">
      <c r="A901" s="6"/>
      <c r="B901" s="6"/>
      <c r="M901" s="8"/>
      <c r="O901" s="8"/>
    </row>
    <row r="902" ht="22.5" customHeight="1">
      <c r="A902" s="6"/>
      <c r="B902" s="6"/>
      <c r="M902" s="8"/>
      <c r="O902" s="8"/>
    </row>
    <row r="903" ht="22.5" customHeight="1">
      <c r="A903" s="6"/>
      <c r="B903" s="6"/>
      <c r="M903" s="8"/>
      <c r="O903" s="8"/>
    </row>
    <row r="904" ht="22.5" customHeight="1">
      <c r="A904" s="6"/>
      <c r="B904" s="6"/>
      <c r="M904" s="8"/>
      <c r="O904" s="8"/>
    </row>
    <row r="905" ht="22.5" customHeight="1">
      <c r="A905" s="6"/>
      <c r="B905" s="6"/>
      <c r="M905" s="8"/>
      <c r="O905" s="8"/>
    </row>
    <row r="906" ht="22.5" customHeight="1">
      <c r="A906" s="6"/>
      <c r="B906" s="6"/>
      <c r="M906" s="8"/>
      <c r="O906" s="8"/>
    </row>
    <row r="907" ht="22.5" customHeight="1">
      <c r="A907" s="6"/>
      <c r="B907" s="6"/>
      <c r="M907" s="8"/>
      <c r="O907" s="8"/>
    </row>
    <row r="908" ht="22.5" customHeight="1">
      <c r="A908" s="6"/>
      <c r="B908" s="6"/>
      <c r="M908" s="8"/>
      <c r="O908" s="8"/>
    </row>
    <row r="909" ht="22.5" customHeight="1">
      <c r="A909" s="6"/>
      <c r="B909" s="6"/>
      <c r="M909" s="8"/>
      <c r="O909" s="8"/>
    </row>
    <row r="910" ht="22.5" customHeight="1">
      <c r="A910" s="6"/>
      <c r="B910" s="6"/>
      <c r="M910" s="8"/>
      <c r="O910" s="8"/>
    </row>
    <row r="911" ht="22.5" customHeight="1">
      <c r="A911" s="6"/>
      <c r="B911" s="6"/>
      <c r="M911" s="8"/>
      <c r="O911" s="8"/>
    </row>
    <row r="912" ht="22.5" customHeight="1">
      <c r="A912" s="6"/>
      <c r="B912" s="6"/>
      <c r="M912" s="8"/>
      <c r="O912" s="8"/>
    </row>
    <row r="913" ht="22.5" customHeight="1">
      <c r="A913" s="6"/>
      <c r="B913" s="6"/>
      <c r="M913" s="8"/>
      <c r="O913" s="8"/>
    </row>
    <row r="914" ht="22.5" customHeight="1">
      <c r="A914" s="6"/>
      <c r="B914" s="6"/>
      <c r="M914" s="8"/>
      <c r="O914" s="8"/>
    </row>
    <row r="915" ht="22.5" customHeight="1">
      <c r="A915" s="6"/>
      <c r="B915" s="6"/>
      <c r="M915" s="8"/>
      <c r="O915" s="8"/>
    </row>
    <row r="916" ht="22.5" customHeight="1">
      <c r="A916" s="6"/>
      <c r="B916" s="6"/>
      <c r="M916" s="8"/>
      <c r="O916" s="8"/>
    </row>
    <row r="917" ht="22.5" customHeight="1">
      <c r="A917" s="6"/>
      <c r="B917" s="6"/>
      <c r="M917" s="8"/>
      <c r="O917" s="8"/>
    </row>
    <row r="918" ht="22.5" customHeight="1">
      <c r="A918" s="6"/>
      <c r="B918" s="6"/>
      <c r="M918" s="8"/>
      <c r="O918" s="8"/>
    </row>
    <row r="919" ht="22.5" customHeight="1">
      <c r="A919" s="6"/>
      <c r="B919" s="6"/>
      <c r="M919" s="8"/>
      <c r="O919" s="8"/>
    </row>
    <row r="920" ht="22.5" customHeight="1">
      <c r="A920" s="6"/>
      <c r="B920" s="6"/>
      <c r="M920" s="8"/>
      <c r="O920" s="8"/>
    </row>
    <row r="921" ht="22.5" customHeight="1">
      <c r="A921" s="6"/>
      <c r="B921" s="6"/>
      <c r="M921" s="8"/>
      <c r="O921" s="8"/>
    </row>
    <row r="922" ht="22.5" customHeight="1">
      <c r="A922" s="6"/>
      <c r="B922" s="6"/>
      <c r="M922" s="8"/>
      <c r="O922" s="8"/>
    </row>
    <row r="923" ht="22.5" customHeight="1">
      <c r="A923" s="6"/>
      <c r="B923" s="6"/>
      <c r="M923" s="8"/>
      <c r="O923" s="8"/>
    </row>
    <row r="924" ht="22.5" customHeight="1">
      <c r="A924" s="6"/>
      <c r="B924" s="6"/>
      <c r="M924" s="8"/>
      <c r="O924" s="8"/>
    </row>
    <row r="925" ht="22.5" customHeight="1">
      <c r="A925" s="6"/>
      <c r="B925" s="6"/>
      <c r="M925" s="8"/>
      <c r="O925" s="8"/>
    </row>
    <row r="926" ht="22.5" customHeight="1">
      <c r="A926" s="6"/>
      <c r="B926" s="6"/>
      <c r="M926" s="8"/>
      <c r="O926" s="8"/>
    </row>
    <row r="927" ht="22.5" customHeight="1">
      <c r="A927" s="6"/>
      <c r="B927" s="6"/>
      <c r="M927" s="8"/>
      <c r="O927" s="8"/>
    </row>
    <row r="928" ht="22.5" customHeight="1">
      <c r="A928" s="6"/>
      <c r="B928" s="6"/>
      <c r="M928" s="8"/>
      <c r="O928" s="8"/>
    </row>
    <row r="929" ht="22.5" customHeight="1">
      <c r="A929" s="6"/>
      <c r="B929" s="6"/>
      <c r="M929" s="8"/>
      <c r="O929" s="8"/>
    </row>
    <row r="930" ht="22.5" customHeight="1">
      <c r="A930" s="6"/>
      <c r="B930" s="6"/>
      <c r="M930" s="8"/>
      <c r="O930" s="8"/>
    </row>
    <row r="931" ht="22.5" customHeight="1">
      <c r="A931" s="6"/>
      <c r="B931" s="6"/>
      <c r="M931" s="8"/>
      <c r="O931" s="8"/>
    </row>
    <row r="932" ht="22.5" customHeight="1">
      <c r="A932" s="6"/>
      <c r="B932" s="6"/>
      <c r="M932" s="8"/>
      <c r="O932" s="8"/>
    </row>
    <row r="933" ht="22.5" customHeight="1">
      <c r="A933" s="6"/>
      <c r="B933" s="6"/>
      <c r="M933" s="8"/>
      <c r="O933" s="8"/>
    </row>
    <row r="934" ht="22.5" customHeight="1">
      <c r="A934" s="6"/>
      <c r="B934" s="6"/>
      <c r="M934" s="8"/>
      <c r="O934" s="8"/>
    </row>
    <row r="935" ht="22.5" customHeight="1">
      <c r="A935" s="6"/>
      <c r="B935" s="6"/>
      <c r="M935" s="8"/>
      <c r="O935" s="8"/>
    </row>
    <row r="936" ht="22.5" customHeight="1">
      <c r="A936" s="6"/>
      <c r="B936" s="6"/>
      <c r="M936" s="8"/>
      <c r="O936" s="8"/>
    </row>
    <row r="937" ht="22.5" customHeight="1">
      <c r="A937" s="6"/>
      <c r="B937" s="6"/>
      <c r="M937" s="8"/>
      <c r="O937" s="8"/>
    </row>
    <row r="938" ht="22.5" customHeight="1">
      <c r="A938" s="6"/>
      <c r="B938" s="6"/>
      <c r="M938" s="8"/>
      <c r="O938" s="8"/>
    </row>
    <row r="939" ht="22.5" customHeight="1">
      <c r="A939" s="6"/>
      <c r="B939" s="6"/>
      <c r="M939" s="8"/>
      <c r="O939" s="8"/>
    </row>
    <row r="940" ht="22.5" customHeight="1">
      <c r="A940" s="6"/>
      <c r="B940" s="6"/>
      <c r="M940" s="8"/>
      <c r="O940" s="8"/>
    </row>
    <row r="941" ht="22.5" customHeight="1">
      <c r="A941" s="6"/>
      <c r="B941" s="6"/>
      <c r="M941" s="8"/>
      <c r="O941" s="8"/>
    </row>
    <row r="942" ht="22.5" customHeight="1">
      <c r="A942" s="6"/>
      <c r="B942" s="6"/>
      <c r="M942" s="8"/>
      <c r="O942" s="8"/>
    </row>
    <row r="943" ht="22.5" customHeight="1">
      <c r="A943" s="6"/>
      <c r="B943" s="6"/>
      <c r="M943" s="8"/>
      <c r="O943" s="8"/>
    </row>
    <row r="944" ht="22.5" customHeight="1">
      <c r="A944" s="6"/>
      <c r="B944" s="6"/>
      <c r="M944" s="8"/>
      <c r="O944" s="8"/>
    </row>
    <row r="945" ht="22.5" customHeight="1">
      <c r="A945" s="6"/>
      <c r="B945" s="6"/>
      <c r="M945" s="8"/>
      <c r="O945" s="8"/>
    </row>
    <row r="946" ht="22.5" customHeight="1">
      <c r="A946" s="6"/>
      <c r="B946" s="6"/>
      <c r="M946" s="8"/>
      <c r="O946" s="8"/>
    </row>
    <row r="947" ht="22.5" customHeight="1">
      <c r="A947" s="6"/>
      <c r="B947" s="6"/>
      <c r="M947" s="8"/>
      <c r="O947" s="8"/>
    </row>
    <row r="948" ht="22.5" customHeight="1">
      <c r="A948" s="6"/>
      <c r="B948" s="6"/>
      <c r="M948" s="8"/>
      <c r="O948" s="8"/>
    </row>
    <row r="949" ht="22.5" customHeight="1">
      <c r="A949" s="6"/>
      <c r="B949" s="6"/>
      <c r="M949" s="8"/>
      <c r="O949" s="8"/>
    </row>
    <row r="950" ht="22.5" customHeight="1">
      <c r="A950" s="6"/>
      <c r="B950" s="6"/>
      <c r="M950" s="8"/>
      <c r="O950" s="8"/>
    </row>
    <row r="951" ht="22.5" customHeight="1">
      <c r="A951" s="6"/>
      <c r="B951" s="6"/>
      <c r="M951" s="8"/>
      <c r="O951" s="8"/>
    </row>
    <row r="952" ht="22.5" customHeight="1">
      <c r="A952" s="6"/>
      <c r="B952" s="6"/>
      <c r="M952" s="8"/>
      <c r="O952" s="8"/>
    </row>
    <row r="953" ht="22.5" customHeight="1">
      <c r="A953" s="6"/>
      <c r="B953" s="6"/>
      <c r="M953" s="8"/>
      <c r="O953" s="8"/>
    </row>
    <row r="954" ht="22.5" customHeight="1">
      <c r="A954" s="6"/>
      <c r="B954" s="6"/>
      <c r="M954" s="8"/>
      <c r="O954" s="8"/>
    </row>
    <row r="955" ht="22.5" customHeight="1">
      <c r="A955" s="6"/>
      <c r="B955" s="6"/>
      <c r="M955" s="8"/>
      <c r="O955" s="8"/>
    </row>
    <row r="956" ht="22.5" customHeight="1">
      <c r="A956" s="6"/>
      <c r="B956" s="6"/>
      <c r="M956" s="8"/>
      <c r="O956" s="8"/>
    </row>
    <row r="957" ht="22.5" customHeight="1">
      <c r="A957" s="6"/>
      <c r="B957" s="6"/>
      <c r="M957" s="8"/>
      <c r="O957" s="8"/>
    </row>
    <row r="958" ht="22.5" customHeight="1">
      <c r="A958" s="6"/>
      <c r="B958" s="6"/>
      <c r="M958" s="8"/>
      <c r="O958" s="8"/>
    </row>
    <row r="959" ht="22.5" customHeight="1">
      <c r="A959" s="6"/>
      <c r="B959" s="6"/>
      <c r="M959" s="8"/>
      <c r="O959" s="8"/>
    </row>
    <row r="960" ht="22.5" customHeight="1">
      <c r="A960" s="6"/>
      <c r="B960" s="6"/>
      <c r="M960" s="8"/>
      <c r="O960" s="8"/>
    </row>
    <row r="961" ht="22.5" customHeight="1">
      <c r="A961" s="6"/>
      <c r="B961" s="6"/>
      <c r="M961" s="8"/>
      <c r="O961" s="8"/>
    </row>
    <row r="962" ht="22.5" customHeight="1">
      <c r="A962" s="6"/>
      <c r="B962" s="6"/>
      <c r="M962" s="8"/>
      <c r="O962" s="8"/>
    </row>
    <row r="963" ht="22.5" customHeight="1">
      <c r="A963" s="6"/>
      <c r="B963" s="6"/>
      <c r="M963" s="8"/>
      <c r="O963" s="8"/>
    </row>
    <row r="964" ht="22.5" customHeight="1">
      <c r="A964" s="6"/>
      <c r="B964" s="6"/>
      <c r="M964" s="8"/>
      <c r="O964" s="8"/>
    </row>
    <row r="965" ht="22.5" customHeight="1">
      <c r="A965" s="6"/>
      <c r="B965" s="6"/>
      <c r="M965" s="8"/>
      <c r="O965" s="8"/>
    </row>
    <row r="966" ht="22.5" customHeight="1">
      <c r="A966" s="6"/>
      <c r="B966" s="6"/>
      <c r="M966" s="8"/>
      <c r="O966" s="8"/>
    </row>
    <row r="967" ht="22.5" customHeight="1">
      <c r="A967" s="6"/>
      <c r="B967" s="6"/>
      <c r="M967" s="8"/>
      <c r="O967" s="8"/>
    </row>
    <row r="968" ht="22.5" customHeight="1">
      <c r="A968" s="6"/>
      <c r="B968" s="6"/>
      <c r="M968" s="8"/>
      <c r="O968" s="8"/>
    </row>
    <row r="969" ht="22.5" customHeight="1">
      <c r="A969" s="6"/>
      <c r="B969" s="6"/>
      <c r="M969" s="8"/>
      <c r="O969" s="8"/>
    </row>
    <row r="970" ht="22.5" customHeight="1">
      <c r="A970" s="6"/>
      <c r="B970" s="6"/>
      <c r="M970" s="8"/>
      <c r="O970" s="8"/>
    </row>
    <row r="971" ht="22.5" customHeight="1">
      <c r="A971" s="6"/>
      <c r="B971" s="6"/>
      <c r="M971" s="8"/>
      <c r="O971" s="8"/>
    </row>
    <row r="972" ht="22.5" customHeight="1">
      <c r="A972" s="6"/>
      <c r="B972" s="6"/>
      <c r="M972" s="8"/>
      <c r="O972" s="8"/>
    </row>
    <row r="973" ht="22.5" customHeight="1">
      <c r="A973" s="6"/>
      <c r="B973" s="6"/>
      <c r="M973" s="8"/>
      <c r="O973" s="8"/>
    </row>
    <row r="974" ht="22.5" customHeight="1">
      <c r="A974" s="6"/>
      <c r="B974" s="6"/>
      <c r="M974" s="8"/>
      <c r="O974" s="8"/>
    </row>
    <row r="975" ht="22.5" customHeight="1">
      <c r="A975" s="6"/>
      <c r="B975" s="6"/>
      <c r="M975" s="8"/>
      <c r="O975" s="8"/>
    </row>
    <row r="976" ht="22.5" customHeight="1">
      <c r="A976" s="6"/>
      <c r="B976" s="6"/>
      <c r="M976" s="8"/>
      <c r="O976" s="8"/>
    </row>
    <row r="977" ht="22.5" customHeight="1">
      <c r="A977" s="6"/>
      <c r="B977" s="6"/>
      <c r="M977" s="8"/>
      <c r="O977" s="8"/>
    </row>
    <row r="978" ht="22.5" customHeight="1">
      <c r="A978" s="6"/>
      <c r="B978" s="6"/>
      <c r="M978" s="8"/>
      <c r="O978" s="8"/>
    </row>
    <row r="979" ht="22.5" customHeight="1">
      <c r="A979" s="6"/>
      <c r="B979" s="6"/>
      <c r="M979" s="8"/>
      <c r="O979" s="8"/>
    </row>
    <row r="980" ht="22.5" customHeight="1">
      <c r="A980" s="6"/>
      <c r="B980" s="6"/>
      <c r="M980" s="8"/>
      <c r="O980" s="8"/>
    </row>
    <row r="981" ht="22.5" customHeight="1">
      <c r="A981" s="6"/>
      <c r="B981" s="6"/>
      <c r="M981" s="8"/>
      <c r="O981" s="8"/>
    </row>
    <row r="982" ht="22.5" customHeight="1">
      <c r="A982" s="6"/>
      <c r="B982" s="6"/>
      <c r="M982" s="8"/>
      <c r="O982" s="8"/>
    </row>
    <row r="983" ht="22.5" customHeight="1">
      <c r="A983" s="6"/>
      <c r="B983" s="6"/>
      <c r="M983" s="8"/>
      <c r="O983" s="8"/>
    </row>
    <row r="984" ht="22.5" customHeight="1">
      <c r="A984" s="6"/>
      <c r="B984" s="6"/>
      <c r="M984" s="8"/>
      <c r="O984" s="8"/>
    </row>
    <row r="985" ht="22.5" customHeight="1">
      <c r="A985" s="6"/>
      <c r="B985" s="6"/>
      <c r="M985" s="8"/>
      <c r="O985" s="8"/>
    </row>
    <row r="986" ht="22.5" customHeight="1">
      <c r="A986" s="6"/>
      <c r="B986" s="6"/>
      <c r="M986" s="8"/>
      <c r="O986" s="8"/>
    </row>
    <row r="987" ht="22.5" customHeight="1">
      <c r="A987" s="6"/>
      <c r="B987" s="6"/>
      <c r="M987" s="8"/>
      <c r="O987" s="8"/>
    </row>
    <row r="988" ht="22.5" customHeight="1">
      <c r="A988" s="6"/>
      <c r="B988" s="6"/>
      <c r="M988" s="8"/>
      <c r="O988" s="8"/>
    </row>
    <row r="989" ht="22.5" customHeight="1">
      <c r="A989" s="6"/>
      <c r="B989" s="6"/>
      <c r="M989" s="8"/>
      <c r="O989" s="8"/>
    </row>
    <row r="990" ht="22.5" customHeight="1">
      <c r="A990" s="6"/>
      <c r="B990" s="6"/>
      <c r="M990" s="8"/>
      <c r="O990" s="8"/>
    </row>
    <row r="991" ht="22.5" customHeight="1">
      <c r="A991" s="6"/>
      <c r="B991" s="6"/>
      <c r="M991" s="8"/>
      <c r="O991" s="8"/>
    </row>
    <row r="992" ht="22.5" customHeight="1">
      <c r="A992" s="6"/>
      <c r="B992" s="6"/>
      <c r="M992" s="8"/>
      <c r="O992" s="8"/>
    </row>
    <row r="993" ht="22.5" customHeight="1">
      <c r="A993" s="6"/>
      <c r="B993" s="6"/>
      <c r="M993" s="8"/>
      <c r="O993" s="8"/>
    </row>
    <row r="994" ht="22.5" customHeight="1">
      <c r="A994" s="6"/>
      <c r="B994" s="6"/>
      <c r="M994" s="8"/>
      <c r="O994" s="8"/>
    </row>
    <row r="995" ht="22.5" customHeight="1">
      <c r="A995" s="6"/>
      <c r="B995" s="6"/>
      <c r="M995" s="8"/>
      <c r="O995" s="8"/>
    </row>
    <row r="996" ht="22.5" customHeight="1">
      <c r="A996" s="6"/>
      <c r="B996" s="6"/>
      <c r="M996" s="8"/>
      <c r="O996" s="8"/>
    </row>
    <row r="997" ht="22.5" customHeight="1">
      <c r="A997" s="6"/>
      <c r="B997" s="6"/>
      <c r="M997" s="8"/>
      <c r="O997" s="8"/>
    </row>
    <row r="998" ht="22.5" customHeight="1">
      <c r="A998" s="6"/>
      <c r="B998" s="6"/>
    </row>
    <row r="999" ht="22.5" customHeight="1">
      <c r="A999" s="6"/>
      <c r="B999" s="6"/>
    </row>
    <row r="1000" ht="22.5" customHeight="1">
      <c r="A1000" s="6"/>
      <c r="B1000" s="6"/>
    </row>
  </sheetData>
  <dataValidations>
    <dataValidation type="list" allowBlank="1" sqref="A2:A1000">
      <formula1>#REF!</formula1>
    </dataValidation>
    <dataValidation type="list" allowBlank="1" sqref="B2:B1000">
      <formula1>#REF!</formula1>
    </dataValidation>
  </dataValidations>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4.88"/>
    <col customWidth="1" min="3" max="3" width="15.5"/>
    <col customWidth="1" min="4" max="4" width="72.13"/>
    <col customWidth="1" min="5" max="5" width="42.0"/>
    <col customWidth="1" min="6" max="6" width="45.63"/>
    <col customWidth="1" min="7" max="7" width="24.13"/>
    <col customWidth="1" min="8" max="8" width="26.38"/>
    <col customWidth="1" min="9" max="9" width="18.13"/>
    <col customWidth="1" min="10" max="10" width="28.25"/>
    <col customWidth="1" min="11" max="11" width="50.38"/>
    <col customWidth="1" min="12" max="12" width="48.0"/>
    <col customWidth="1" min="13" max="13" width="50.25"/>
    <col customWidth="1" min="14" max="14" width="58.88"/>
    <col customWidth="1" min="18" max="18" width="40.63"/>
  </cols>
  <sheetData>
    <row r="1" ht="22.5" customHeight="1">
      <c r="A1" s="9" t="s">
        <v>20</v>
      </c>
      <c r="B1" s="9" t="s">
        <v>21</v>
      </c>
      <c r="C1" s="9" t="s">
        <v>22</v>
      </c>
      <c r="D1" s="9" t="s">
        <v>23</v>
      </c>
      <c r="E1" s="9" t="s">
        <v>24</v>
      </c>
      <c r="F1" s="10" t="s">
        <v>25</v>
      </c>
      <c r="G1" s="11" t="s">
        <v>26</v>
      </c>
      <c r="H1" s="10" t="s">
        <v>27</v>
      </c>
      <c r="I1" s="10" t="s">
        <v>28</v>
      </c>
      <c r="J1" s="10" t="s">
        <v>29</v>
      </c>
      <c r="K1" s="10" t="s">
        <v>30</v>
      </c>
      <c r="L1" s="10" t="s">
        <v>31</v>
      </c>
      <c r="M1" s="10" t="s">
        <v>32</v>
      </c>
      <c r="N1" s="10" t="s">
        <v>33</v>
      </c>
    </row>
    <row r="2" ht="22.5" customHeight="1">
      <c r="A2" s="12">
        <v>45999.0</v>
      </c>
      <c r="B2" s="13" t="s">
        <v>34</v>
      </c>
      <c r="C2" s="13" t="s">
        <v>34</v>
      </c>
      <c r="D2" s="14"/>
      <c r="E2" s="14"/>
      <c r="F2" s="14" t="s">
        <v>35</v>
      </c>
      <c r="G2" s="15" t="s">
        <v>36</v>
      </c>
      <c r="H2" s="14"/>
      <c r="I2" s="14" t="s">
        <v>37</v>
      </c>
      <c r="J2" s="14"/>
      <c r="K2" s="14"/>
      <c r="L2" s="14"/>
      <c r="M2" s="14"/>
      <c r="N2" s="14" t="s">
        <v>38</v>
      </c>
    </row>
    <row r="3" ht="22.5" customHeight="1">
      <c r="A3" s="12">
        <v>46034.0</v>
      </c>
      <c r="B3" s="13" t="s">
        <v>39</v>
      </c>
      <c r="C3" s="13" t="s">
        <v>34</v>
      </c>
      <c r="D3" s="14" t="s">
        <v>40</v>
      </c>
      <c r="E3" s="14" t="s">
        <v>41</v>
      </c>
      <c r="F3" s="14" t="s">
        <v>42</v>
      </c>
      <c r="G3" s="16" t="s">
        <v>43</v>
      </c>
      <c r="H3" s="14" t="s">
        <v>44</v>
      </c>
      <c r="I3" s="14" t="s">
        <v>45</v>
      </c>
      <c r="J3" s="14"/>
      <c r="K3" s="14"/>
      <c r="L3" s="14"/>
      <c r="M3" s="14" t="s">
        <v>46</v>
      </c>
      <c r="N3" s="14" t="s">
        <v>47</v>
      </c>
      <c r="Q3" s="17"/>
      <c r="R3" s="18"/>
    </row>
    <row r="4" ht="22.5" customHeight="1">
      <c r="A4" s="12">
        <v>46047.0</v>
      </c>
      <c r="B4" s="13" t="s">
        <v>34</v>
      </c>
      <c r="C4" s="13" t="s">
        <v>34</v>
      </c>
      <c r="D4" s="14" t="s">
        <v>48</v>
      </c>
      <c r="E4" s="14" t="s">
        <v>49</v>
      </c>
      <c r="F4" s="14" t="s">
        <v>50</v>
      </c>
      <c r="G4" s="16" t="s">
        <v>43</v>
      </c>
      <c r="H4" s="14" t="s">
        <v>51</v>
      </c>
      <c r="I4" s="19" t="s">
        <v>52</v>
      </c>
      <c r="J4" s="14" t="s">
        <v>53</v>
      </c>
      <c r="K4" s="14" t="s">
        <v>54</v>
      </c>
      <c r="L4" s="14" t="s">
        <v>55</v>
      </c>
      <c r="M4" s="14"/>
      <c r="N4" s="14"/>
    </row>
    <row r="5" ht="22.5" customHeight="1">
      <c r="A5" s="20"/>
      <c r="B5" s="21"/>
      <c r="C5" s="21"/>
      <c r="D5" s="22"/>
      <c r="E5" s="22"/>
      <c r="F5" s="22"/>
      <c r="G5" s="23"/>
      <c r="H5" s="20"/>
      <c r="I5" s="20"/>
      <c r="J5" s="22"/>
      <c r="K5" s="22"/>
      <c r="L5" s="22"/>
      <c r="M5" s="22"/>
      <c r="N5" s="22"/>
    </row>
    <row r="6" ht="22.5" customHeight="1">
      <c r="A6" s="20"/>
      <c r="B6" s="21"/>
      <c r="C6" s="21"/>
      <c r="D6" s="22"/>
      <c r="E6" s="22"/>
      <c r="F6" s="22"/>
      <c r="G6" s="23"/>
      <c r="H6" s="20"/>
      <c r="I6" s="20"/>
      <c r="J6" s="22"/>
      <c r="K6" s="22"/>
      <c r="L6" s="22"/>
      <c r="M6" s="22"/>
      <c r="N6" s="22"/>
    </row>
    <row r="7" ht="22.5" customHeight="1">
      <c r="A7" s="20"/>
      <c r="B7" s="21"/>
      <c r="C7" s="21"/>
      <c r="D7" s="22"/>
      <c r="E7" s="22"/>
      <c r="F7" s="22"/>
      <c r="G7" s="23"/>
      <c r="H7" s="20"/>
      <c r="I7" s="20"/>
      <c r="J7" s="22"/>
      <c r="K7" s="22"/>
      <c r="L7" s="22"/>
      <c r="M7" s="22"/>
      <c r="N7" s="22"/>
    </row>
    <row r="8" ht="22.5" customHeight="1">
      <c r="A8" s="20"/>
      <c r="B8" s="21"/>
      <c r="C8" s="21"/>
      <c r="D8" s="22"/>
      <c r="E8" s="22"/>
      <c r="F8" s="22"/>
      <c r="G8" s="23"/>
      <c r="H8" s="20"/>
      <c r="I8" s="20"/>
      <c r="J8" s="22"/>
      <c r="K8" s="22"/>
      <c r="L8" s="22"/>
      <c r="M8" s="22"/>
      <c r="N8" s="22"/>
    </row>
    <row r="9" ht="22.5" customHeight="1">
      <c r="A9" s="20"/>
      <c r="B9" s="21"/>
      <c r="C9" s="21"/>
      <c r="D9" s="22"/>
      <c r="E9" s="22"/>
      <c r="F9" s="22"/>
      <c r="G9" s="23"/>
      <c r="H9" s="20"/>
      <c r="I9" s="20"/>
      <c r="J9" s="22"/>
      <c r="K9" s="22"/>
      <c r="L9" s="22"/>
      <c r="M9" s="22"/>
      <c r="N9" s="22"/>
    </row>
    <row r="10" ht="22.5" customHeight="1">
      <c r="A10" s="20"/>
      <c r="B10" s="21"/>
      <c r="C10" s="21"/>
      <c r="D10" s="22"/>
      <c r="E10" s="22"/>
      <c r="F10" s="22"/>
      <c r="G10" s="23"/>
      <c r="H10" s="20"/>
      <c r="I10" s="20"/>
      <c r="J10" s="22"/>
      <c r="K10" s="22"/>
      <c r="L10" s="22"/>
      <c r="M10" s="22"/>
      <c r="N10" s="22"/>
    </row>
    <row r="11" ht="22.5" customHeight="1">
      <c r="A11" s="20"/>
      <c r="B11" s="21"/>
      <c r="C11" s="21"/>
      <c r="D11" s="22"/>
      <c r="E11" s="22"/>
      <c r="F11" s="22"/>
      <c r="G11" s="23"/>
      <c r="H11" s="20"/>
      <c r="I11" s="20"/>
      <c r="J11" s="22"/>
      <c r="K11" s="22"/>
      <c r="L11" s="22"/>
      <c r="M11" s="22"/>
      <c r="N11" s="22"/>
    </row>
    <row r="12" ht="22.5" customHeight="1">
      <c r="A12" s="20"/>
      <c r="B12" s="21"/>
      <c r="C12" s="21"/>
      <c r="D12" s="22"/>
      <c r="E12" s="22"/>
      <c r="F12" s="22"/>
      <c r="G12" s="23"/>
      <c r="H12" s="20"/>
      <c r="I12" s="20"/>
      <c r="J12" s="22"/>
      <c r="K12" s="22"/>
      <c r="L12" s="22"/>
      <c r="M12" s="22"/>
      <c r="N12" s="22"/>
    </row>
    <row r="13" ht="22.5" customHeight="1">
      <c r="A13" s="20"/>
      <c r="B13" s="21"/>
      <c r="C13" s="21"/>
      <c r="D13" s="22"/>
      <c r="E13" s="22"/>
      <c r="F13" s="22"/>
      <c r="G13" s="23"/>
      <c r="H13" s="20"/>
      <c r="I13" s="20"/>
      <c r="J13" s="22"/>
      <c r="K13" s="22"/>
      <c r="L13" s="22"/>
      <c r="M13" s="22"/>
      <c r="N13" s="22"/>
    </row>
    <row r="14" ht="22.5" customHeight="1">
      <c r="A14" s="20"/>
      <c r="B14" s="21"/>
      <c r="C14" s="21"/>
      <c r="D14" s="22"/>
      <c r="E14" s="22"/>
      <c r="F14" s="22"/>
      <c r="G14" s="23"/>
      <c r="H14" s="20"/>
      <c r="I14" s="20"/>
      <c r="J14" s="22"/>
      <c r="K14" s="22"/>
      <c r="L14" s="22"/>
      <c r="M14" s="22"/>
      <c r="N14" s="22"/>
    </row>
    <row r="15" ht="22.5" customHeight="1">
      <c r="A15" s="20"/>
      <c r="B15" s="21"/>
      <c r="C15" s="21"/>
      <c r="D15" s="22"/>
      <c r="E15" s="22"/>
      <c r="F15" s="22"/>
      <c r="G15" s="23"/>
      <c r="H15" s="20"/>
      <c r="I15" s="20"/>
      <c r="J15" s="22"/>
      <c r="K15" s="22"/>
      <c r="L15" s="22"/>
      <c r="M15" s="22"/>
      <c r="N15" s="22"/>
    </row>
    <row r="16" ht="22.5" customHeight="1">
      <c r="A16" s="20"/>
      <c r="B16" s="21"/>
      <c r="C16" s="21"/>
      <c r="D16" s="22"/>
      <c r="E16" s="22"/>
      <c r="F16" s="22"/>
      <c r="G16" s="23"/>
      <c r="H16" s="20"/>
      <c r="I16" s="20"/>
      <c r="J16" s="22"/>
      <c r="K16" s="22"/>
      <c r="L16" s="22"/>
      <c r="M16" s="22"/>
      <c r="N16" s="22"/>
    </row>
    <row r="17" ht="22.5" customHeight="1">
      <c r="A17" s="20"/>
      <c r="B17" s="21"/>
      <c r="C17" s="21"/>
      <c r="D17" s="22"/>
      <c r="E17" s="22"/>
      <c r="F17" s="22"/>
      <c r="G17" s="23"/>
      <c r="H17" s="20"/>
      <c r="I17" s="20"/>
      <c r="J17" s="22"/>
      <c r="K17" s="22"/>
      <c r="L17" s="22"/>
      <c r="M17" s="22"/>
      <c r="N17" s="22"/>
    </row>
    <row r="18" ht="22.5" customHeight="1">
      <c r="A18" s="20"/>
      <c r="B18" s="21"/>
      <c r="C18" s="21"/>
      <c r="D18" s="22"/>
      <c r="E18" s="22"/>
      <c r="F18" s="22"/>
      <c r="G18" s="23"/>
      <c r="H18" s="20"/>
      <c r="I18" s="20"/>
      <c r="J18" s="22"/>
      <c r="K18" s="22"/>
      <c r="L18" s="22"/>
      <c r="M18" s="22"/>
      <c r="N18" s="22"/>
    </row>
    <row r="19" ht="22.5" customHeight="1">
      <c r="A19" s="20"/>
      <c r="B19" s="21"/>
      <c r="C19" s="21"/>
      <c r="D19" s="22"/>
      <c r="E19" s="22"/>
      <c r="F19" s="22"/>
      <c r="G19" s="23"/>
      <c r="H19" s="20"/>
      <c r="I19" s="20"/>
      <c r="J19" s="22"/>
      <c r="K19" s="22"/>
      <c r="L19" s="22"/>
      <c r="M19" s="22"/>
      <c r="N19" s="22"/>
    </row>
    <row r="20" ht="22.5" customHeight="1">
      <c r="A20" s="20"/>
      <c r="B20" s="21"/>
      <c r="C20" s="21"/>
      <c r="D20" s="22"/>
      <c r="E20" s="22"/>
      <c r="F20" s="22"/>
      <c r="G20" s="23"/>
      <c r="H20" s="20"/>
      <c r="I20" s="20"/>
      <c r="J20" s="22"/>
      <c r="K20" s="22"/>
      <c r="L20" s="22"/>
      <c r="M20" s="22"/>
      <c r="N20" s="22"/>
    </row>
    <row r="21" ht="22.5" customHeight="1">
      <c r="A21" s="20"/>
      <c r="B21" s="21"/>
      <c r="C21" s="21"/>
      <c r="D21" s="22"/>
      <c r="E21" s="22"/>
      <c r="F21" s="22"/>
      <c r="G21" s="23"/>
      <c r="H21" s="20"/>
      <c r="I21" s="20"/>
      <c r="J21" s="22"/>
      <c r="K21" s="22"/>
      <c r="L21" s="22"/>
      <c r="M21" s="22"/>
      <c r="N21" s="22"/>
    </row>
    <row r="22" ht="22.5" customHeight="1">
      <c r="A22" s="20"/>
      <c r="B22" s="21"/>
      <c r="C22" s="21"/>
      <c r="D22" s="22"/>
      <c r="E22" s="22"/>
      <c r="F22" s="22"/>
      <c r="G22" s="23"/>
      <c r="H22" s="20"/>
      <c r="I22" s="20"/>
      <c r="J22" s="22"/>
      <c r="K22" s="22"/>
      <c r="L22" s="22"/>
      <c r="M22" s="22"/>
      <c r="N22" s="22"/>
    </row>
    <row r="23" ht="22.5" customHeight="1">
      <c r="A23" s="20"/>
      <c r="B23" s="21"/>
      <c r="C23" s="21"/>
      <c r="D23" s="22"/>
      <c r="E23" s="22"/>
      <c r="F23" s="22"/>
      <c r="G23" s="23"/>
      <c r="H23" s="20"/>
      <c r="I23" s="20"/>
      <c r="J23" s="22"/>
      <c r="K23" s="22"/>
      <c r="L23" s="22"/>
      <c r="M23" s="22"/>
      <c r="N23" s="22"/>
    </row>
    <row r="24" ht="22.5" customHeight="1">
      <c r="A24" s="20"/>
      <c r="B24" s="21"/>
      <c r="C24" s="21"/>
      <c r="D24" s="22"/>
      <c r="E24" s="22"/>
      <c r="F24" s="22"/>
      <c r="G24" s="23"/>
      <c r="H24" s="20"/>
      <c r="I24" s="20"/>
      <c r="J24" s="22"/>
      <c r="K24" s="22"/>
      <c r="L24" s="22"/>
      <c r="M24" s="22"/>
      <c r="N24" s="22"/>
    </row>
    <row r="25" ht="22.5" customHeight="1">
      <c r="A25" s="20"/>
      <c r="B25" s="21"/>
      <c r="C25" s="21"/>
      <c r="D25" s="22"/>
      <c r="E25" s="22"/>
      <c r="F25" s="22"/>
      <c r="G25" s="23"/>
      <c r="H25" s="20"/>
      <c r="I25" s="20"/>
      <c r="J25" s="22"/>
      <c r="K25" s="22"/>
      <c r="L25" s="22"/>
      <c r="M25" s="22"/>
      <c r="N25" s="22"/>
    </row>
    <row r="26" ht="22.5" customHeight="1">
      <c r="A26" s="20"/>
      <c r="B26" s="21"/>
      <c r="C26" s="21"/>
      <c r="D26" s="22"/>
      <c r="E26" s="22"/>
      <c r="F26" s="22"/>
      <c r="G26" s="23"/>
      <c r="H26" s="20"/>
      <c r="I26" s="20"/>
      <c r="J26" s="22"/>
      <c r="K26" s="22"/>
      <c r="L26" s="22"/>
      <c r="M26" s="22"/>
      <c r="N26" s="22"/>
    </row>
    <row r="27" ht="22.5" customHeight="1">
      <c r="A27" s="20"/>
      <c r="B27" s="21"/>
      <c r="C27" s="21"/>
      <c r="D27" s="22"/>
      <c r="E27" s="22"/>
      <c r="F27" s="22"/>
      <c r="G27" s="23"/>
      <c r="H27" s="20"/>
      <c r="I27" s="20"/>
      <c r="J27" s="22"/>
      <c r="K27" s="22"/>
      <c r="L27" s="22"/>
      <c r="M27" s="22"/>
      <c r="N27" s="22"/>
    </row>
    <row r="28" ht="22.5" customHeight="1">
      <c r="A28" s="20"/>
      <c r="B28" s="21"/>
      <c r="C28" s="21"/>
      <c r="D28" s="22"/>
      <c r="E28" s="22"/>
      <c r="F28" s="22"/>
      <c r="G28" s="23"/>
      <c r="H28" s="20"/>
      <c r="I28" s="20"/>
      <c r="J28" s="22"/>
      <c r="K28" s="22"/>
      <c r="L28" s="22"/>
      <c r="M28" s="22"/>
      <c r="N28" s="22"/>
    </row>
    <row r="29" ht="22.5" customHeight="1">
      <c r="A29" s="20"/>
      <c r="B29" s="21"/>
      <c r="C29" s="21"/>
      <c r="D29" s="22"/>
      <c r="E29" s="22"/>
      <c r="F29" s="22"/>
      <c r="G29" s="23"/>
      <c r="H29" s="20"/>
      <c r="I29" s="20"/>
      <c r="J29" s="22"/>
      <c r="K29" s="22"/>
      <c r="L29" s="22"/>
      <c r="M29" s="22"/>
      <c r="N29" s="22"/>
    </row>
    <row r="30" ht="22.5" customHeight="1">
      <c r="A30" s="20"/>
      <c r="B30" s="21"/>
      <c r="C30" s="21"/>
      <c r="D30" s="22"/>
      <c r="E30" s="22"/>
      <c r="F30" s="22"/>
      <c r="G30" s="23"/>
      <c r="H30" s="20"/>
      <c r="I30" s="20"/>
      <c r="J30" s="22"/>
      <c r="K30" s="22"/>
      <c r="L30" s="22"/>
      <c r="M30" s="22"/>
      <c r="N30" s="22"/>
    </row>
    <row r="31" ht="22.5" customHeight="1">
      <c r="A31" s="20"/>
      <c r="B31" s="21"/>
      <c r="C31" s="21"/>
      <c r="D31" s="22"/>
      <c r="E31" s="22"/>
      <c r="F31" s="22"/>
      <c r="G31" s="23"/>
      <c r="H31" s="20"/>
      <c r="I31" s="20"/>
      <c r="J31" s="22"/>
      <c r="K31" s="22"/>
      <c r="L31" s="22"/>
      <c r="M31" s="22"/>
      <c r="N31" s="22"/>
    </row>
    <row r="32" ht="22.5" customHeight="1">
      <c r="A32" s="20"/>
      <c r="B32" s="21"/>
      <c r="C32" s="21"/>
      <c r="D32" s="22"/>
      <c r="E32" s="22"/>
      <c r="F32" s="22"/>
      <c r="G32" s="23"/>
      <c r="H32" s="20"/>
      <c r="I32" s="20"/>
      <c r="J32" s="22"/>
      <c r="K32" s="22"/>
      <c r="L32" s="22"/>
      <c r="M32" s="22"/>
      <c r="N32" s="22"/>
    </row>
    <row r="33" ht="22.5" customHeight="1">
      <c r="A33" s="20"/>
      <c r="B33" s="21"/>
      <c r="C33" s="21"/>
      <c r="D33" s="22"/>
      <c r="E33" s="22"/>
      <c r="F33" s="22"/>
      <c r="G33" s="23"/>
      <c r="H33" s="20"/>
      <c r="I33" s="20"/>
      <c r="J33" s="22"/>
      <c r="K33" s="22"/>
      <c r="L33" s="22"/>
      <c r="M33" s="22"/>
      <c r="N33" s="22"/>
    </row>
    <row r="34" ht="22.5" customHeight="1">
      <c r="A34" s="20"/>
      <c r="B34" s="21"/>
      <c r="C34" s="21"/>
      <c r="D34" s="22"/>
      <c r="E34" s="22"/>
      <c r="F34" s="22"/>
      <c r="G34" s="23"/>
      <c r="H34" s="20"/>
      <c r="I34" s="20"/>
      <c r="J34" s="22"/>
      <c r="K34" s="22"/>
      <c r="L34" s="22"/>
      <c r="M34" s="22"/>
      <c r="N34" s="22"/>
    </row>
    <row r="35" ht="22.5" customHeight="1">
      <c r="A35" s="20"/>
      <c r="B35" s="21"/>
      <c r="C35" s="21"/>
      <c r="D35" s="22"/>
      <c r="E35" s="22"/>
      <c r="F35" s="22"/>
      <c r="G35" s="23"/>
      <c r="H35" s="20"/>
      <c r="I35" s="20"/>
      <c r="J35" s="22"/>
      <c r="K35" s="22"/>
      <c r="L35" s="22"/>
      <c r="M35" s="22"/>
      <c r="N35" s="22"/>
    </row>
    <row r="36" ht="22.5" customHeight="1">
      <c r="A36" s="20"/>
      <c r="B36" s="21"/>
      <c r="C36" s="21"/>
      <c r="D36" s="22"/>
      <c r="E36" s="22"/>
      <c r="F36" s="22"/>
      <c r="G36" s="23"/>
      <c r="H36" s="20"/>
      <c r="I36" s="20"/>
      <c r="J36" s="22"/>
      <c r="K36" s="22"/>
      <c r="L36" s="22"/>
      <c r="M36" s="22"/>
      <c r="N36" s="22"/>
    </row>
    <row r="37" ht="22.5" customHeight="1">
      <c r="A37" s="20"/>
      <c r="B37" s="21"/>
      <c r="C37" s="21"/>
      <c r="D37" s="22"/>
      <c r="E37" s="22"/>
      <c r="F37" s="22"/>
      <c r="G37" s="23"/>
      <c r="H37" s="20"/>
      <c r="I37" s="20"/>
      <c r="J37" s="22"/>
      <c r="K37" s="22"/>
      <c r="L37" s="22"/>
      <c r="M37" s="22"/>
      <c r="N37" s="22"/>
    </row>
    <row r="38" ht="22.5" customHeight="1">
      <c r="A38" s="20"/>
      <c r="B38" s="21"/>
      <c r="C38" s="21"/>
      <c r="D38" s="22"/>
      <c r="E38" s="22"/>
      <c r="F38" s="22"/>
      <c r="G38" s="23"/>
      <c r="H38" s="20"/>
      <c r="I38" s="20"/>
      <c r="J38" s="22"/>
      <c r="K38" s="22"/>
      <c r="L38" s="22"/>
      <c r="M38" s="22"/>
      <c r="N38" s="22"/>
    </row>
    <row r="39" ht="22.5" customHeight="1">
      <c r="A39" s="20"/>
      <c r="B39" s="21"/>
      <c r="C39" s="21"/>
      <c r="D39" s="22"/>
      <c r="E39" s="22"/>
      <c r="F39" s="22"/>
      <c r="G39" s="23"/>
      <c r="H39" s="20"/>
      <c r="I39" s="20"/>
      <c r="J39" s="22"/>
      <c r="K39" s="22"/>
      <c r="L39" s="22"/>
      <c r="M39" s="22"/>
      <c r="N39" s="22"/>
    </row>
    <row r="40" ht="22.5" customHeight="1">
      <c r="A40" s="20"/>
      <c r="B40" s="21"/>
      <c r="C40" s="21"/>
      <c r="D40" s="22"/>
      <c r="E40" s="22"/>
      <c r="F40" s="22"/>
      <c r="G40" s="23"/>
      <c r="H40" s="20"/>
      <c r="I40" s="20"/>
      <c r="J40" s="22"/>
      <c r="K40" s="22"/>
      <c r="L40" s="22"/>
      <c r="M40" s="22"/>
      <c r="N40" s="22"/>
    </row>
    <row r="41" ht="22.5" customHeight="1">
      <c r="A41" s="20"/>
      <c r="B41" s="21"/>
      <c r="C41" s="21"/>
      <c r="D41" s="22"/>
      <c r="E41" s="22"/>
      <c r="F41" s="22"/>
      <c r="G41" s="23"/>
      <c r="H41" s="20"/>
      <c r="I41" s="20"/>
      <c r="J41" s="22"/>
      <c r="K41" s="22"/>
      <c r="L41" s="22"/>
      <c r="M41" s="22"/>
      <c r="N41" s="22"/>
    </row>
    <row r="42" ht="22.5" customHeight="1">
      <c r="A42" s="20"/>
      <c r="B42" s="21"/>
      <c r="C42" s="21"/>
      <c r="D42" s="22"/>
      <c r="E42" s="22"/>
      <c r="F42" s="22"/>
      <c r="G42" s="23"/>
      <c r="H42" s="20"/>
      <c r="I42" s="20"/>
      <c r="J42" s="22"/>
      <c r="K42" s="22"/>
      <c r="L42" s="22"/>
      <c r="M42" s="22"/>
      <c r="N42" s="22"/>
    </row>
    <row r="43" ht="22.5" customHeight="1">
      <c r="A43" s="20"/>
      <c r="B43" s="21"/>
      <c r="C43" s="21"/>
      <c r="D43" s="22"/>
      <c r="E43" s="22"/>
      <c r="F43" s="22"/>
      <c r="G43" s="23"/>
      <c r="H43" s="20"/>
      <c r="I43" s="20"/>
      <c r="J43" s="22"/>
      <c r="K43" s="22"/>
      <c r="L43" s="22"/>
      <c r="M43" s="22"/>
      <c r="N43" s="22"/>
    </row>
    <row r="44" ht="22.5" customHeight="1">
      <c r="A44" s="20"/>
      <c r="B44" s="21"/>
      <c r="C44" s="21"/>
      <c r="D44" s="22"/>
      <c r="E44" s="22"/>
      <c r="F44" s="22"/>
      <c r="G44" s="23"/>
      <c r="H44" s="20"/>
      <c r="I44" s="20"/>
      <c r="J44" s="22"/>
      <c r="K44" s="22"/>
      <c r="L44" s="22"/>
      <c r="M44" s="22"/>
      <c r="N44" s="22"/>
    </row>
    <row r="45" ht="22.5" customHeight="1">
      <c r="A45" s="20"/>
      <c r="B45" s="21"/>
      <c r="C45" s="21"/>
      <c r="D45" s="22"/>
      <c r="E45" s="22"/>
      <c r="F45" s="22"/>
      <c r="G45" s="23"/>
      <c r="H45" s="20"/>
      <c r="I45" s="20"/>
      <c r="J45" s="22"/>
      <c r="K45" s="22"/>
      <c r="L45" s="22"/>
      <c r="M45" s="22"/>
      <c r="N45" s="22"/>
    </row>
    <row r="46" ht="22.5" customHeight="1">
      <c r="A46" s="20"/>
      <c r="B46" s="21"/>
      <c r="C46" s="21"/>
      <c r="D46" s="22"/>
      <c r="E46" s="22"/>
      <c r="F46" s="22"/>
      <c r="G46" s="23"/>
      <c r="H46" s="20"/>
      <c r="I46" s="20"/>
      <c r="J46" s="22"/>
      <c r="K46" s="22"/>
      <c r="L46" s="22"/>
      <c r="M46" s="22"/>
      <c r="N46" s="22"/>
    </row>
    <row r="47" ht="22.5" customHeight="1">
      <c r="A47" s="20"/>
      <c r="B47" s="21"/>
      <c r="C47" s="21"/>
      <c r="D47" s="22"/>
      <c r="E47" s="22"/>
      <c r="F47" s="22"/>
      <c r="G47" s="23"/>
      <c r="H47" s="20"/>
      <c r="I47" s="20"/>
      <c r="J47" s="22"/>
      <c r="K47" s="22"/>
      <c r="L47" s="22"/>
      <c r="M47" s="22"/>
      <c r="N47" s="22"/>
    </row>
    <row r="48" ht="22.5" customHeight="1">
      <c r="A48" s="20"/>
      <c r="B48" s="21"/>
      <c r="C48" s="21"/>
      <c r="D48" s="22"/>
      <c r="E48" s="22"/>
      <c r="F48" s="22"/>
      <c r="G48" s="23"/>
      <c r="H48" s="20"/>
      <c r="I48" s="20"/>
      <c r="J48" s="22"/>
      <c r="K48" s="22"/>
      <c r="L48" s="22"/>
      <c r="M48" s="22"/>
      <c r="N48" s="22"/>
    </row>
    <row r="49" ht="22.5" customHeight="1">
      <c r="A49" s="20"/>
      <c r="B49" s="21"/>
      <c r="C49" s="21"/>
      <c r="D49" s="22"/>
      <c r="E49" s="22"/>
      <c r="F49" s="22"/>
      <c r="G49" s="23"/>
      <c r="H49" s="20"/>
      <c r="I49" s="20"/>
      <c r="J49" s="22"/>
      <c r="K49" s="22"/>
      <c r="L49" s="22"/>
      <c r="M49" s="22"/>
      <c r="N49" s="22"/>
    </row>
    <row r="50" ht="22.5" customHeight="1">
      <c r="A50" s="20"/>
      <c r="B50" s="21"/>
      <c r="C50" s="21"/>
      <c r="D50" s="22"/>
      <c r="E50" s="22"/>
      <c r="F50" s="22"/>
      <c r="G50" s="23"/>
      <c r="H50" s="20"/>
      <c r="I50" s="20"/>
      <c r="J50" s="22"/>
      <c r="K50" s="22"/>
      <c r="L50" s="22"/>
      <c r="M50" s="22"/>
      <c r="N50" s="22"/>
    </row>
    <row r="51" ht="22.5" customHeight="1">
      <c r="A51" s="20"/>
      <c r="B51" s="21"/>
      <c r="C51" s="21"/>
      <c r="D51" s="22"/>
      <c r="E51" s="22"/>
      <c r="F51" s="22"/>
      <c r="G51" s="23"/>
      <c r="H51" s="20"/>
      <c r="I51" s="20"/>
      <c r="J51" s="22"/>
      <c r="K51" s="22"/>
      <c r="L51" s="22"/>
      <c r="M51" s="22"/>
      <c r="N51" s="22"/>
    </row>
    <row r="52" ht="22.5" customHeight="1">
      <c r="A52" s="20"/>
      <c r="B52" s="21"/>
      <c r="C52" s="21"/>
      <c r="D52" s="22"/>
      <c r="E52" s="22"/>
      <c r="F52" s="22"/>
      <c r="G52" s="23"/>
      <c r="H52" s="20"/>
      <c r="I52" s="20"/>
      <c r="J52" s="22"/>
      <c r="K52" s="22"/>
      <c r="L52" s="22"/>
      <c r="M52" s="22"/>
      <c r="N52" s="22"/>
    </row>
    <row r="53" ht="22.5" customHeight="1">
      <c r="A53" s="20"/>
      <c r="B53" s="21"/>
      <c r="C53" s="21"/>
      <c r="D53" s="22"/>
      <c r="E53" s="22"/>
      <c r="F53" s="22"/>
      <c r="G53" s="23"/>
      <c r="H53" s="20"/>
      <c r="I53" s="20"/>
      <c r="J53" s="22"/>
      <c r="K53" s="22"/>
      <c r="L53" s="22"/>
      <c r="M53" s="22"/>
      <c r="N53" s="22"/>
    </row>
    <row r="54" ht="22.5" customHeight="1">
      <c r="A54" s="20"/>
      <c r="B54" s="21"/>
      <c r="C54" s="21"/>
      <c r="D54" s="22"/>
      <c r="E54" s="22"/>
      <c r="F54" s="22"/>
      <c r="G54" s="23"/>
      <c r="H54" s="20"/>
      <c r="I54" s="20"/>
      <c r="J54" s="22"/>
      <c r="K54" s="22"/>
      <c r="L54" s="22"/>
      <c r="M54" s="22"/>
      <c r="N54" s="22"/>
    </row>
    <row r="55" ht="22.5" customHeight="1">
      <c r="A55" s="20"/>
      <c r="B55" s="21"/>
      <c r="C55" s="21"/>
      <c r="D55" s="22"/>
      <c r="E55" s="22"/>
      <c r="F55" s="22"/>
      <c r="G55" s="23"/>
      <c r="H55" s="20"/>
      <c r="I55" s="20"/>
      <c r="J55" s="22"/>
      <c r="K55" s="22"/>
      <c r="L55" s="22"/>
      <c r="M55" s="22"/>
      <c r="N55" s="22"/>
    </row>
    <row r="56" ht="22.5" customHeight="1">
      <c r="A56" s="20"/>
      <c r="B56" s="21"/>
      <c r="C56" s="21"/>
      <c r="D56" s="22"/>
      <c r="E56" s="22"/>
      <c r="F56" s="22"/>
      <c r="G56" s="23"/>
      <c r="H56" s="20"/>
      <c r="I56" s="20"/>
      <c r="J56" s="22"/>
      <c r="K56" s="22"/>
      <c r="L56" s="22"/>
      <c r="M56" s="22"/>
      <c r="N56" s="22"/>
    </row>
    <row r="57" ht="22.5" customHeight="1">
      <c r="A57" s="20"/>
      <c r="B57" s="21"/>
      <c r="C57" s="21"/>
      <c r="D57" s="22"/>
      <c r="E57" s="22"/>
      <c r="F57" s="22"/>
      <c r="G57" s="23"/>
      <c r="H57" s="20"/>
      <c r="I57" s="20"/>
      <c r="J57" s="22"/>
      <c r="K57" s="22"/>
      <c r="L57" s="22"/>
      <c r="M57" s="22"/>
      <c r="N57" s="22"/>
    </row>
    <row r="58" ht="22.5" customHeight="1">
      <c r="A58" s="20"/>
      <c r="B58" s="21"/>
      <c r="C58" s="21"/>
      <c r="D58" s="22"/>
      <c r="E58" s="22"/>
      <c r="F58" s="22"/>
      <c r="G58" s="23"/>
      <c r="H58" s="20"/>
      <c r="I58" s="20"/>
      <c r="J58" s="22"/>
      <c r="K58" s="22"/>
      <c r="L58" s="22"/>
      <c r="M58" s="22"/>
      <c r="N58" s="22"/>
    </row>
    <row r="59" ht="22.5" customHeight="1">
      <c r="A59" s="20"/>
      <c r="B59" s="21"/>
      <c r="C59" s="21"/>
      <c r="D59" s="22"/>
      <c r="E59" s="22"/>
      <c r="F59" s="22"/>
      <c r="G59" s="23"/>
      <c r="H59" s="20"/>
      <c r="I59" s="20"/>
      <c r="J59" s="22"/>
      <c r="K59" s="22"/>
      <c r="L59" s="22"/>
      <c r="M59" s="22"/>
      <c r="N59" s="22"/>
    </row>
    <row r="60" ht="22.5" customHeight="1">
      <c r="A60" s="20"/>
      <c r="B60" s="21"/>
      <c r="C60" s="21"/>
      <c r="D60" s="22"/>
      <c r="E60" s="22"/>
      <c r="F60" s="22"/>
      <c r="G60" s="23"/>
      <c r="H60" s="20"/>
      <c r="I60" s="20"/>
      <c r="J60" s="22"/>
      <c r="K60" s="22"/>
      <c r="L60" s="22"/>
      <c r="M60" s="22"/>
      <c r="N60" s="22"/>
    </row>
    <row r="61" ht="22.5" customHeight="1">
      <c r="A61" s="20"/>
      <c r="B61" s="21"/>
      <c r="C61" s="21"/>
      <c r="D61" s="22"/>
      <c r="E61" s="22"/>
      <c r="F61" s="22"/>
      <c r="G61" s="23"/>
      <c r="H61" s="20"/>
      <c r="I61" s="20"/>
      <c r="J61" s="22"/>
      <c r="K61" s="22"/>
      <c r="L61" s="22"/>
      <c r="M61" s="22"/>
      <c r="N61" s="22"/>
    </row>
    <row r="62" ht="22.5" customHeight="1">
      <c r="A62" s="20"/>
      <c r="B62" s="21"/>
      <c r="C62" s="21"/>
      <c r="D62" s="22"/>
      <c r="E62" s="22"/>
      <c r="F62" s="22"/>
      <c r="G62" s="23"/>
      <c r="H62" s="20"/>
      <c r="I62" s="20"/>
      <c r="J62" s="22"/>
      <c r="K62" s="22"/>
      <c r="L62" s="22"/>
      <c r="M62" s="22"/>
      <c r="N62" s="22"/>
    </row>
    <row r="63" ht="22.5" customHeight="1">
      <c r="A63" s="20"/>
      <c r="B63" s="21"/>
      <c r="C63" s="21"/>
      <c r="D63" s="22"/>
      <c r="E63" s="22"/>
      <c r="F63" s="22"/>
      <c r="G63" s="23"/>
      <c r="H63" s="20"/>
      <c r="I63" s="20"/>
      <c r="J63" s="22"/>
      <c r="K63" s="22"/>
      <c r="L63" s="22"/>
      <c r="M63" s="22"/>
      <c r="N63" s="22"/>
    </row>
    <row r="64" ht="22.5" customHeight="1">
      <c r="A64" s="20"/>
      <c r="B64" s="21"/>
      <c r="C64" s="21"/>
      <c r="D64" s="22"/>
      <c r="E64" s="22"/>
      <c r="F64" s="22"/>
      <c r="G64" s="23"/>
      <c r="H64" s="20"/>
      <c r="I64" s="20"/>
      <c r="J64" s="22"/>
      <c r="K64" s="22"/>
      <c r="L64" s="22"/>
      <c r="M64" s="22"/>
      <c r="N64" s="22"/>
    </row>
    <row r="65" ht="22.5" customHeight="1">
      <c r="A65" s="20"/>
      <c r="B65" s="21"/>
      <c r="C65" s="21"/>
      <c r="D65" s="22"/>
      <c r="E65" s="22"/>
      <c r="F65" s="22"/>
      <c r="G65" s="23"/>
      <c r="H65" s="20"/>
      <c r="I65" s="20"/>
      <c r="J65" s="22"/>
      <c r="K65" s="22"/>
      <c r="L65" s="22"/>
      <c r="M65" s="22"/>
      <c r="N65" s="22"/>
    </row>
    <row r="66" ht="22.5" customHeight="1">
      <c r="A66" s="20"/>
      <c r="B66" s="21"/>
      <c r="C66" s="21"/>
      <c r="D66" s="22"/>
      <c r="E66" s="22"/>
      <c r="F66" s="22"/>
      <c r="G66" s="23"/>
      <c r="H66" s="20"/>
      <c r="I66" s="20"/>
      <c r="J66" s="22"/>
      <c r="K66" s="22"/>
      <c r="L66" s="22"/>
      <c r="M66" s="22"/>
      <c r="N66" s="22"/>
    </row>
    <row r="67" ht="22.5" customHeight="1">
      <c r="A67" s="20"/>
      <c r="B67" s="21"/>
      <c r="C67" s="21"/>
      <c r="D67" s="22"/>
      <c r="E67" s="22"/>
      <c r="F67" s="22"/>
      <c r="G67" s="23"/>
      <c r="H67" s="20"/>
      <c r="I67" s="20"/>
      <c r="J67" s="22"/>
      <c r="K67" s="22"/>
      <c r="L67" s="22"/>
      <c r="M67" s="22"/>
      <c r="N67" s="22"/>
    </row>
    <row r="68" ht="22.5" customHeight="1">
      <c r="A68" s="20"/>
      <c r="B68" s="21"/>
      <c r="C68" s="21"/>
      <c r="D68" s="22"/>
      <c r="E68" s="22"/>
      <c r="F68" s="22"/>
      <c r="G68" s="23"/>
      <c r="H68" s="20"/>
      <c r="I68" s="20"/>
      <c r="J68" s="22"/>
      <c r="K68" s="22"/>
      <c r="L68" s="22"/>
      <c r="M68" s="22"/>
      <c r="N68" s="22"/>
    </row>
    <row r="69" ht="22.5" customHeight="1">
      <c r="A69" s="20"/>
      <c r="B69" s="21"/>
      <c r="C69" s="21"/>
      <c r="D69" s="22"/>
      <c r="E69" s="22"/>
      <c r="F69" s="22"/>
      <c r="G69" s="23"/>
      <c r="H69" s="20"/>
      <c r="I69" s="20"/>
      <c r="J69" s="22"/>
      <c r="K69" s="22"/>
      <c r="L69" s="22"/>
      <c r="M69" s="22"/>
      <c r="N69" s="22"/>
    </row>
    <row r="70" ht="22.5" customHeight="1">
      <c r="A70" s="20"/>
      <c r="B70" s="21"/>
      <c r="C70" s="21"/>
      <c r="D70" s="22"/>
      <c r="E70" s="22"/>
      <c r="F70" s="22"/>
      <c r="G70" s="23"/>
      <c r="H70" s="20"/>
      <c r="I70" s="20"/>
      <c r="J70" s="22"/>
      <c r="K70" s="22"/>
      <c r="L70" s="22"/>
      <c r="M70" s="22"/>
      <c r="N70" s="22"/>
    </row>
    <row r="71" ht="22.5" customHeight="1">
      <c r="A71" s="20"/>
      <c r="B71" s="21"/>
      <c r="C71" s="21"/>
      <c r="D71" s="22"/>
      <c r="E71" s="22"/>
      <c r="F71" s="22"/>
      <c r="G71" s="23"/>
      <c r="H71" s="20"/>
      <c r="I71" s="20"/>
      <c r="J71" s="22"/>
      <c r="K71" s="22"/>
      <c r="L71" s="22"/>
      <c r="M71" s="22"/>
      <c r="N71" s="22"/>
    </row>
    <row r="72" ht="22.5" customHeight="1">
      <c r="A72" s="20"/>
      <c r="B72" s="21"/>
      <c r="C72" s="21"/>
      <c r="D72" s="22"/>
      <c r="E72" s="22"/>
      <c r="F72" s="22"/>
      <c r="G72" s="23"/>
      <c r="H72" s="20"/>
      <c r="I72" s="20"/>
      <c r="J72" s="22"/>
      <c r="K72" s="22"/>
      <c r="L72" s="22"/>
      <c r="M72" s="22"/>
      <c r="N72" s="22"/>
    </row>
    <row r="73" ht="22.5" customHeight="1">
      <c r="A73" s="20"/>
      <c r="B73" s="21"/>
      <c r="C73" s="21"/>
      <c r="D73" s="22"/>
      <c r="E73" s="22"/>
      <c r="F73" s="22"/>
      <c r="G73" s="23"/>
      <c r="H73" s="20"/>
      <c r="I73" s="20"/>
      <c r="J73" s="22"/>
      <c r="K73" s="22"/>
      <c r="L73" s="22"/>
      <c r="M73" s="22"/>
      <c r="N73" s="22"/>
    </row>
    <row r="74" ht="22.5" customHeight="1">
      <c r="A74" s="20"/>
      <c r="B74" s="21"/>
      <c r="C74" s="21"/>
      <c r="D74" s="22"/>
      <c r="E74" s="22"/>
      <c r="F74" s="22"/>
      <c r="G74" s="23"/>
      <c r="H74" s="20"/>
      <c r="I74" s="20"/>
      <c r="J74" s="22"/>
      <c r="K74" s="22"/>
      <c r="L74" s="22"/>
      <c r="M74" s="22"/>
      <c r="N74" s="22"/>
    </row>
    <row r="75" ht="22.5" customHeight="1">
      <c r="A75" s="20"/>
      <c r="B75" s="21"/>
      <c r="C75" s="21"/>
      <c r="D75" s="22"/>
      <c r="E75" s="22"/>
      <c r="F75" s="22"/>
      <c r="G75" s="23"/>
      <c r="H75" s="20"/>
      <c r="I75" s="20"/>
      <c r="J75" s="22"/>
      <c r="K75" s="22"/>
      <c r="L75" s="22"/>
      <c r="M75" s="22"/>
      <c r="N75" s="22"/>
    </row>
    <row r="76" ht="22.5" customHeight="1">
      <c r="A76" s="20"/>
      <c r="B76" s="21"/>
      <c r="C76" s="21"/>
      <c r="D76" s="22"/>
      <c r="E76" s="22"/>
      <c r="F76" s="22"/>
      <c r="G76" s="23"/>
      <c r="H76" s="20"/>
      <c r="I76" s="20"/>
      <c r="J76" s="22"/>
      <c r="K76" s="22"/>
      <c r="L76" s="22"/>
      <c r="M76" s="22"/>
      <c r="N76" s="22"/>
    </row>
    <row r="77" ht="22.5" customHeight="1">
      <c r="A77" s="20"/>
      <c r="B77" s="21"/>
      <c r="C77" s="21"/>
      <c r="D77" s="22"/>
      <c r="E77" s="22"/>
      <c r="F77" s="22"/>
      <c r="G77" s="23"/>
      <c r="H77" s="20"/>
      <c r="I77" s="20"/>
      <c r="J77" s="22"/>
      <c r="K77" s="22"/>
      <c r="L77" s="22"/>
      <c r="M77" s="22"/>
      <c r="N77" s="22"/>
    </row>
    <row r="78" ht="22.5" customHeight="1">
      <c r="A78" s="20"/>
      <c r="B78" s="21"/>
      <c r="C78" s="21"/>
      <c r="D78" s="22"/>
      <c r="E78" s="22"/>
      <c r="F78" s="22"/>
      <c r="G78" s="23"/>
      <c r="H78" s="20"/>
      <c r="I78" s="20"/>
      <c r="J78" s="22"/>
      <c r="K78" s="22"/>
      <c r="L78" s="22"/>
      <c r="M78" s="22"/>
      <c r="N78" s="22"/>
    </row>
    <row r="79" ht="22.5" customHeight="1">
      <c r="A79" s="20"/>
      <c r="B79" s="21"/>
      <c r="C79" s="21"/>
      <c r="D79" s="22"/>
      <c r="E79" s="22"/>
      <c r="F79" s="22"/>
      <c r="G79" s="23"/>
      <c r="H79" s="20"/>
      <c r="I79" s="20"/>
      <c r="J79" s="22"/>
      <c r="K79" s="22"/>
      <c r="L79" s="22"/>
      <c r="M79" s="22"/>
      <c r="N79" s="22"/>
    </row>
    <row r="80" ht="22.5" customHeight="1">
      <c r="A80" s="20"/>
      <c r="B80" s="21"/>
      <c r="C80" s="21"/>
      <c r="D80" s="22"/>
      <c r="E80" s="22"/>
      <c r="F80" s="22"/>
      <c r="G80" s="23"/>
      <c r="H80" s="20"/>
      <c r="I80" s="20"/>
      <c r="J80" s="22"/>
      <c r="K80" s="22"/>
      <c r="L80" s="22"/>
      <c r="M80" s="22"/>
      <c r="N80" s="22"/>
    </row>
    <row r="81" ht="22.5" customHeight="1">
      <c r="A81" s="20"/>
      <c r="B81" s="21"/>
      <c r="C81" s="21"/>
      <c r="D81" s="22"/>
      <c r="E81" s="22"/>
      <c r="F81" s="22"/>
      <c r="G81" s="23"/>
      <c r="H81" s="20"/>
      <c r="I81" s="20"/>
      <c r="J81" s="22"/>
      <c r="K81" s="22"/>
      <c r="L81" s="22"/>
      <c r="M81" s="22"/>
      <c r="N81" s="22"/>
    </row>
    <row r="82" ht="22.5" customHeight="1">
      <c r="A82" s="20"/>
      <c r="B82" s="21"/>
      <c r="C82" s="21"/>
      <c r="D82" s="22"/>
      <c r="E82" s="22"/>
      <c r="F82" s="22"/>
      <c r="G82" s="23"/>
      <c r="H82" s="20"/>
      <c r="I82" s="20"/>
      <c r="J82" s="22"/>
      <c r="K82" s="22"/>
      <c r="L82" s="22"/>
      <c r="M82" s="22"/>
      <c r="N82" s="22"/>
    </row>
    <row r="83" ht="22.5" customHeight="1">
      <c r="A83" s="20"/>
      <c r="B83" s="21"/>
      <c r="C83" s="21"/>
      <c r="D83" s="22"/>
      <c r="E83" s="22"/>
      <c r="F83" s="22"/>
      <c r="G83" s="23"/>
      <c r="H83" s="20"/>
      <c r="I83" s="20"/>
      <c r="J83" s="22"/>
      <c r="K83" s="22"/>
      <c r="L83" s="22"/>
      <c r="M83" s="22"/>
      <c r="N83" s="22"/>
    </row>
    <row r="84" ht="22.5" customHeight="1">
      <c r="A84" s="20"/>
      <c r="B84" s="21"/>
      <c r="C84" s="21"/>
      <c r="D84" s="22"/>
      <c r="E84" s="22"/>
      <c r="F84" s="22"/>
      <c r="G84" s="23"/>
      <c r="H84" s="20"/>
      <c r="I84" s="20"/>
      <c r="J84" s="22"/>
      <c r="K84" s="22"/>
      <c r="L84" s="22"/>
      <c r="M84" s="22"/>
      <c r="N84" s="22"/>
    </row>
    <row r="85" ht="22.5" customHeight="1">
      <c r="A85" s="20"/>
      <c r="B85" s="21"/>
      <c r="C85" s="21"/>
      <c r="D85" s="22"/>
      <c r="E85" s="22"/>
      <c r="F85" s="22"/>
      <c r="G85" s="23"/>
      <c r="H85" s="20"/>
      <c r="I85" s="20"/>
      <c r="J85" s="22"/>
      <c r="K85" s="22"/>
      <c r="L85" s="22"/>
      <c r="M85" s="22"/>
      <c r="N85" s="22"/>
    </row>
    <row r="86" ht="22.5" customHeight="1">
      <c r="A86" s="20"/>
      <c r="B86" s="21"/>
      <c r="C86" s="21"/>
      <c r="D86" s="22"/>
      <c r="E86" s="22"/>
      <c r="F86" s="22"/>
      <c r="G86" s="23"/>
      <c r="H86" s="20"/>
      <c r="I86" s="20"/>
      <c r="J86" s="22"/>
      <c r="K86" s="22"/>
      <c r="L86" s="22"/>
      <c r="M86" s="22"/>
      <c r="N86" s="22"/>
    </row>
    <row r="87" ht="22.5" customHeight="1">
      <c r="A87" s="20"/>
      <c r="B87" s="21"/>
      <c r="C87" s="21"/>
      <c r="D87" s="22"/>
      <c r="E87" s="22"/>
      <c r="F87" s="22"/>
      <c r="G87" s="23"/>
      <c r="H87" s="20"/>
      <c r="I87" s="20"/>
      <c r="J87" s="22"/>
      <c r="K87" s="22"/>
      <c r="L87" s="22"/>
      <c r="M87" s="22"/>
      <c r="N87" s="22"/>
    </row>
    <row r="88" ht="22.5" customHeight="1">
      <c r="A88" s="20"/>
      <c r="B88" s="21"/>
      <c r="C88" s="21"/>
      <c r="D88" s="22"/>
      <c r="E88" s="22"/>
      <c r="F88" s="22"/>
      <c r="G88" s="23"/>
      <c r="H88" s="20"/>
      <c r="I88" s="20"/>
      <c r="J88" s="22"/>
      <c r="K88" s="22"/>
      <c r="L88" s="22"/>
      <c r="M88" s="22"/>
      <c r="N88" s="22"/>
    </row>
    <row r="89" ht="22.5" customHeight="1">
      <c r="A89" s="20"/>
      <c r="B89" s="21"/>
      <c r="C89" s="21"/>
      <c r="D89" s="22"/>
      <c r="E89" s="22"/>
      <c r="F89" s="22"/>
      <c r="G89" s="23"/>
      <c r="H89" s="20"/>
      <c r="I89" s="20"/>
      <c r="J89" s="22"/>
      <c r="K89" s="22"/>
      <c r="L89" s="22"/>
      <c r="M89" s="22"/>
      <c r="N89" s="22"/>
    </row>
    <row r="90" ht="22.5" customHeight="1">
      <c r="A90" s="20"/>
      <c r="B90" s="21"/>
      <c r="C90" s="21"/>
      <c r="D90" s="22"/>
      <c r="E90" s="22"/>
      <c r="F90" s="22"/>
      <c r="G90" s="23"/>
      <c r="H90" s="20"/>
      <c r="I90" s="20"/>
      <c r="J90" s="22"/>
      <c r="K90" s="22"/>
      <c r="L90" s="22"/>
      <c r="M90" s="22"/>
      <c r="N90" s="22"/>
    </row>
    <row r="91" ht="22.5" customHeight="1">
      <c r="A91" s="20"/>
      <c r="B91" s="21"/>
      <c r="C91" s="21"/>
      <c r="D91" s="22"/>
      <c r="E91" s="22"/>
      <c r="F91" s="22"/>
      <c r="G91" s="23"/>
      <c r="H91" s="20"/>
      <c r="I91" s="20"/>
      <c r="J91" s="22"/>
      <c r="K91" s="22"/>
      <c r="L91" s="22"/>
      <c r="M91" s="22"/>
      <c r="N91" s="22"/>
    </row>
    <row r="92" ht="22.5" customHeight="1">
      <c r="A92" s="20"/>
      <c r="B92" s="21"/>
      <c r="C92" s="21"/>
      <c r="D92" s="22"/>
      <c r="E92" s="22"/>
      <c r="F92" s="22"/>
      <c r="G92" s="23"/>
      <c r="H92" s="20"/>
      <c r="I92" s="20"/>
      <c r="J92" s="22"/>
      <c r="K92" s="22"/>
      <c r="L92" s="22"/>
      <c r="M92" s="22"/>
      <c r="N92" s="22"/>
    </row>
    <row r="93" ht="22.5" customHeight="1">
      <c r="A93" s="20"/>
      <c r="B93" s="21"/>
      <c r="C93" s="21"/>
      <c r="D93" s="22"/>
      <c r="E93" s="22"/>
      <c r="F93" s="22"/>
      <c r="G93" s="23"/>
      <c r="H93" s="20"/>
      <c r="I93" s="20"/>
      <c r="J93" s="22"/>
      <c r="K93" s="22"/>
      <c r="L93" s="22"/>
      <c r="M93" s="22"/>
      <c r="N93" s="22"/>
    </row>
    <row r="94" ht="22.5" customHeight="1">
      <c r="A94" s="20"/>
      <c r="B94" s="21"/>
      <c r="C94" s="21"/>
      <c r="D94" s="22"/>
      <c r="E94" s="22"/>
      <c r="F94" s="22"/>
      <c r="G94" s="23"/>
      <c r="H94" s="20"/>
      <c r="I94" s="20"/>
      <c r="J94" s="22"/>
      <c r="K94" s="22"/>
      <c r="L94" s="22"/>
      <c r="M94" s="22"/>
      <c r="N94" s="22"/>
    </row>
    <row r="95" ht="22.5" customHeight="1">
      <c r="A95" s="20"/>
      <c r="B95" s="21"/>
      <c r="C95" s="21"/>
      <c r="D95" s="22"/>
      <c r="E95" s="22"/>
      <c r="F95" s="22"/>
      <c r="G95" s="23"/>
      <c r="H95" s="20"/>
      <c r="I95" s="20"/>
      <c r="J95" s="22"/>
      <c r="K95" s="22"/>
      <c r="L95" s="22"/>
      <c r="M95" s="22"/>
      <c r="N95" s="22"/>
    </row>
    <row r="96" ht="22.5" customHeight="1">
      <c r="A96" s="20"/>
      <c r="B96" s="21"/>
      <c r="C96" s="21"/>
      <c r="D96" s="22"/>
      <c r="E96" s="22"/>
      <c r="F96" s="22"/>
      <c r="G96" s="23"/>
      <c r="H96" s="20"/>
      <c r="I96" s="20"/>
      <c r="J96" s="22"/>
      <c r="K96" s="22"/>
      <c r="L96" s="22"/>
      <c r="M96" s="22"/>
      <c r="N96" s="22"/>
    </row>
    <row r="97" ht="22.5" customHeight="1">
      <c r="A97" s="20"/>
      <c r="B97" s="21"/>
      <c r="C97" s="21"/>
      <c r="D97" s="22"/>
      <c r="E97" s="22"/>
      <c r="F97" s="22"/>
      <c r="G97" s="23"/>
      <c r="H97" s="20"/>
      <c r="I97" s="20"/>
      <c r="J97" s="22"/>
      <c r="K97" s="22"/>
      <c r="L97" s="22"/>
      <c r="M97" s="22"/>
      <c r="N97" s="22"/>
    </row>
    <row r="98" ht="22.5" customHeight="1">
      <c r="A98" s="20"/>
      <c r="B98" s="21"/>
      <c r="C98" s="21"/>
      <c r="D98" s="22"/>
      <c r="E98" s="22"/>
      <c r="F98" s="22"/>
      <c r="G98" s="23"/>
      <c r="H98" s="20"/>
      <c r="I98" s="20"/>
      <c r="J98" s="22"/>
      <c r="K98" s="22"/>
      <c r="L98" s="22"/>
      <c r="M98" s="22"/>
      <c r="N98" s="22"/>
    </row>
    <row r="99" ht="22.5" customHeight="1">
      <c r="A99" s="20"/>
      <c r="B99" s="21"/>
      <c r="C99" s="21"/>
      <c r="D99" s="22"/>
      <c r="E99" s="22"/>
      <c r="F99" s="22"/>
      <c r="G99" s="23"/>
      <c r="H99" s="20"/>
      <c r="I99" s="20"/>
      <c r="J99" s="22"/>
      <c r="K99" s="22"/>
      <c r="L99" s="22"/>
      <c r="M99" s="22"/>
      <c r="N99" s="22"/>
    </row>
    <row r="100" ht="22.5" customHeight="1">
      <c r="A100" s="20"/>
      <c r="B100" s="21"/>
      <c r="C100" s="21"/>
      <c r="D100" s="22"/>
      <c r="E100" s="22"/>
      <c r="F100" s="22"/>
      <c r="G100" s="23"/>
      <c r="H100" s="20"/>
      <c r="I100" s="20"/>
      <c r="J100" s="22"/>
      <c r="K100" s="22"/>
      <c r="L100" s="22"/>
      <c r="M100" s="22"/>
      <c r="N100" s="22"/>
    </row>
    <row r="101" ht="22.5" customHeight="1">
      <c r="A101" s="20"/>
      <c r="B101" s="21"/>
      <c r="C101" s="21"/>
      <c r="D101" s="22"/>
      <c r="E101" s="22"/>
      <c r="F101" s="22"/>
      <c r="G101" s="23"/>
      <c r="H101" s="20"/>
      <c r="I101" s="20"/>
      <c r="J101" s="22"/>
      <c r="K101" s="22"/>
      <c r="L101" s="22"/>
      <c r="M101" s="22"/>
      <c r="N101" s="22"/>
    </row>
    <row r="102" ht="22.5" customHeight="1">
      <c r="A102" s="20"/>
      <c r="B102" s="21"/>
      <c r="C102" s="21"/>
      <c r="D102" s="22"/>
      <c r="E102" s="22"/>
      <c r="F102" s="22"/>
      <c r="G102" s="23"/>
      <c r="H102" s="20"/>
      <c r="I102" s="20"/>
      <c r="J102" s="22"/>
      <c r="K102" s="22"/>
      <c r="L102" s="22"/>
      <c r="M102" s="22"/>
      <c r="N102" s="22"/>
    </row>
    <row r="103" ht="22.5" customHeight="1">
      <c r="A103" s="20"/>
      <c r="B103" s="21"/>
      <c r="C103" s="21"/>
      <c r="D103" s="22"/>
      <c r="E103" s="22"/>
      <c r="F103" s="22"/>
      <c r="G103" s="23"/>
      <c r="H103" s="20"/>
      <c r="I103" s="20"/>
      <c r="J103" s="22"/>
      <c r="K103" s="22"/>
      <c r="L103" s="22"/>
      <c r="M103" s="22"/>
      <c r="N103" s="22"/>
    </row>
    <row r="104" ht="22.5" customHeight="1">
      <c r="A104" s="20"/>
      <c r="B104" s="21"/>
      <c r="C104" s="21"/>
      <c r="D104" s="22"/>
      <c r="E104" s="22"/>
      <c r="F104" s="22"/>
      <c r="G104" s="23"/>
      <c r="H104" s="20"/>
      <c r="I104" s="20"/>
      <c r="J104" s="22"/>
      <c r="K104" s="22"/>
      <c r="L104" s="22"/>
      <c r="M104" s="22"/>
      <c r="N104" s="22"/>
    </row>
    <row r="105" ht="22.5" customHeight="1">
      <c r="A105" s="20"/>
      <c r="B105" s="21"/>
      <c r="C105" s="21"/>
      <c r="D105" s="22"/>
      <c r="E105" s="22"/>
      <c r="F105" s="22"/>
      <c r="G105" s="23"/>
      <c r="H105" s="20"/>
      <c r="I105" s="20"/>
      <c r="J105" s="22"/>
      <c r="K105" s="22"/>
      <c r="L105" s="22"/>
      <c r="M105" s="22"/>
      <c r="N105" s="22"/>
    </row>
    <row r="106" ht="22.5" customHeight="1">
      <c r="A106" s="20"/>
      <c r="B106" s="21"/>
      <c r="C106" s="21"/>
      <c r="D106" s="22"/>
      <c r="E106" s="22"/>
      <c r="F106" s="22"/>
      <c r="G106" s="23"/>
      <c r="H106" s="20"/>
      <c r="I106" s="20"/>
      <c r="J106" s="22"/>
      <c r="K106" s="22"/>
      <c r="L106" s="22"/>
      <c r="M106" s="22"/>
      <c r="N106" s="22"/>
    </row>
    <row r="107" ht="22.5" customHeight="1">
      <c r="A107" s="20"/>
      <c r="B107" s="21"/>
      <c r="C107" s="21"/>
      <c r="D107" s="22"/>
      <c r="E107" s="22"/>
      <c r="F107" s="22"/>
      <c r="G107" s="23"/>
      <c r="H107" s="20"/>
      <c r="I107" s="20"/>
      <c r="J107" s="22"/>
      <c r="K107" s="22"/>
      <c r="L107" s="22"/>
      <c r="M107" s="22"/>
      <c r="N107" s="22"/>
    </row>
    <row r="108" ht="22.5" customHeight="1">
      <c r="A108" s="20"/>
      <c r="B108" s="21"/>
      <c r="C108" s="21"/>
      <c r="D108" s="22"/>
      <c r="E108" s="22"/>
      <c r="F108" s="22"/>
      <c r="G108" s="23"/>
      <c r="H108" s="20"/>
      <c r="I108" s="20"/>
      <c r="J108" s="22"/>
      <c r="K108" s="22"/>
      <c r="L108" s="22"/>
      <c r="M108" s="22"/>
      <c r="N108" s="22"/>
    </row>
    <row r="109" ht="22.5" customHeight="1">
      <c r="A109" s="20"/>
      <c r="B109" s="21"/>
      <c r="C109" s="21"/>
      <c r="D109" s="22"/>
      <c r="E109" s="22"/>
      <c r="F109" s="22"/>
      <c r="G109" s="23"/>
      <c r="H109" s="20"/>
      <c r="I109" s="20"/>
      <c r="J109" s="22"/>
      <c r="K109" s="22"/>
      <c r="L109" s="22"/>
      <c r="M109" s="22"/>
      <c r="N109" s="22"/>
    </row>
    <row r="110" ht="22.5" customHeight="1">
      <c r="A110" s="20"/>
      <c r="B110" s="21"/>
      <c r="C110" s="21"/>
      <c r="D110" s="22"/>
      <c r="E110" s="22"/>
      <c r="F110" s="22"/>
      <c r="G110" s="23"/>
      <c r="H110" s="20"/>
      <c r="I110" s="20"/>
      <c r="J110" s="22"/>
      <c r="K110" s="22"/>
      <c r="L110" s="22"/>
      <c r="M110" s="22"/>
      <c r="N110" s="22"/>
    </row>
    <row r="111" ht="22.5" customHeight="1">
      <c r="A111" s="20"/>
      <c r="B111" s="21"/>
      <c r="C111" s="21"/>
      <c r="D111" s="22"/>
      <c r="E111" s="22"/>
      <c r="F111" s="22"/>
      <c r="G111" s="23"/>
      <c r="H111" s="20"/>
      <c r="I111" s="20"/>
      <c r="J111" s="22"/>
      <c r="K111" s="22"/>
      <c r="L111" s="22"/>
      <c r="M111" s="22"/>
      <c r="N111" s="22"/>
    </row>
    <row r="112" ht="22.5" customHeight="1">
      <c r="A112" s="20"/>
      <c r="B112" s="21"/>
      <c r="C112" s="21"/>
      <c r="D112" s="22"/>
      <c r="E112" s="22"/>
      <c r="F112" s="22"/>
      <c r="G112" s="23"/>
      <c r="H112" s="20"/>
      <c r="I112" s="20"/>
      <c r="J112" s="22"/>
      <c r="K112" s="22"/>
      <c r="L112" s="22"/>
      <c r="M112" s="22"/>
      <c r="N112" s="22"/>
    </row>
    <row r="113" ht="22.5" customHeight="1">
      <c r="A113" s="20"/>
      <c r="B113" s="21"/>
      <c r="C113" s="21"/>
      <c r="D113" s="22"/>
      <c r="E113" s="22"/>
      <c r="F113" s="22"/>
      <c r="G113" s="23"/>
      <c r="H113" s="20"/>
      <c r="I113" s="20"/>
      <c r="J113" s="22"/>
      <c r="K113" s="22"/>
      <c r="L113" s="22"/>
      <c r="M113" s="22"/>
      <c r="N113" s="22"/>
    </row>
    <row r="114" ht="22.5" customHeight="1">
      <c r="A114" s="20"/>
      <c r="B114" s="21"/>
      <c r="C114" s="21"/>
      <c r="D114" s="22"/>
      <c r="E114" s="22"/>
      <c r="F114" s="22"/>
      <c r="G114" s="23"/>
      <c r="H114" s="20"/>
      <c r="I114" s="20"/>
      <c r="J114" s="22"/>
      <c r="K114" s="22"/>
      <c r="L114" s="22"/>
      <c r="M114" s="22"/>
      <c r="N114" s="22"/>
    </row>
    <row r="115" ht="22.5" customHeight="1">
      <c r="A115" s="20"/>
      <c r="B115" s="21"/>
      <c r="C115" s="21"/>
      <c r="D115" s="22"/>
      <c r="E115" s="22"/>
      <c r="F115" s="22"/>
      <c r="G115" s="23"/>
      <c r="H115" s="20"/>
      <c r="I115" s="20"/>
      <c r="J115" s="22"/>
      <c r="K115" s="22"/>
      <c r="L115" s="22"/>
      <c r="M115" s="22"/>
      <c r="N115" s="22"/>
    </row>
    <row r="116" ht="22.5" customHeight="1">
      <c r="A116" s="20"/>
      <c r="B116" s="21"/>
      <c r="C116" s="21"/>
      <c r="D116" s="22"/>
      <c r="E116" s="22"/>
      <c r="F116" s="22"/>
      <c r="G116" s="23"/>
      <c r="H116" s="20"/>
      <c r="I116" s="20"/>
      <c r="J116" s="22"/>
      <c r="K116" s="22"/>
      <c r="L116" s="22"/>
      <c r="M116" s="22"/>
      <c r="N116" s="22"/>
    </row>
    <row r="117" ht="22.5" customHeight="1">
      <c r="A117" s="20"/>
      <c r="B117" s="21"/>
      <c r="C117" s="21"/>
      <c r="D117" s="22"/>
      <c r="E117" s="22"/>
      <c r="F117" s="22"/>
      <c r="G117" s="23"/>
      <c r="H117" s="20"/>
      <c r="I117" s="20"/>
      <c r="J117" s="22"/>
      <c r="K117" s="22"/>
      <c r="L117" s="22"/>
      <c r="M117" s="22"/>
      <c r="N117" s="22"/>
    </row>
    <row r="118" ht="22.5" customHeight="1">
      <c r="A118" s="20"/>
      <c r="B118" s="21"/>
      <c r="C118" s="21"/>
      <c r="D118" s="22"/>
      <c r="E118" s="22"/>
      <c r="F118" s="22"/>
      <c r="G118" s="23"/>
      <c r="H118" s="20"/>
      <c r="I118" s="20"/>
      <c r="J118" s="22"/>
      <c r="K118" s="22"/>
      <c r="L118" s="22"/>
      <c r="M118" s="22"/>
      <c r="N118" s="22"/>
    </row>
    <row r="119" ht="22.5" customHeight="1">
      <c r="A119" s="20"/>
      <c r="B119" s="21"/>
      <c r="C119" s="21"/>
      <c r="D119" s="22"/>
      <c r="E119" s="22"/>
      <c r="F119" s="22"/>
      <c r="G119" s="23"/>
      <c r="H119" s="20"/>
      <c r="I119" s="20"/>
      <c r="J119" s="22"/>
      <c r="K119" s="22"/>
      <c r="L119" s="22"/>
      <c r="M119" s="22"/>
      <c r="N119" s="22"/>
    </row>
    <row r="120" ht="22.5" customHeight="1">
      <c r="A120" s="20"/>
      <c r="B120" s="21"/>
      <c r="C120" s="21"/>
      <c r="D120" s="22"/>
      <c r="E120" s="22"/>
      <c r="F120" s="22"/>
      <c r="G120" s="23"/>
      <c r="H120" s="20"/>
      <c r="I120" s="20"/>
      <c r="J120" s="22"/>
      <c r="K120" s="22"/>
      <c r="L120" s="22"/>
      <c r="M120" s="22"/>
      <c r="N120" s="22"/>
    </row>
    <row r="121" ht="22.5" customHeight="1">
      <c r="A121" s="20"/>
      <c r="B121" s="21"/>
      <c r="C121" s="21"/>
      <c r="D121" s="22"/>
      <c r="E121" s="22"/>
      <c r="F121" s="22"/>
      <c r="G121" s="23"/>
      <c r="H121" s="20"/>
      <c r="I121" s="20"/>
      <c r="J121" s="22"/>
      <c r="K121" s="22"/>
      <c r="L121" s="22"/>
      <c r="M121" s="22"/>
      <c r="N121" s="22"/>
    </row>
    <row r="122" ht="22.5" customHeight="1">
      <c r="A122" s="20"/>
      <c r="B122" s="21"/>
      <c r="C122" s="21"/>
      <c r="D122" s="22"/>
      <c r="E122" s="22"/>
      <c r="F122" s="22"/>
      <c r="G122" s="23"/>
      <c r="H122" s="20"/>
      <c r="I122" s="20"/>
      <c r="J122" s="22"/>
      <c r="K122" s="22"/>
      <c r="L122" s="22"/>
      <c r="M122" s="22"/>
      <c r="N122" s="22"/>
    </row>
    <row r="123" ht="22.5" customHeight="1">
      <c r="A123" s="20"/>
      <c r="B123" s="21"/>
      <c r="C123" s="21"/>
      <c r="D123" s="22"/>
      <c r="E123" s="22"/>
      <c r="F123" s="22"/>
      <c r="G123" s="23"/>
      <c r="H123" s="20"/>
      <c r="I123" s="20"/>
      <c r="J123" s="22"/>
      <c r="K123" s="22"/>
      <c r="L123" s="22"/>
      <c r="M123" s="22"/>
      <c r="N123" s="22"/>
    </row>
    <row r="124" ht="22.5" customHeight="1">
      <c r="A124" s="20"/>
      <c r="B124" s="21"/>
      <c r="C124" s="21"/>
      <c r="D124" s="22"/>
      <c r="E124" s="22"/>
      <c r="F124" s="22"/>
      <c r="G124" s="23"/>
      <c r="H124" s="20"/>
      <c r="I124" s="20"/>
      <c r="J124" s="22"/>
      <c r="K124" s="22"/>
      <c r="L124" s="22"/>
      <c r="M124" s="22"/>
      <c r="N124" s="22"/>
    </row>
    <row r="125" ht="22.5" customHeight="1">
      <c r="A125" s="20"/>
      <c r="B125" s="21"/>
      <c r="C125" s="21"/>
      <c r="D125" s="22"/>
      <c r="E125" s="22"/>
      <c r="F125" s="22"/>
      <c r="G125" s="23"/>
      <c r="H125" s="20"/>
      <c r="I125" s="20"/>
      <c r="J125" s="22"/>
      <c r="K125" s="22"/>
      <c r="L125" s="22"/>
      <c r="M125" s="22"/>
      <c r="N125" s="22"/>
    </row>
    <row r="126" ht="22.5" customHeight="1">
      <c r="A126" s="20"/>
      <c r="B126" s="21"/>
      <c r="C126" s="21"/>
      <c r="D126" s="22"/>
      <c r="E126" s="22"/>
      <c r="F126" s="22"/>
      <c r="G126" s="23"/>
      <c r="H126" s="20"/>
      <c r="I126" s="20"/>
      <c r="J126" s="22"/>
      <c r="K126" s="22"/>
      <c r="L126" s="22"/>
      <c r="M126" s="22"/>
      <c r="N126" s="22"/>
    </row>
    <row r="127" ht="22.5" customHeight="1">
      <c r="A127" s="20"/>
      <c r="B127" s="21"/>
      <c r="C127" s="21"/>
      <c r="D127" s="22"/>
      <c r="E127" s="22"/>
      <c r="F127" s="22"/>
      <c r="G127" s="23"/>
      <c r="H127" s="20"/>
      <c r="I127" s="20"/>
      <c r="J127" s="22"/>
      <c r="K127" s="22"/>
      <c r="L127" s="22"/>
      <c r="M127" s="22"/>
      <c r="N127" s="22"/>
    </row>
    <row r="128" ht="22.5" customHeight="1">
      <c r="A128" s="20"/>
      <c r="B128" s="21"/>
      <c r="C128" s="21"/>
      <c r="D128" s="22"/>
      <c r="E128" s="22"/>
      <c r="F128" s="22"/>
      <c r="G128" s="23"/>
      <c r="H128" s="20"/>
      <c r="I128" s="20"/>
      <c r="J128" s="22"/>
      <c r="K128" s="22"/>
      <c r="L128" s="22"/>
      <c r="M128" s="22"/>
      <c r="N128" s="22"/>
    </row>
    <row r="129" ht="22.5" customHeight="1">
      <c r="A129" s="20"/>
      <c r="B129" s="21"/>
      <c r="C129" s="21"/>
      <c r="D129" s="22"/>
      <c r="E129" s="22"/>
      <c r="F129" s="22"/>
      <c r="G129" s="23"/>
      <c r="H129" s="20"/>
      <c r="I129" s="20"/>
      <c r="J129" s="22"/>
      <c r="K129" s="22"/>
      <c r="L129" s="22"/>
      <c r="M129" s="22"/>
      <c r="N129" s="22"/>
    </row>
    <row r="130" ht="22.5" customHeight="1">
      <c r="A130" s="20"/>
      <c r="B130" s="21"/>
      <c r="C130" s="21"/>
      <c r="D130" s="22"/>
      <c r="E130" s="22"/>
      <c r="F130" s="22"/>
      <c r="G130" s="23"/>
      <c r="H130" s="20"/>
      <c r="I130" s="20"/>
      <c r="J130" s="22"/>
      <c r="K130" s="22"/>
      <c r="L130" s="22"/>
      <c r="M130" s="22"/>
      <c r="N130" s="22"/>
    </row>
    <row r="131" ht="22.5" customHeight="1">
      <c r="A131" s="20"/>
      <c r="B131" s="21"/>
      <c r="C131" s="21"/>
      <c r="D131" s="22"/>
      <c r="E131" s="22"/>
      <c r="F131" s="22"/>
      <c r="G131" s="23"/>
      <c r="H131" s="20"/>
      <c r="I131" s="20"/>
      <c r="J131" s="22"/>
      <c r="K131" s="22"/>
      <c r="L131" s="22"/>
      <c r="M131" s="22"/>
      <c r="N131" s="22"/>
    </row>
    <row r="132" ht="22.5" customHeight="1">
      <c r="A132" s="20"/>
      <c r="B132" s="21"/>
      <c r="C132" s="21"/>
      <c r="D132" s="22"/>
      <c r="E132" s="22"/>
      <c r="F132" s="22"/>
      <c r="G132" s="23"/>
      <c r="H132" s="20"/>
      <c r="I132" s="20"/>
      <c r="J132" s="22"/>
      <c r="K132" s="22"/>
      <c r="L132" s="22"/>
      <c r="M132" s="22"/>
      <c r="N132" s="22"/>
    </row>
    <row r="133" ht="22.5" customHeight="1">
      <c r="A133" s="20"/>
      <c r="B133" s="21"/>
      <c r="C133" s="21"/>
      <c r="D133" s="22"/>
      <c r="E133" s="22"/>
      <c r="F133" s="22"/>
      <c r="G133" s="23"/>
      <c r="H133" s="20"/>
      <c r="I133" s="20"/>
      <c r="J133" s="22"/>
      <c r="K133" s="22"/>
      <c r="L133" s="22"/>
      <c r="M133" s="22"/>
      <c r="N133" s="22"/>
    </row>
    <row r="134" ht="22.5" customHeight="1">
      <c r="A134" s="20"/>
      <c r="B134" s="21"/>
      <c r="C134" s="21"/>
      <c r="D134" s="22"/>
      <c r="E134" s="22"/>
      <c r="F134" s="22"/>
      <c r="G134" s="23"/>
      <c r="H134" s="20"/>
      <c r="I134" s="20"/>
      <c r="J134" s="22"/>
      <c r="K134" s="22"/>
      <c r="L134" s="22"/>
      <c r="M134" s="22"/>
      <c r="N134" s="22"/>
    </row>
    <row r="135" ht="22.5" customHeight="1">
      <c r="A135" s="20"/>
      <c r="B135" s="21"/>
      <c r="C135" s="21"/>
      <c r="D135" s="22"/>
      <c r="E135" s="22"/>
      <c r="F135" s="22"/>
      <c r="G135" s="23"/>
      <c r="H135" s="20"/>
      <c r="I135" s="20"/>
      <c r="J135" s="22"/>
      <c r="K135" s="22"/>
      <c r="L135" s="22"/>
      <c r="M135" s="22"/>
      <c r="N135" s="22"/>
    </row>
    <row r="136" ht="22.5" customHeight="1">
      <c r="A136" s="20"/>
      <c r="B136" s="21"/>
      <c r="C136" s="21"/>
      <c r="D136" s="22"/>
      <c r="E136" s="22"/>
      <c r="F136" s="22"/>
      <c r="G136" s="23"/>
      <c r="H136" s="20"/>
      <c r="I136" s="20"/>
      <c r="J136" s="22"/>
      <c r="K136" s="22"/>
      <c r="L136" s="22"/>
      <c r="M136" s="22"/>
      <c r="N136" s="22"/>
    </row>
    <row r="137" ht="22.5" customHeight="1">
      <c r="A137" s="20"/>
      <c r="B137" s="21"/>
      <c r="C137" s="21"/>
      <c r="D137" s="22"/>
      <c r="E137" s="22"/>
      <c r="F137" s="22"/>
      <c r="G137" s="23"/>
      <c r="H137" s="20"/>
      <c r="I137" s="20"/>
      <c r="J137" s="22"/>
      <c r="K137" s="22"/>
      <c r="L137" s="22"/>
      <c r="M137" s="22"/>
      <c r="N137" s="22"/>
    </row>
    <row r="138" ht="22.5" customHeight="1">
      <c r="A138" s="20"/>
      <c r="B138" s="21"/>
      <c r="C138" s="21"/>
      <c r="D138" s="22"/>
      <c r="E138" s="22"/>
      <c r="F138" s="22"/>
      <c r="G138" s="23"/>
      <c r="H138" s="20"/>
      <c r="I138" s="20"/>
      <c r="J138" s="22"/>
      <c r="K138" s="22"/>
      <c r="L138" s="22"/>
      <c r="M138" s="22"/>
      <c r="N138" s="22"/>
    </row>
    <row r="139" ht="22.5" customHeight="1">
      <c r="A139" s="20"/>
      <c r="B139" s="21"/>
      <c r="C139" s="21"/>
      <c r="D139" s="22"/>
      <c r="E139" s="22"/>
      <c r="F139" s="22"/>
      <c r="G139" s="23"/>
      <c r="H139" s="20"/>
      <c r="I139" s="20"/>
      <c r="J139" s="22"/>
      <c r="K139" s="22"/>
      <c r="L139" s="22"/>
      <c r="M139" s="22"/>
      <c r="N139" s="22"/>
    </row>
    <row r="140" ht="22.5" customHeight="1">
      <c r="A140" s="20"/>
      <c r="B140" s="21"/>
      <c r="C140" s="21"/>
      <c r="D140" s="22"/>
      <c r="E140" s="22"/>
      <c r="F140" s="22"/>
      <c r="G140" s="23"/>
      <c r="H140" s="20"/>
      <c r="I140" s="20"/>
      <c r="J140" s="22"/>
      <c r="K140" s="22"/>
      <c r="L140" s="22"/>
      <c r="M140" s="22"/>
      <c r="N140" s="22"/>
    </row>
    <row r="141" ht="22.5" customHeight="1">
      <c r="A141" s="20"/>
      <c r="B141" s="21"/>
      <c r="C141" s="21"/>
      <c r="D141" s="22"/>
      <c r="E141" s="22"/>
      <c r="F141" s="22"/>
      <c r="G141" s="23"/>
      <c r="H141" s="20"/>
      <c r="I141" s="20"/>
      <c r="J141" s="22"/>
      <c r="K141" s="22"/>
      <c r="L141" s="22"/>
      <c r="M141" s="22"/>
      <c r="N141" s="22"/>
    </row>
    <row r="142" ht="22.5" customHeight="1">
      <c r="A142" s="20"/>
      <c r="B142" s="21"/>
      <c r="C142" s="21"/>
      <c r="D142" s="22"/>
      <c r="E142" s="22"/>
      <c r="F142" s="22"/>
      <c r="G142" s="23"/>
      <c r="H142" s="20"/>
      <c r="I142" s="20"/>
      <c r="J142" s="22"/>
      <c r="K142" s="22"/>
      <c r="L142" s="22"/>
      <c r="M142" s="22"/>
      <c r="N142" s="22"/>
    </row>
    <row r="143" ht="22.5" customHeight="1">
      <c r="A143" s="20"/>
      <c r="B143" s="21"/>
      <c r="C143" s="21"/>
      <c r="D143" s="22"/>
      <c r="E143" s="22"/>
      <c r="F143" s="22"/>
      <c r="G143" s="23"/>
      <c r="H143" s="20"/>
      <c r="I143" s="20"/>
      <c r="J143" s="22"/>
      <c r="K143" s="22"/>
      <c r="L143" s="22"/>
      <c r="M143" s="22"/>
      <c r="N143" s="22"/>
    </row>
    <row r="144" ht="22.5" customHeight="1">
      <c r="A144" s="20"/>
      <c r="B144" s="21"/>
      <c r="C144" s="21"/>
      <c r="D144" s="22"/>
      <c r="E144" s="22"/>
      <c r="F144" s="22"/>
      <c r="G144" s="23"/>
      <c r="H144" s="20"/>
      <c r="I144" s="20"/>
      <c r="J144" s="22"/>
      <c r="K144" s="22"/>
      <c r="L144" s="22"/>
      <c r="M144" s="22"/>
      <c r="N144" s="22"/>
    </row>
    <row r="145" ht="22.5" customHeight="1">
      <c r="A145" s="20"/>
      <c r="B145" s="21"/>
      <c r="C145" s="21"/>
      <c r="D145" s="22"/>
      <c r="E145" s="22"/>
      <c r="F145" s="22"/>
      <c r="G145" s="23"/>
      <c r="H145" s="20"/>
      <c r="I145" s="20"/>
      <c r="J145" s="22"/>
      <c r="K145" s="22"/>
      <c r="L145" s="22"/>
      <c r="M145" s="22"/>
      <c r="N145" s="22"/>
    </row>
    <row r="146" ht="22.5" customHeight="1">
      <c r="A146" s="20"/>
      <c r="B146" s="21"/>
      <c r="C146" s="21"/>
      <c r="D146" s="22"/>
      <c r="E146" s="22"/>
      <c r="F146" s="22"/>
      <c r="G146" s="23"/>
      <c r="H146" s="20"/>
      <c r="I146" s="20"/>
      <c r="J146" s="22"/>
      <c r="K146" s="22"/>
      <c r="L146" s="22"/>
      <c r="M146" s="22"/>
      <c r="N146" s="22"/>
    </row>
    <row r="147" ht="22.5" customHeight="1">
      <c r="A147" s="20"/>
      <c r="B147" s="21"/>
      <c r="C147" s="21"/>
      <c r="D147" s="22"/>
      <c r="E147" s="22"/>
      <c r="F147" s="22"/>
      <c r="G147" s="23"/>
      <c r="H147" s="20"/>
      <c r="I147" s="20"/>
      <c r="J147" s="22"/>
      <c r="K147" s="22"/>
      <c r="L147" s="22"/>
      <c r="M147" s="22"/>
      <c r="N147" s="22"/>
    </row>
    <row r="148" ht="22.5" customHeight="1">
      <c r="A148" s="20"/>
      <c r="B148" s="21"/>
      <c r="C148" s="21"/>
      <c r="D148" s="22"/>
      <c r="E148" s="22"/>
      <c r="F148" s="22"/>
      <c r="G148" s="23"/>
      <c r="H148" s="20"/>
      <c r="I148" s="20"/>
      <c r="J148" s="22"/>
      <c r="K148" s="22"/>
      <c r="L148" s="22"/>
      <c r="M148" s="22"/>
      <c r="N148" s="22"/>
    </row>
    <row r="149" ht="22.5" customHeight="1">
      <c r="A149" s="20"/>
      <c r="B149" s="21"/>
      <c r="C149" s="21"/>
      <c r="D149" s="22"/>
      <c r="E149" s="22"/>
      <c r="F149" s="22"/>
      <c r="G149" s="23"/>
      <c r="H149" s="20"/>
      <c r="I149" s="20"/>
      <c r="J149" s="22"/>
      <c r="K149" s="22"/>
      <c r="L149" s="22"/>
      <c r="M149" s="22"/>
      <c r="N149" s="22"/>
    </row>
    <row r="150" ht="22.5" customHeight="1">
      <c r="A150" s="20"/>
      <c r="B150" s="21"/>
      <c r="C150" s="21"/>
      <c r="D150" s="22"/>
      <c r="E150" s="22"/>
      <c r="F150" s="22"/>
      <c r="G150" s="23"/>
      <c r="H150" s="20"/>
      <c r="I150" s="20"/>
      <c r="J150" s="22"/>
      <c r="K150" s="22"/>
      <c r="L150" s="22"/>
      <c r="M150" s="22"/>
      <c r="N150" s="22"/>
    </row>
    <row r="151" ht="22.5" customHeight="1">
      <c r="A151" s="20"/>
      <c r="B151" s="21"/>
      <c r="C151" s="21"/>
      <c r="D151" s="22"/>
      <c r="E151" s="22"/>
      <c r="F151" s="22"/>
      <c r="G151" s="23"/>
      <c r="H151" s="20"/>
      <c r="I151" s="20"/>
      <c r="J151" s="22"/>
      <c r="K151" s="22"/>
      <c r="L151" s="22"/>
      <c r="M151" s="22"/>
      <c r="N151" s="22"/>
    </row>
    <row r="152" ht="22.5" customHeight="1">
      <c r="A152" s="20"/>
      <c r="B152" s="21"/>
      <c r="C152" s="21"/>
      <c r="D152" s="22"/>
      <c r="E152" s="22"/>
      <c r="F152" s="22"/>
      <c r="G152" s="23"/>
      <c r="H152" s="20"/>
      <c r="I152" s="20"/>
      <c r="J152" s="22"/>
      <c r="K152" s="22"/>
      <c r="L152" s="22"/>
      <c r="M152" s="22"/>
      <c r="N152" s="22"/>
    </row>
    <row r="153" ht="22.5" customHeight="1">
      <c r="A153" s="20"/>
      <c r="B153" s="21"/>
      <c r="C153" s="21"/>
      <c r="D153" s="22"/>
      <c r="E153" s="22"/>
      <c r="F153" s="22"/>
      <c r="G153" s="23"/>
      <c r="H153" s="20"/>
      <c r="I153" s="20"/>
      <c r="J153" s="22"/>
      <c r="K153" s="22"/>
      <c r="L153" s="22"/>
      <c r="M153" s="22"/>
      <c r="N153" s="22"/>
    </row>
    <row r="154" ht="22.5" customHeight="1">
      <c r="A154" s="20"/>
      <c r="B154" s="21"/>
      <c r="C154" s="21"/>
      <c r="D154" s="22"/>
      <c r="E154" s="22"/>
      <c r="F154" s="22"/>
      <c r="G154" s="23"/>
      <c r="H154" s="20"/>
      <c r="I154" s="20"/>
      <c r="J154" s="22"/>
      <c r="K154" s="22"/>
      <c r="L154" s="22"/>
      <c r="M154" s="22"/>
      <c r="N154" s="22"/>
    </row>
    <row r="155" ht="22.5" customHeight="1">
      <c r="A155" s="20"/>
      <c r="B155" s="21"/>
      <c r="C155" s="21"/>
      <c r="D155" s="22"/>
      <c r="E155" s="22"/>
      <c r="F155" s="22"/>
      <c r="G155" s="23"/>
      <c r="H155" s="20"/>
      <c r="I155" s="20"/>
      <c r="J155" s="22"/>
      <c r="K155" s="22"/>
      <c r="L155" s="22"/>
      <c r="M155" s="22"/>
      <c r="N155" s="22"/>
    </row>
    <row r="156" ht="22.5" customHeight="1">
      <c r="A156" s="20"/>
      <c r="B156" s="21"/>
      <c r="C156" s="21"/>
      <c r="D156" s="22"/>
      <c r="E156" s="22"/>
      <c r="F156" s="22"/>
      <c r="G156" s="23"/>
      <c r="H156" s="20"/>
      <c r="I156" s="20"/>
      <c r="J156" s="22"/>
      <c r="K156" s="22"/>
      <c r="L156" s="22"/>
      <c r="M156" s="22"/>
      <c r="N156" s="22"/>
    </row>
    <row r="157" ht="22.5" customHeight="1">
      <c r="A157" s="20"/>
      <c r="B157" s="21"/>
      <c r="C157" s="21"/>
      <c r="D157" s="22"/>
      <c r="E157" s="22"/>
      <c r="F157" s="22"/>
      <c r="G157" s="23"/>
      <c r="H157" s="20"/>
      <c r="I157" s="20"/>
      <c r="J157" s="22"/>
      <c r="K157" s="22"/>
      <c r="L157" s="22"/>
      <c r="M157" s="22"/>
      <c r="N157" s="22"/>
    </row>
    <row r="158" ht="22.5" customHeight="1">
      <c r="A158" s="20"/>
      <c r="B158" s="21"/>
      <c r="C158" s="21"/>
      <c r="D158" s="22"/>
      <c r="E158" s="22"/>
      <c r="F158" s="22"/>
      <c r="G158" s="23"/>
      <c r="H158" s="20"/>
      <c r="I158" s="20"/>
      <c r="J158" s="22"/>
      <c r="K158" s="22"/>
      <c r="L158" s="22"/>
      <c r="M158" s="22"/>
      <c r="N158" s="22"/>
    </row>
    <row r="159" ht="22.5" customHeight="1">
      <c r="A159" s="20"/>
      <c r="B159" s="21"/>
      <c r="C159" s="21"/>
      <c r="D159" s="22"/>
      <c r="E159" s="22"/>
      <c r="F159" s="22"/>
      <c r="G159" s="23"/>
      <c r="H159" s="20"/>
      <c r="I159" s="20"/>
      <c r="J159" s="22"/>
      <c r="K159" s="22"/>
      <c r="L159" s="22"/>
      <c r="M159" s="22"/>
      <c r="N159" s="22"/>
    </row>
    <row r="160" ht="22.5" customHeight="1">
      <c r="A160" s="20"/>
      <c r="B160" s="21"/>
      <c r="C160" s="21"/>
      <c r="D160" s="22"/>
      <c r="E160" s="22"/>
      <c r="F160" s="22"/>
      <c r="G160" s="23"/>
      <c r="H160" s="20"/>
      <c r="I160" s="20"/>
      <c r="J160" s="22"/>
      <c r="K160" s="22"/>
      <c r="L160" s="22"/>
      <c r="M160" s="22"/>
      <c r="N160" s="22"/>
    </row>
    <row r="161" ht="22.5" customHeight="1">
      <c r="A161" s="20"/>
      <c r="B161" s="21"/>
      <c r="C161" s="21"/>
      <c r="D161" s="22"/>
      <c r="E161" s="22"/>
      <c r="F161" s="22"/>
      <c r="G161" s="23"/>
      <c r="H161" s="20"/>
      <c r="I161" s="20"/>
      <c r="J161" s="22"/>
      <c r="K161" s="22"/>
      <c r="L161" s="22"/>
      <c r="M161" s="22"/>
      <c r="N161" s="22"/>
    </row>
    <row r="162" ht="22.5" customHeight="1">
      <c r="A162" s="20"/>
      <c r="B162" s="21"/>
      <c r="C162" s="21"/>
      <c r="D162" s="22"/>
      <c r="E162" s="22"/>
      <c r="F162" s="22"/>
      <c r="G162" s="23"/>
      <c r="H162" s="20"/>
      <c r="I162" s="20"/>
      <c r="J162" s="22"/>
      <c r="K162" s="22"/>
      <c r="L162" s="22"/>
      <c r="M162" s="22"/>
      <c r="N162" s="22"/>
    </row>
    <row r="163" ht="22.5" customHeight="1">
      <c r="A163" s="20"/>
      <c r="B163" s="21"/>
      <c r="C163" s="21"/>
      <c r="D163" s="22"/>
      <c r="E163" s="22"/>
      <c r="F163" s="22"/>
      <c r="G163" s="23"/>
      <c r="H163" s="20"/>
      <c r="I163" s="20"/>
      <c r="J163" s="22"/>
      <c r="K163" s="22"/>
      <c r="L163" s="22"/>
      <c r="M163" s="22"/>
      <c r="N163" s="22"/>
    </row>
    <row r="164" ht="22.5" customHeight="1">
      <c r="A164" s="20"/>
      <c r="B164" s="21"/>
      <c r="C164" s="21"/>
      <c r="D164" s="22"/>
      <c r="E164" s="22"/>
      <c r="F164" s="22"/>
      <c r="G164" s="23"/>
      <c r="H164" s="20"/>
      <c r="I164" s="20"/>
      <c r="J164" s="22"/>
      <c r="K164" s="22"/>
      <c r="L164" s="22"/>
      <c r="M164" s="22"/>
      <c r="N164" s="22"/>
    </row>
    <row r="165" ht="22.5" customHeight="1">
      <c r="A165" s="20"/>
      <c r="B165" s="21"/>
      <c r="C165" s="21"/>
      <c r="D165" s="22"/>
      <c r="E165" s="22"/>
      <c r="F165" s="22"/>
      <c r="G165" s="23"/>
      <c r="H165" s="20"/>
      <c r="I165" s="20"/>
      <c r="J165" s="22"/>
      <c r="K165" s="22"/>
      <c r="L165" s="22"/>
      <c r="M165" s="22"/>
      <c r="N165" s="22"/>
    </row>
    <row r="166" ht="22.5" customHeight="1">
      <c r="A166" s="20"/>
      <c r="B166" s="21"/>
      <c r="C166" s="21"/>
      <c r="D166" s="22"/>
      <c r="E166" s="22"/>
      <c r="F166" s="22"/>
      <c r="G166" s="23"/>
      <c r="H166" s="20"/>
      <c r="I166" s="20"/>
      <c r="J166" s="22"/>
      <c r="K166" s="22"/>
      <c r="L166" s="22"/>
      <c r="M166" s="22"/>
      <c r="N166" s="22"/>
    </row>
    <row r="167" ht="22.5" customHeight="1">
      <c r="A167" s="20"/>
      <c r="B167" s="21"/>
      <c r="C167" s="21"/>
      <c r="D167" s="22"/>
      <c r="E167" s="22"/>
      <c r="F167" s="22"/>
      <c r="G167" s="23"/>
      <c r="H167" s="20"/>
      <c r="I167" s="20"/>
      <c r="J167" s="22"/>
      <c r="K167" s="22"/>
      <c r="L167" s="22"/>
      <c r="M167" s="22"/>
      <c r="N167" s="22"/>
    </row>
    <row r="168" ht="22.5" customHeight="1">
      <c r="A168" s="20"/>
      <c r="B168" s="21"/>
      <c r="C168" s="21"/>
      <c r="D168" s="22"/>
      <c r="E168" s="22"/>
      <c r="F168" s="22"/>
      <c r="G168" s="23"/>
      <c r="H168" s="20"/>
      <c r="I168" s="20"/>
      <c r="J168" s="22"/>
      <c r="K168" s="22"/>
      <c r="L168" s="22"/>
      <c r="M168" s="22"/>
      <c r="N168" s="22"/>
    </row>
    <row r="169" ht="22.5" customHeight="1">
      <c r="A169" s="20"/>
      <c r="B169" s="21"/>
      <c r="C169" s="21"/>
      <c r="D169" s="22"/>
      <c r="E169" s="22"/>
      <c r="F169" s="22"/>
      <c r="G169" s="23"/>
      <c r="H169" s="20"/>
      <c r="I169" s="20"/>
      <c r="J169" s="22"/>
      <c r="K169" s="22"/>
      <c r="L169" s="22"/>
      <c r="M169" s="22"/>
      <c r="N169" s="22"/>
    </row>
    <row r="170" ht="22.5" customHeight="1">
      <c r="A170" s="20"/>
      <c r="B170" s="21"/>
      <c r="C170" s="21"/>
      <c r="D170" s="22"/>
      <c r="E170" s="22"/>
      <c r="F170" s="22"/>
      <c r="G170" s="23"/>
      <c r="H170" s="20"/>
      <c r="I170" s="20"/>
      <c r="J170" s="22"/>
      <c r="K170" s="22"/>
      <c r="L170" s="22"/>
      <c r="M170" s="22"/>
      <c r="N170" s="22"/>
    </row>
    <row r="171" ht="22.5" customHeight="1">
      <c r="A171" s="20"/>
      <c r="B171" s="21"/>
      <c r="C171" s="21"/>
      <c r="D171" s="22"/>
      <c r="E171" s="22"/>
      <c r="F171" s="22"/>
      <c r="G171" s="23"/>
      <c r="H171" s="20"/>
      <c r="I171" s="20"/>
      <c r="J171" s="22"/>
      <c r="K171" s="22"/>
      <c r="L171" s="22"/>
      <c r="M171" s="22"/>
      <c r="N171" s="22"/>
    </row>
    <row r="172" ht="22.5" customHeight="1">
      <c r="A172" s="20"/>
      <c r="B172" s="21"/>
      <c r="C172" s="21"/>
      <c r="D172" s="22"/>
      <c r="E172" s="22"/>
      <c r="F172" s="22"/>
      <c r="G172" s="23"/>
      <c r="H172" s="20"/>
      <c r="I172" s="20"/>
      <c r="J172" s="22"/>
      <c r="K172" s="22"/>
      <c r="L172" s="22"/>
      <c r="M172" s="22"/>
      <c r="N172" s="22"/>
    </row>
    <row r="173" ht="22.5" customHeight="1">
      <c r="A173" s="20"/>
      <c r="B173" s="21"/>
      <c r="C173" s="21"/>
      <c r="D173" s="22"/>
      <c r="E173" s="22"/>
      <c r="F173" s="22"/>
      <c r="G173" s="23"/>
      <c r="H173" s="20"/>
      <c r="I173" s="20"/>
      <c r="J173" s="22"/>
      <c r="K173" s="22"/>
      <c r="L173" s="22"/>
      <c r="M173" s="22"/>
      <c r="N173" s="22"/>
    </row>
    <row r="174" ht="22.5" customHeight="1">
      <c r="A174" s="20"/>
      <c r="B174" s="21"/>
      <c r="C174" s="21"/>
      <c r="D174" s="22"/>
      <c r="E174" s="22"/>
      <c r="F174" s="22"/>
      <c r="G174" s="23"/>
      <c r="H174" s="20"/>
      <c r="I174" s="20"/>
      <c r="J174" s="22"/>
      <c r="K174" s="22"/>
      <c r="L174" s="22"/>
      <c r="M174" s="22"/>
      <c r="N174" s="22"/>
    </row>
    <row r="175" ht="22.5" customHeight="1">
      <c r="A175" s="20"/>
      <c r="B175" s="21"/>
      <c r="C175" s="21"/>
      <c r="D175" s="22"/>
      <c r="E175" s="22"/>
      <c r="F175" s="22"/>
      <c r="G175" s="23"/>
      <c r="H175" s="20"/>
      <c r="I175" s="20"/>
      <c r="J175" s="22"/>
      <c r="K175" s="22"/>
      <c r="L175" s="22"/>
      <c r="M175" s="22"/>
      <c r="N175" s="22"/>
    </row>
    <row r="176" ht="22.5" customHeight="1">
      <c r="A176" s="20"/>
      <c r="B176" s="21"/>
      <c r="C176" s="21"/>
      <c r="D176" s="22"/>
      <c r="E176" s="22"/>
      <c r="F176" s="22"/>
      <c r="G176" s="23"/>
      <c r="H176" s="20"/>
      <c r="I176" s="20"/>
      <c r="J176" s="22"/>
      <c r="K176" s="22"/>
      <c r="L176" s="22"/>
      <c r="M176" s="22"/>
      <c r="N176" s="22"/>
    </row>
    <row r="177" ht="22.5" customHeight="1">
      <c r="A177" s="20"/>
      <c r="B177" s="21"/>
      <c r="C177" s="21"/>
      <c r="D177" s="22"/>
      <c r="E177" s="22"/>
      <c r="F177" s="22"/>
      <c r="G177" s="23"/>
      <c r="H177" s="20"/>
      <c r="I177" s="20"/>
      <c r="J177" s="22"/>
      <c r="K177" s="22"/>
      <c r="L177" s="22"/>
      <c r="M177" s="22"/>
      <c r="N177" s="22"/>
    </row>
    <row r="178" ht="22.5" customHeight="1">
      <c r="A178" s="20"/>
      <c r="B178" s="21"/>
      <c r="C178" s="21"/>
      <c r="D178" s="22"/>
      <c r="E178" s="22"/>
      <c r="F178" s="22"/>
      <c r="G178" s="23"/>
      <c r="H178" s="20"/>
      <c r="I178" s="20"/>
      <c r="J178" s="22"/>
      <c r="K178" s="22"/>
      <c r="L178" s="22"/>
      <c r="M178" s="22"/>
      <c r="N178" s="22"/>
    </row>
    <row r="179" ht="22.5" customHeight="1">
      <c r="A179" s="20"/>
      <c r="B179" s="21"/>
      <c r="C179" s="21"/>
      <c r="D179" s="22"/>
      <c r="E179" s="22"/>
      <c r="F179" s="22"/>
      <c r="G179" s="23"/>
      <c r="H179" s="20"/>
      <c r="I179" s="20"/>
      <c r="J179" s="22"/>
      <c r="K179" s="22"/>
      <c r="L179" s="22"/>
      <c r="M179" s="22"/>
      <c r="N179" s="22"/>
    </row>
    <row r="180" ht="22.5" customHeight="1">
      <c r="A180" s="20"/>
      <c r="B180" s="21"/>
      <c r="C180" s="21"/>
      <c r="D180" s="22"/>
      <c r="E180" s="22"/>
      <c r="F180" s="22"/>
      <c r="G180" s="23"/>
      <c r="H180" s="20"/>
      <c r="I180" s="20"/>
      <c r="J180" s="22"/>
      <c r="K180" s="22"/>
      <c r="L180" s="22"/>
      <c r="M180" s="22"/>
      <c r="N180" s="22"/>
    </row>
    <row r="181" ht="22.5" customHeight="1">
      <c r="A181" s="20"/>
      <c r="B181" s="21"/>
      <c r="C181" s="21"/>
      <c r="D181" s="22"/>
      <c r="E181" s="22"/>
      <c r="F181" s="22"/>
      <c r="G181" s="23"/>
      <c r="H181" s="20"/>
      <c r="I181" s="20"/>
      <c r="J181" s="22"/>
      <c r="K181" s="22"/>
      <c r="L181" s="22"/>
      <c r="M181" s="22"/>
      <c r="N181" s="22"/>
    </row>
    <row r="182" ht="22.5" customHeight="1">
      <c r="A182" s="20"/>
      <c r="B182" s="21"/>
      <c r="C182" s="21"/>
      <c r="D182" s="22"/>
      <c r="E182" s="22"/>
      <c r="F182" s="22"/>
      <c r="G182" s="23"/>
      <c r="H182" s="20"/>
      <c r="I182" s="20"/>
      <c r="J182" s="22"/>
      <c r="K182" s="22"/>
      <c r="L182" s="22"/>
      <c r="M182" s="22"/>
      <c r="N182" s="22"/>
    </row>
    <row r="183" ht="22.5" customHeight="1">
      <c r="A183" s="20"/>
      <c r="B183" s="21"/>
      <c r="C183" s="21"/>
      <c r="D183" s="22"/>
      <c r="E183" s="22"/>
      <c r="F183" s="22"/>
      <c r="G183" s="23"/>
      <c r="H183" s="20"/>
      <c r="I183" s="20"/>
      <c r="J183" s="22"/>
      <c r="K183" s="22"/>
      <c r="L183" s="22"/>
      <c r="M183" s="22"/>
      <c r="N183" s="22"/>
    </row>
    <row r="184" ht="22.5" customHeight="1">
      <c r="A184" s="20"/>
      <c r="B184" s="21"/>
      <c r="C184" s="21"/>
      <c r="D184" s="22"/>
      <c r="E184" s="22"/>
      <c r="F184" s="22"/>
      <c r="G184" s="23"/>
      <c r="H184" s="20"/>
      <c r="I184" s="20"/>
      <c r="J184" s="22"/>
      <c r="K184" s="22"/>
      <c r="L184" s="22"/>
      <c r="M184" s="22"/>
      <c r="N184" s="22"/>
    </row>
    <row r="185" ht="22.5" customHeight="1">
      <c r="A185" s="20"/>
      <c r="B185" s="21"/>
      <c r="C185" s="21"/>
      <c r="D185" s="22"/>
      <c r="E185" s="22"/>
      <c r="F185" s="22"/>
      <c r="G185" s="23"/>
      <c r="H185" s="20"/>
      <c r="I185" s="20"/>
      <c r="J185" s="22"/>
      <c r="K185" s="22"/>
      <c r="L185" s="22"/>
      <c r="M185" s="22"/>
      <c r="N185" s="22"/>
    </row>
    <row r="186" ht="22.5" customHeight="1">
      <c r="A186" s="20"/>
      <c r="B186" s="21"/>
      <c r="C186" s="21"/>
      <c r="D186" s="22"/>
      <c r="E186" s="22"/>
      <c r="F186" s="22"/>
      <c r="G186" s="23"/>
      <c r="H186" s="20"/>
      <c r="I186" s="20"/>
      <c r="J186" s="22"/>
      <c r="K186" s="22"/>
      <c r="L186" s="22"/>
      <c r="M186" s="22"/>
      <c r="N186" s="22"/>
    </row>
    <row r="187" ht="22.5" customHeight="1">
      <c r="A187" s="20"/>
      <c r="B187" s="21"/>
      <c r="C187" s="21"/>
      <c r="D187" s="22"/>
      <c r="E187" s="22"/>
      <c r="F187" s="22"/>
      <c r="G187" s="23"/>
      <c r="H187" s="20"/>
      <c r="I187" s="20"/>
      <c r="J187" s="22"/>
      <c r="K187" s="22"/>
      <c r="L187" s="22"/>
      <c r="M187" s="22"/>
      <c r="N187" s="22"/>
    </row>
    <row r="188" ht="22.5" customHeight="1">
      <c r="A188" s="20"/>
      <c r="B188" s="21"/>
      <c r="C188" s="21"/>
      <c r="D188" s="22"/>
      <c r="E188" s="22"/>
      <c r="F188" s="22"/>
      <c r="G188" s="23"/>
      <c r="H188" s="20"/>
      <c r="I188" s="20"/>
      <c r="J188" s="22"/>
      <c r="K188" s="22"/>
      <c r="L188" s="22"/>
      <c r="M188" s="22"/>
      <c r="N188" s="22"/>
    </row>
    <row r="189" ht="22.5" customHeight="1">
      <c r="A189" s="20"/>
      <c r="B189" s="21"/>
      <c r="C189" s="21"/>
      <c r="D189" s="22"/>
      <c r="E189" s="22"/>
      <c r="F189" s="22"/>
      <c r="G189" s="23"/>
      <c r="H189" s="20"/>
      <c r="I189" s="20"/>
      <c r="J189" s="22"/>
      <c r="K189" s="22"/>
      <c r="L189" s="22"/>
      <c r="M189" s="22"/>
      <c r="N189" s="22"/>
    </row>
    <row r="190" ht="22.5" customHeight="1">
      <c r="A190" s="20"/>
      <c r="B190" s="21"/>
      <c r="C190" s="21"/>
      <c r="D190" s="22"/>
      <c r="E190" s="22"/>
      <c r="F190" s="22"/>
      <c r="G190" s="23"/>
      <c r="H190" s="20"/>
      <c r="I190" s="20"/>
      <c r="J190" s="22"/>
      <c r="K190" s="22"/>
      <c r="L190" s="22"/>
      <c r="M190" s="22"/>
      <c r="N190" s="22"/>
    </row>
    <row r="191" ht="22.5" customHeight="1">
      <c r="A191" s="20"/>
      <c r="B191" s="21"/>
      <c r="C191" s="21"/>
      <c r="D191" s="22"/>
      <c r="E191" s="22"/>
      <c r="F191" s="22"/>
      <c r="G191" s="23"/>
      <c r="H191" s="20"/>
      <c r="I191" s="20"/>
      <c r="J191" s="22"/>
      <c r="K191" s="22"/>
      <c r="L191" s="22"/>
      <c r="M191" s="22"/>
      <c r="N191" s="22"/>
    </row>
    <row r="192" ht="22.5" customHeight="1">
      <c r="A192" s="20"/>
      <c r="B192" s="21"/>
      <c r="C192" s="21"/>
      <c r="D192" s="22"/>
      <c r="E192" s="22"/>
      <c r="F192" s="22"/>
      <c r="G192" s="23"/>
      <c r="H192" s="20"/>
      <c r="I192" s="20"/>
      <c r="J192" s="22"/>
      <c r="K192" s="22"/>
      <c r="L192" s="22"/>
      <c r="M192" s="22"/>
      <c r="N192" s="22"/>
    </row>
    <row r="193" ht="22.5" customHeight="1">
      <c r="A193" s="20"/>
      <c r="B193" s="21"/>
      <c r="C193" s="21"/>
      <c r="D193" s="22"/>
      <c r="E193" s="22"/>
      <c r="F193" s="22"/>
      <c r="G193" s="23"/>
      <c r="H193" s="20"/>
      <c r="I193" s="20"/>
      <c r="J193" s="22"/>
      <c r="K193" s="22"/>
      <c r="L193" s="22"/>
      <c r="M193" s="22"/>
      <c r="N193" s="22"/>
    </row>
    <row r="194" ht="22.5" customHeight="1">
      <c r="A194" s="20"/>
      <c r="B194" s="21"/>
      <c r="C194" s="21"/>
      <c r="D194" s="22"/>
      <c r="E194" s="22"/>
      <c r="F194" s="22"/>
      <c r="G194" s="23"/>
      <c r="H194" s="20"/>
      <c r="I194" s="20"/>
      <c r="J194" s="22"/>
      <c r="K194" s="22"/>
      <c r="L194" s="22"/>
      <c r="M194" s="22"/>
      <c r="N194" s="22"/>
    </row>
    <row r="195" ht="22.5" customHeight="1">
      <c r="A195" s="20"/>
      <c r="B195" s="21"/>
      <c r="C195" s="21"/>
      <c r="D195" s="22"/>
      <c r="E195" s="22"/>
      <c r="F195" s="22"/>
      <c r="G195" s="23"/>
      <c r="H195" s="20"/>
      <c r="I195" s="20"/>
      <c r="J195" s="22"/>
      <c r="K195" s="22"/>
      <c r="L195" s="22"/>
      <c r="M195" s="22"/>
      <c r="N195" s="22"/>
    </row>
    <row r="196" ht="22.5" customHeight="1">
      <c r="A196" s="20"/>
      <c r="B196" s="21"/>
      <c r="C196" s="21"/>
      <c r="D196" s="22"/>
      <c r="E196" s="22"/>
      <c r="F196" s="22"/>
      <c r="G196" s="23"/>
      <c r="H196" s="20"/>
      <c r="I196" s="20"/>
      <c r="J196" s="22"/>
      <c r="K196" s="22"/>
      <c r="L196" s="22"/>
      <c r="M196" s="22"/>
      <c r="N196" s="22"/>
    </row>
    <row r="197" ht="22.5" customHeight="1">
      <c r="A197" s="20"/>
      <c r="B197" s="21"/>
      <c r="C197" s="21"/>
      <c r="D197" s="22"/>
      <c r="E197" s="22"/>
      <c r="F197" s="22"/>
      <c r="G197" s="23"/>
      <c r="H197" s="20"/>
      <c r="I197" s="20"/>
      <c r="J197" s="22"/>
      <c r="K197" s="22"/>
      <c r="L197" s="22"/>
      <c r="M197" s="22"/>
      <c r="N197" s="22"/>
    </row>
    <row r="198" ht="22.5" customHeight="1">
      <c r="A198" s="20"/>
      <c r="B198" s="21"/>
      <c r="C198" s="21"/>
      <c r="D198" s="22"/>
      <c r="E198" s="22"/>
      <c r="F198" s="22"/>
      <c r="G198" s="23"/>
      <c r="H198" s="20"/>
      <c r="I198" s="20"/>
      <c r="J198" s="22"/>
      <c r="K198" s="22"/>
      <c r="L198" s="22"/>
      <c r="M198" s="22"/>
      <c r="N198" s="22"/>
    </row>
    <row r="199" ht="22.5" customHeight="1">
      <c r="A199" s="20"/>
      <c r="B199" s="21"/>
      <c r="C199" s="21"/>
      <c r="D199" s="22"/>
      <c r="E199" s="22"/>
      <c r="F199" s="22"/>
      <c r="G199" s="23"/>
      <c r="H199" s="20"/>
      <c r="I199" s="20"/>
      <c r="J199" s="22"/>
      <c r="K199" s="22"/>
      <c r="L199" s="22"/>
      <c r="M199" s="22"/>
      <c r="N199" s="22"/>
    </row>
    <row r="200" ht="22.5" customHeight="1">
      <c r="A200" s="20"/>
      <c r="B200" s="21"/>
      <c r="C200" s="21"/>
      <c r="D200" s="22"/>
      <c r="E200" s="22"/>
      <c r="F200" s="22"/>
      <c r="G200" s="23"/>
      <c r="H200" s="20"/>
      <c r="I200" s="20"/>
      <c r="J200" s="22"/>
      <c r="K200" s="22"/>
      <c r="L200" s="22"/>
      <c r="M200" s="22"/>
      <c r="N200" s="22"/>
    </row>
    <row r="201" ht="22.5" customHeight="1">
      <c r="A201" s="20"/>
      <c r="B201" s="21"/>
      <c r="C201" s="21"/>
      <c r="D201" s="22"/>
      <c r="E201" s="22"/>
      <c r="F201" s="22"/>
      <c r="G201" s="23"/>
      <c r="H201" s="20"/>
      <c r="I201" s="20"/>
      <c r="J201" s="22"/>
      <c r="K201" s="22"/>
      <c r="L201" s="22"/>
      <c r="M201" s="22"/>
      <c r="N201" s="22"/>
    </row>
    <row r="202" ht="22.5" customHeight="1">
      <c r="A202" s="20"/>
      <c r="B202" s="21"/>
      <c r="C202" s="21"/>
      <c r="D202" s="22"/>
      <c r="E202" s="22"/>
      <c r="F202" s="22"/>
      <c r="G202" s="23"/>
      <c r="H202" s="20"/>
      <c r="I202" s="20"/>
      <c r="J202" s="22"/>
      <c r="K202" s="22"/>
      <c r="L202" s="22"/>
      <c r="M202" s="22"/>
      <c r="N202" s="22"/>
    </row>
    <row r="203" ht="22.5" customHeight="1">
      <c r="A203" s="20"/>
      <c r="B203" s="21"/>
      <c r="C203" s="21"/>
      <c r="D203" s="22"/>
      <c r="E203" s="22"/>
      <c r="F203" s="22"/>
      <c r="G203" s="23"/>
      <c r="H203" s="20"/>
      <c r="I203" s="20"/>
      <c r="J203" s="22"/>
      <c r="K203" s="22"/>
      <c r="L203" s="22"/>
      <c r="M203" s="22"/>
      <c r="N203" s="22"/>
    </row>
    <row r="204" ht="22.5" customHeight="1">
      <c r="A204" s="20"/>
      <c r="B204" s="21"/>
      <c r="C204" s="21"/>
      <c r="D204" s="22"/>
      <c r="E204" s="22"/>
      <c r="F204" s="22"/>
      <c r="G204" s="23"/>
      <c r="H204" s="20"/>
      <c r="I204" s="20"/>
      <c r="J204" s="22"/>
      <c r="K204" s="22"/>
      <c r="L204" s="22"/>
      <c r="M204" s="22"/>
      <c r="N204" s="22"/>
    </row>
    <row r="205" ht="22.5" customHeight="1">
      <c r="A205" s="20"/>
      <c r="B205" s="21"/>
      <c r="C205" s="21"/>
      <c r="D205" s="22"/>
      <c r="E205" s="22"/>
      <c r="F205" s="22"/>
      <c r="G205" s="23"/>
      <c r="H205" s="20"/>
      <c r="I205" s="20"/>
      <c r="J205" s="22"/>
      <c r="K205" s="22"/>
      <c r="L205" s="22"/>
      <c r="M205" s="22"/>
      <c r="N205" s="22"/>
    </row>
    <row r="206" ht="22.5" customHeight="1">
      <c r="A206" s="20"/>
      <c r="B206" s="21"/>
      <c r="C206" s="21"/>
      <c r="D206" s="22"/>
      <c r="E206" s="22"/>
      <c r="F206" s="22"/>
      <c r="G206" s="23"/>
      <c r="H206" s="20"/>
      <c r="I206" s="20"/>
      <c r="J206" s="22"/>
      <c r="K206" s="22"/>
      <c r="L206" s="22"/>
      <c r="M206" s="22"/>
      <c r="N206" s="22"/>
    </row>
    <row r="207" ht="22.5" customHeight="1">
      <c r="A207" s="20"/>
      <c r="B207" s="21"/>
      <c r="C207" s="21"/>
      <c r="D207" s="22"/>
      <c r="E207" s="22"/>
      <c r="F207" s="22"/>
      <c r="G207" s="23"/>
      <c r="H207" s="20"/>
      <c r="I207" s="20"/>
      <c r="J207" s="22"/>
      <c r="K207" s="22"/>
      <c r="L207" s="22"/>
      <c r="M207" s="22"/>
      <c r="N207" s="22"/>
    </row>
    <row r="208" ht="22.5" customHeight="1">
      <c r="A208" s="20"/>
      <c r="B208" s="21"/>
      <c r="C208" s="21"/>
      <c r="D208" s="22"/>
      <c r="E208" s="22"/>
      <c r="F208" s="22"/>
      <c r="G208" s="23"/>
      <c r="H208" s="20"/>
      <c r="I208" s="20"/>
      <c r="J208" s="22"/>
      <c r="K208" s="22"/>
      <c r="L208" s="22"/>
      <c r="M208" s="22"/>
      <c r="N208" s="22"/>
    </row>
    <row r="209" ht="22.5" customHeight="1">
      <c r="A209" s="20"/>
      <c r="B209" s="21"/>
      <c r="C209" s="21"/>
      <c r="D209" s="22"/>
      <c r="E209" s="22"/>
      <c r="F209" s="22"/>
      <c r="G209" s="23"/>
      <c r="H209" s="20"/>
      <c r="I209" s="20"/>
      <c r="J209" s="22"/>
      <c r="K209" s="22"/>
      <c r="L209" s="22"/>
      <c r="M209" s="22"/>
      <c r="N209" s="22"/>
    </row>
    <row r="210" ht="22.5" customHeight="1">
      <c r="A210" s="20"/>
      <c r="B210" s="21"/>
      <c r="C210" s="21"/>
      <c r="D210" s="22"/>
      <c r="E210" s="22"/>
      <c r="F210" s="22"/>
      <c r="G210" s="23"/>
      <c r="H210" s="20"/>
      <c r="I210" s="20"/>
      <c r="J210" s="22"/>
      <c r="K210" s="22"/>
      <c r="L210" s="22"/>
      <c r="M210" s="22"/>
      <c r="N210" s="22"/>
    </row>
    <row r="211" ht="22.5" customHeight="1">
      <c r="A211" s="20"/>
      <c r="B211" s="21"/>
      <c r="C211" s="21"/>
      <c r="D211" s="22"/>
      <c r="E211" s="22"/>
      <c r="F211" s="22"/>
      <c r="G211" s="23"/>
      <c r="H211" s="20"/>
      <c r="I211" s="20"/>
      <c r="J211" s="22"/>
      <c r="K211" s="22"/>
      <c r="L211" s="22"/>
      <c r="M211" s="22"/>
      <c r="N211" s="22"/>
    </row>
    <row r="212" ht="22.5" customHeight="1">
      <c r="A212" s="20"/>
      <c r="B212" s="21"/>
      <c r="C212" s="21"/>
      <c r="D212" s="22"/>
      <c r="E212" s="22"/>
      <c r="F212" s="22"/>
      <c r="G212" s="23"/>
      <c r="H212" s="20"/>
      <c r="I212" s="20"/>
      <c r="J212" s="22"/>
      <c r="K212" s="22"/>
      <c r="L212" s="22"/>
      <c r="M212" s="22"/>
      <c r="N212" s="22"/>
    </row>
    <row r="213" ht="22.5" customHeight="1">
      <c r="A213" s="20"/>
      <c r="B213" s="21"/>
      <c r="C213" s="21"/>
      <c r="D213" s="22"/>
      <c r="E213" s="22"/>
      <c r="F213" s="22"/>
      <c r="G213" s="23"/>
      <c r="H213" s="20"/>
      <c r="I213" s="20"/>
      <c r="J213" s="22"/>
      <c r="K213" s="22"/>
      <c r="L213" s="22"/>
      <c r="M213" s="22"/>
      <c r="N213" s="22"/>
    </row>
    <row r="214" ht="22.5" customHeight="1">
      <c r="A214" s="20"/>
      <c r="B214" s="21"/>
      <c r="C214" s="21"/>
      <c r="D214" s="22"/>
      <c r="E214" s="22"/>
      <c r="F214" s="22"/>
      <c r="G214" s="23"/>
      <c r="H214" s="20"/>
      <c r="I214" s="20"/>
      <c r="J214" s="22"/>
      <c r="K214" s="22"/>
      <c r="L214" s="22"/>
      <c r="M214" s="22"/>
      <c r="N214" s="22"/>
    </row>
    <row r="215" ht="22.5" customHeight="1">
      <c r="A215" s="20"/>
      <c r="B215" s="21"/>
      <c r="C215" s="21"/>
      <c r="D215" s="22"/>
      <c r="E215" s="22"/>
      <c r="F215" s="22"/>
      <c r="G215" s="23"/>
      <c r="H215" s="20"/>
      <c r="I215" s="20"/>
      <c r="J215" s="22"/>
      <c r="K215" s="22"/>
      <c r="L215" s="22"/>
      <c r="M215" s="22"/>
      <c r="N215" s="22"/>
    </row>
    <row r="216" ht="22.5" customHeight="1">
      <c r="A216" s="20"/>
      <c r="B216" s="21"/>
      <c r="C216" s="21"/>
      <c r="D216" s="22"/>
      <c r="E216" s="22"/>
      <c r="F216" s="22"/>
      <c r="G216" s="23"/>
      <c r="H216" s="20"/>
      <c r="I216" s="20"/>
      <c r="J216" s="22"/>
      <c r="K216" s="22"/>
      <c r="L216" s="22"/>
      <c r="M216" s="22"/>
      <c r="N216" s="22"/>
    </row>
    <row r="217" ht="22.5" customHeight="1">
      <c r="A217" s="20"/>
      <c r="B217" s="21"/>
      <c r="C217" s="21"/>
      <c r="D217" s="22"/>
      <c r="E217" s="22"/>
      <c r="F217" s="22"/>
      <c r="G217" s="23"/>
      <c r="H217" s="20"/>
      <c r="I217" s="20"/>
      <c r="J217" s="22"/>
      <c r="K217" s="22"/>
      <c r="L217" s="22"/>
      <c r="M217" s="22"/>
      <c r="N217" s="22"/>
    </row>
    <row r="218" ht="22.5" customHeight="1">
      <c r="A218" s="20"/>
      <c r="B218" s="21"/>
      <c r="C218" s="21"/>
      <c r="D218" s="22"/>
      <c r="E218" s="22"/>
      <c r="F218" s="22"/>
      <c r="G218" s="23"/>
      <c r="H218" s="20"/>
      <c r="I218" s="20"/>
      <c r="J218" s="22"/>
      <c r="K218" s="22"/>
      <c r="L218" s="22"/>
      <c r="M218" s="22"/>
      <c r="N218" s="22"/>
    </row>
    <row r="219" ht="22.5" customHeight="1">
      <c r="A219" s="20"/>
      <c r="B219" s="21"/>
      <c r="C219" s="21"/>
      <c r="D219" s="22"/>
      <c r="E219" s="22"/>
      <c r="F219" s="22"/>
      <c r="G219" s="23"/>
      <c r="H219" s="20"/>
      <c r="I219" s="20"/>
      <c r="J219" s="22"/>
      <c r="K219" s="22"/>
      <c r="L219" s="22"/>
      <c r="M219" s="22"/>
      <c r="N219" s="22"/>
    </row>
    <row r="220" ht="22.5" customHeight="1">
      <c r="A220" s="20"/>
      <c r="B220" s="21"/>
      <c r="C220" s="21"/>
      <c r="D220" s="22"/>
      <c r="E220" s="22"/>
      <c r="F220" s="22"/>
      <c r="G220" s="23"/>
      <c r="H220" s="20"/>
      <c r="I220" s="20"/>
      <c r="J220" s="22"/>
      <c r="K220" s="22"/>
      <c r="L220" s="22"/>
      <c r="M220" s="22"/>
      <c r="N220" s="22"/>
    </row>
    <row r="221" ht="22.5" customHeight="1">
      <c r="A221" s="20"/>
      <c r="B221" s="21"/>
      <c r="C221" s="21"/>
      <c r="D221" s="22"/>
      <c r="E221" s="22"/>
      <c r="F221" s="22"/>
      <c r="G221" s="23"/>
      <c r="H221" s="20"/>
      <c r="I221" s="20"/>
      <c r="J221" s="22"/>
      <c r="K221" s="22"/>
      <c r="L221" s="22"/>
      <c r="M221" s="22"/>
      <c r="N221" s="22"/>
    </row>
    <row r="222" ht="22.5" customHeight="1">
      <c r="A222" s="20"/>
      <c r="B222" s="21"/>
      <c r="C222" s="21"/>
      <c r="D222" s="22"/>
      <c r="E222" s="22"/>
      <c r="F222" s="22"/>
      <c r="G222" s="23"/>
      <c r="H222" s="20"/>
      <c r="I222" s="20"/>
      <c r="J222" s="22"/>
      <c r="K222" s="22"/>
      <c r="L222" s="22"/>
      <c r="M222" s="22"/>
      <c r="N222" s="22"/>
    </row>
    <row r="223" ht="22.5" customHeight="1">
      <c r="A223" s="20"/>
      <c r="B223" s="21"/>
      <c r="C223" s="21"/>
      <c r="D223" s="22"/>
      <c r="E223" s="22"/>
      <c r="F223" s="22"/>
      <c r="G223" s="23"/>
      <c r="H223" s="20"/>
      <c r="I223" s="20"/>
      <c r="J223" s="22"/>
      <c r="K223" s="22"/>
      <c r="L223" s="22"/>
      <c r="M223" s="22"/>
      <c r="N223" s="22"/>
    </row>
    <row r="224" ht="22.5" customHeight="1">
      <c r="A224" s="20"/>
      <c r="B224" s="21"/>
      <c r="C224" s="21"/>
      <c r="D224" s="22"/>
      <c r="E224" s="22"/>
      <c r="F224" s="22"/>
      <c r="G224" s="23"/>
      <c r="H224" s="20"/>
      <c r="I224" s="20"/>
      <c r="J224" s="22"/>
      <c r="K224" s="22"/>
      <c r="L224" s="22"/>
      <c r="M224" s="22"/>
      <c r="N224" s="22"/>
    </row>
    <row r="225" ht="22.5" customHeight="1">
      <c r="A225" s="20"/>
      <c r="B225" s="21"/>
      <c r="C225" s="21"/>
      <c r="D225" s="22"/>
      <c r="E225" s="22"/>
      <c r="F225" s="22"/>
      <c r="G225" s="23"/>
      <c r="H225" s="20"/>
      <c r="I225" s="20"/>
      <c r="J225" s="22"/>
      <c r="K225" s="22"/>
      <c r="L225" s="22"/>
      <c r="M225" s="22"/>
      <c r="N225" s="22"/>
    </row>
    <row r="226" ht="22.5" customHeight="1">
      <c r="A226" s="20"/>
      <c r="B226" s="21"/>
      <c r="C226" s="21"/>
      <c r="D226" s="22"/>
      <c r="E226" s="22"/>
      <c r="F226" s="22"/>
      <c r="G226" s="23"/>
      <c r="H226" s="20"/>
      <c r="I226" s="20"/>
      <c r="J226" s="22"/>
      <c r="K226" s="22"/>
      <c r="L226" s="22"/>
      <c r="M226" s="22"/>
      <c r="N226" s="22"/>
    </row>
    <row r="227" ht="22.5" customHeight="1">
      <c r="A227" s="20"/>
      <c r="B227" s="21"/>
      <c r="C227" s="21"/>
      <c r="D227" s="22"/>
      <c r="E227" s="22"/>
      <c r="F227" s="22"/>
      <c r="G227" s="23"/>
      <c r="H227" s="20"/>
      <c r="I227" s="20"/>
      <c r="J227" s="22"/>
      <c r="K227" s="22"/>
      <c r="L227" s="22"/>
      <c r="M227" s="22"/>
      <c r="N227" s="22"/>
    </row>
    <row r="228" ht="22.5" customHeight="1">
      <c r="A228" s="20"/>
      <c r="B228" s="21"/>
      <c r="C228" s="21"/>
      <c r="D228" s="22"/>
      <c r="E228" s="22"/>
      <c r="F228" s="22"/>
      <c r="G228" s="23"/>
      <c r="H228" s="20"/>
      <c r="I228" s="20"/>
      <c r="J228" s="22"/>
      <c r="K228" s="22"/>
      <c r="L228" s="22"/>
      <c r="M228" s="22"/>
      <c r="N228" s="22"/>
    </row>
    <row r="229" ht="22.5" customHeight="1">
      <c r="A229" s="20"/>
      <c r="B229" s="21"/>
      <c r="C229" s="21"/>
      <c r="D229" s="22"/>
      <c r="E229" s="22"/>
      <c r="F229" s="22"/>
      <c r="G229" s="23"/>
      <c r="H229" s="20"/>
      <c r="I229" s="20"/>
      <c r="J229" s="22"/>
      <c r="K229" s="22"/>
      <c r="L229" s="22"/>
      <c r="M229" s="22"/>
      <c r="N229" s="22"/>
    </row>
    <row r="230" ht="22.5" customHeight="1">
      <c r="A230" s="20"/>
      <c r="B230" s="21"/>
      <c r="C230" s="21"/>
      <c r="D230" s="22"/>
      <c r="E230" s="22"/>
      <c r="F230" s="22"/>
      <c r="G230" s="23"/>
      <c r="H230" s="20"/>
      <c r="I230" s="20"/>
      <c r="J230" s="22"/>
      <c r="K230" s="22"/>
      <c r="L230" s="22"/>
      <c r="M230" s="22"/>
      <c r="N230" s="22"/>
    </row>
    <row r="231" ht="22.5" customHeight="1">
      <c r="A231" s="20"/>
      <c r="B231" s="21"/>
      <c r="C231" s="21"/>
      <c r="D231" s="22"/>
      <c r="E231" s="22"/>
      <c r="F231" s="22"/>
      <c r="G231" s="23"/>
      <c r="H231" s="20"/>
      <c r="I231" s="20"/>
      <c r="J231" s="22"/>
      <c r="K231" s="22"/>
      <c r="L231" s="22"/>
      <c r="M231" s="22"/>
      <c r="N231" s="22"/>
    </row>
    <row r="232" ht="22.5" customHeight="1">
      <c r="A232" s="20"/>
      <c r="B232" s="21"/>
      <c r="C232" s="21"/>
      <c r="D232" s="22"/>
      <c r="E232" s="22"/>
      <c r="F232" s="22"/>
      <c r="G232" s="23"/>
      <c r="H232" s="20"/>
      <c r="I232" s="20"/>
      <c r="J232" s="22"/>
      <c r="K232" s="22"/>
      <c r="L232" s="22"/>
      <c r="M232" s="22"/>
      <c r="N232" s="22"/>
    </row>
    <row r="233" ht="22.5" customHeight="1">
      <c r="A233" s="20"/>
      <c r="B233" s="21"/>
      <c r="C233" s="21"/>
      <c r="D233" s="22"/>
      <c r="E233" s="22"/>
      <c r="F233" s="22"/>
      <c r="G233" s="23"/>
      <c r="H233" s="20"/>
      <c r="I233" s="20"/>
      <c r="J233" s="22"/>
      <c r="K233" s="22"/>
      <c r="L233" s="22"/>
      <c r="M233" s="22"/>
      <c r="N233" s="22"/>
    </row>
    <row r="234" ht="22.5" customHeight="1">
      <c r="A234" s="20"/>
      <c r="B234" s="21"/>
      <c r="C234" s="21"/>
      <c r="D234" s="22"/>
      <c r="E234" s="22"/>
      <c r="F234" s="22"/>
      <c r="G234" s="23"/>
      <c r="H234" s="20"/>
      <c r="I234" s="20"/>
      <c r="J234" s="22"/>
      <c r="K234" s="22"/>
      <c r="L234" s="22"/>
      <c r="M234" s="22"/>
      <c r="N234" s="22"/>
    </row>
    <row r="235" ht="22.5" customHeight="1">
      <c r="A235" s="20"/>
      <c r="B235" s="21"/>
      <c r="C235" s="21"/>
      <c r="D235" s="22"/>
      <c r="E235" s="22"/>
      <c r="F235" s="22"/>
      <c r="G235" s="23"/>
      <c r="H235" s="20"/>
      <c r="I235" s="20"/>
      <c r="J235" s="22"/>
      <c r="K235" s="22"/>
      <c r="L235" s="22"/>
      <c r="M235" s="22"/>
      <c r="N235" s="22"/>
    </row>
    <row r="236" ht="22.5" customHeight="1">
      <c r="A236" s="20"/>
      <c r="B236" s="21"/>
      <c r="C236" s="21"/>
      <c r="D236" s="22"/>
      <c r="E236" s="22"/>
      <c r="F236" s="22"/>
      <c r="G236" s="23"/>
      <c r="H236" s="20"/>
      <c r="I236" s="20"/>
      <c r="J236" s="22"/>
      <c r="K236" s="22"/>
      <c r="L236" s="22"/>
      <c r="M236" s="22"/>
      <c r="N236" s="22"/>
    </row>
    <row r="237" ht="22.5" customHeight="1">
      <c r="A237" s="20"/>
      <c r="B237" s="21"/>
      <c r="C237" s="21"/>
      <c r="D237" s="22"/>
      <c r="E237" s="22"/>
      <c r="F237" s="22"/>
      <c r="G237" s="23"/>
      <c r="H237" s="20"/>
      <c r="I237" s="20"/>
      <c r="J237" s="22"/>
      <c r="K237" s="22"/>
      <c r="L237" s="22"/>
      <c r="M237" s="22"/>
      <c r="N237" s="22"/>
    </row>
    <row r="238" ht="22.5" customHeight="1">
      <c r="A238" s="20"/>
      <c r="B238" s="21"/>
      <c r="C238" s="21"/>
      <c r="D238" s="22"/>
      <c r="E238" s="22"/>
      <c r="F238" s="22"/>
      <c r="G238" s="23"/>
      <c r="H238" s="20"/>
      <c r="I238" s="20"/>
      <c r="J238" s="22"/>
      <c r="K238" s="22"/>
      <c r="L238" s="22"/>
      <c r="M238" s="22"/>
      <c r="N238" s="22"/>
    </row>
    <row r="239" ht="22.5" customHeight="1">
      <c r="A239" s="20"/>
      <c r="B239" s="21"/>
      <c r="C239" s="21"/>
      <c r="D239" s="22"/>
      <c r="E239" s="22"/>
      <c r="F239" s="22"/>
      <c r="G239" s="23"/>
      <c r="H239" s="20"/>
      <c r="I239" s="20"/>
      <c r="J239" s="22"/>
      <c r="K239" s="22"/>
      <c r="L239" s="22"/>
      <c r="M239" s="22"/>
      <c r="N239" s="22"/>
    </row>
    <row r="240" ht="22.5" customHeight="1">
      <c r="A240" s="20"/>
      <c r="B240" s="21"/>
      <c r="C240" s="21"/>
      <c r="D240" s="22"/>
      <c r="E240" s="22"/>
      <c r="F240" s="22"/>
      <c r="G240" s="23"/>
      <c r="H240" s="20"/>
      <c r="I240" s="20"/>
      <c r="J240" s="22"/>
      <c r="K240" s="22"/>
      <c r="L240" s="22"/>
      <c r="M240" s="22"/>
      <c r="N240" s="22"/>
    </row>
    <row r="241" ht="22.5" customHeight="1">
      <c r="A241" s="20"/>
      <c r="B241" s="21"/>
      <c r="C241" s="21"/>
      <c r="D241" s="22"/>
      <c r="E241" s="22"/>
      <c r="F241" s="22"/>
      <c r="G241" s="23"/>
      <c r="H241" s="20"/>
      <c r="I241" s="20"/>
      <c r="J241" s="22"/>
      <c r="K241" s="22"/>
      <c r="L241" s="22"/>
      <c r="M241" s="22"/>
      <c r="N241" s="22"/>
    </row>
    <row r="242" ht="22.5" customHeight="1">
      <c r="A242" s="20"/>
      <c r="B242" s="21"/>
      <c r="C242" s="21"/>
      <c r="D242" s="22"/>
      <c r="E242" s="22"/>
      <c r="F242" s="22"/>
      <c r="G242" s="23"/>
      <c r="H242" s="20"/>
      <c r="I242" s="20"/>
      <c r="J242" s="22"/>
      <c r="K242" s="22"/>
      <c r="L242" s="22"/>
      <c r="M242" s="22"/>
      <c r="N242" s="22"/>
    </row>
    <row r="243" ht="22.5" customHeight="1">
      <c r="A243" s="20"/>
      <c r="B243" s="21"/>
      <c r="C243" s="21"/>
      <c r="D243" s="22"/>
      <c r="E243" s="22"/>
      <c r="F243" s="22"/>
      <c r="G243" s="23"/>
      <c r="H243" s="20"/>
      <c r="I243" s="20"/>
      <c r="J243" s="22"/>
      <c r="K243" s="22"/>
      <c r="L243" s="22"/>
      <c r="M243" s="22"/>
      <c r="N243" s="22"/>
    </row>
    <row r="244" ht="22.5" customHeight="1">
      <c r="A244" s="20"/>
      <c r="B244" s="21"/>
      <c r="C244" s="21"/>
      <c r="D244" s="22"/>
      <c r="E244" s="22"/>
      <c r="F244" s="22"/>
      <c r="G244" s="23"/>
      <c r="H244" s="20"/>
      <c r="I244" s="20"/>
      <c r="J244" s="22"/>
      <c r="K244" s="22"/>
      <c r="L244" s="22"/>
      <c r="M244" s="22"/>
      <c r="N244" s="22"/>
    </row>
    <row r="245" ht="22.5" customHeight="1">
      <c r="A245" s="20"/>
      <c r="B245" s="21"/>
      <c r="C245" s="21"/>
      <c r="D245" s="22"/>
      <c r="E245" s="22"/>
      <c r="F245" s="22"/>
      <c r="G245" s="23"/>
      <c r="H245" s="20"/>
      <c r="I245" s="20"/>
      <c r="J245" s="22"/>
      <c r="K245" s="22"/>
      <c r="L245" s="22"/>
      <c r="M245" s="22"/>
      <c r="N245" s="22"/>
    </row>
    <row r="246" ht="22.5" customHeight="1">
      <c r="A246" s="20"/>
      <c r="B246" s="21"/>
      <c r="C246" s="21"/>
      <c r="D246" s="22"/>
      <c r="E246" s="22"/>
      <c r="F246" s="22"/>
      <c r="G246" s="23"/>
      <c r="H246" s="20"/>
      <c r="I246" s="20"/>
      <c r="J246" s="22"/>
      <c r="K246" s="22"/>
      <c r="L246" s="22"/>
      <c r="M246" s="22"/>
      <c r="N246" s="22"/>
    </row>
    <row r="247" ht="22.5" customHeight="1">
      <c r="A247" s="20"/>
      <c r="B247" s="21"/>
      <c r="C247" s="21"/>
      <c r="D247" s="22"/>
      <c r="E247" s="22"/>
      <c r="F247" s="22"/>
      <c r="G247" s="23"/>
      <c r="H247" s="20"/>
      <c r="I247" s="20"/>
      <c r="J247" s="22"/>
      <c r="K247" s="22"/>
      <c r="L247" s="22"/>
      <c r="M247" s="22"/>
      <c r="N247" s="22"/>
    </row>
    <row r="248" ht="22.5" customHeight="1">
      <c r="A248" s="20"/>
      <c r="B248" s="21"/>
      <c r="C248" s="21"/>
      <c r="D248" s="22"/>
      <c r="E248" s="22"/>
      <c r="F248" s="22"/>
      <c r="G248" s="23"/>
      <c r="H248" s="20"/>
      <c r="I248" s="20"/>
      <c r="J248" s="22"/>
      <c r="K248" s="22"/>
      <c r="L248" s="22"/>
      <c r="M248" s="22"/>
      <c r="N248" s="22"/>
    </row>
    <row r="249" ht="22.5" customHeight="1">
      <c r="A249" s="20"/>
      <c r="B249" s="21"/>
      <c r="C249" s="21"/>
      <c r="D249" s="22"/>
      <c r="E249" s="22"/>
      <c r="F249" s="22"/>
      <c r="G249" s="23"/>
      <c r="H249" s="20"/>
      <c r="I249" s="20"/>
      <c r="J249" s="22"/>
      <c r="K249" s="22"/>
      <c r="L249" s="22"/>
      <c r="M249" s="22"/>
      <c r="N249" s="22"/>
    </row>
    <row r="250" ht="22.5" customHeight="1">
      <c r="A250" s="20"/>
      <c r="B250" s="21"/>
      <c r="C250" s="21"/>
      <c r="D250" s="22"/>
      <c r="E250" s="22"/>
      <c r="F250" s="22"/>
      <c r="G250" s="23"/>
      <c r="H250" s="20"/>
      <c r="I250" s="20"/>
      <c r="J250" s="22"/>
      <c r="K250" s="22"/>
      <c r="L250" s="22"/>
      <c r="M250" s="22"/>
      <c r="N250" s="22"/>
    </row>
    <row r="251" ht="22.5" customHeight="1">
      <c r="A251" s="20"/>
      <c r="B251" s="21"/>
      <c r="C251" s="21"/>
      <c r="D251" s="22"/>
      <c r="E251" s="22"/>
      <c r="F251" s="22"/>
      <c r="G251" s="23"/>
      <c r="H251" s="20"/>
      <c r="I251" s="20"/>
      <c r="J251" s="22"/>
      <c r="K251" s="22"/>
      <c r="L251" s="22"/>
      <c r="M251" s="22"/>
      <c r="N251" s="22"/>
    </row>
    <row r="252" ht="22.5" customHeight="1">
      <c r="A252" s="20"/>
      <c r="B252" s="21"/>
      <c r="C252" s="21"/>
      <c r="D252" s="22"/>
      <c r="E252" s="22"/>
      <c r="F252" s="22"/>
      <c r="G252" s="23"/>
      <c r="H252" s="20"/>
      <c r="I252" s="20"/>
      <c r="J252" s="22"/>
      <c r="K252" s="22"/>
      <c r="L252" s="22"/>
      <c r="M252" s="22"/>
      <c r="N252" s="22"/>
    </row>
    <row r="253" ht="22.5" customHeight="1">
      <c r="A253" s="20"/>
      <c r="B253" s="21"/>
      <c r="C253" s="21"/>
      <c r="D253" s="22"/>
      <c r="E253" s="22"/>
      <c r="F253" s="22"/>
      <c r="G253" s="23"/>
      <c r="H253" s="20"/>
      <c r="I253" s="20"/>
      <c r="J253" s="22"/>
      <c r="K253" s="22"/>
      <c r="L253" s="22"/>
      <c r="M253" s="22"/>
      <c r="N253" s="22"/>
    </row>
    <row r="254" ht="22.5" customHeight="1">
      <c r="A254" s="20"/>
      <c r="B254" s="21"/>
      <c r="C254" s="21"/>
      <c r="D254" s="22"/>
      <c r="E254" s="22"/>
      <c r="F254" s="22"/>
      <c r="G254" s="23"/>
      <c r="H254" s="20"/>
      <c r="I254" s="20"/>
      <c r="J254" s="22"/>
      <c r="K254" s="22"/>
      <c r="L254" s="22"/>
      <c r="M254" s="22"/>
      <c r="N254" s="22"/>
    </row>
    <row r="255" ht="22.5" customHeight="1">
      <c r="A255" s="20"/>
      <c r="B255" s="21"/>
      <c r="C255" s="21"/>
      <c r="D255" s="22"/>
      <c r="E255" s="22"/>
      <c r="F255" s="22"/>
      <c r="G255" s="23"/>
      <c r="H255" s="20"/>
      <c r="I255" s="20"/>
      <c r="J255" s="22"/>
      <c r="K255" s="22"/>
      <c r="L255" s="22"/>
      <c r="M255" s="22"/>
      <c r="N255" s="22"/>
    </row>
    <row r="256" ht="22.5" customHeight="1">
      <c r="A256" s="20"/>
      <c r="B256" s="21"/>
      <c r="C256" s="21"/>
      <c r="D256" s="22"/>
      <c r="E256" s="22"/>
      <c r="F256" s="22"/>
      <c r="G256" s="23"/>
      <c r="H256" s="20"/>
      <c r="I256" s="20"/>
      <c r="J256" s="22"/>
      <c r="K256" s="22"/>
      <c r="L256" s="22"/>
      <c r="M256" s="22"/>
      <c r="N256" s="22"/>
    </row>
    <row r="257" ht="22.5" customHeight="1">
      <c r="A257" s="20"/>
      <c r="B257" s="21"/>
      <c r="C257" s="21"/>
      <c r="D257" s="22"/>
      <c r="E257" s="22"/>
      <c r="F257" s="22"/>
      <c r="G257" s="23"/>
      <c r="H257" s="20"/>
      <c r="I257" s="20"/>
      <c r="J257" s="22"/>
      <c r="K257" s="22"/>
      <c r="L257" s="22"/>
      <c r="M257" s="22"/>
      <c r="N257" s="22"/>
    </row>
    <row r="258" ht="22.5" customHeight="1">
      <c r="A258" s="20"/>
      <c r="B258" s="21"/>
      <c r="C258" s="21"/>
      <c r="D258" s="22"/>
      <c r="E258" s="22"/>
      <c r="F258" s="22"/>
      <c r="G258" s="23"/>
      <c r="H258" s="20"/>
      <c r="I258" s="20"/>
      <c r="J258" s="22"/>
      <c r="K258" s="22"/>
      <c r="L258" s="22"/>
      <c r="M258" s="22"/>
      <c r="N258" s="22"/>
    </row>
    <row r="259" ht="22.5" customHeight="1">
      <c r="A259" s="20"/>
      <c r="B259" s="21"/>
      <c r="C259" s="21"/>
      <c r="D259" s="22"/>
      <c r="E259" s="22"/>
      <c r="F259" s="22"/>
      <c r="G259" s="23"/>
      <c r="H259" s="20"/>
      <c r="I259" s="20"/>
      <c r="J259" s="22"/>
      <c r="K259" s="22"/>
      <c r="L259" s="22"/>
      <c r="M259" s="22"/>
      <c r="N259" s="22"/>
    </row>
    <row r="260" ht="22.5" customHeight="1">
      <c r="A260" s="20"/>
      <c r="B260" s="21"/>
      <c r="C260" s="21"/>
      <c r="D260" s="22"/>
      <c r="E260" s="22"/>
      <c r="F260" s="22"/>
      <c r="G260" s="23"/>
      <c r="H260" s="20"/>
      <c r="I260" s="20"/>
      <c r="J260" s="22"/>
      <c r="K260" s="22"/>
      <c r="L260" s="22"/>
      <c r="M260" s="22"/>
      <c r="N260" s="22"/>
    </row>
    <row r="261" ht="22.5" customHeight="1">
      <c r="A261" s="20"/>
      <c r="B261" s="21"/>
      <c r="C261" s="21"/>
      <c r="D261" s="22"/>
      <c r="E261" s="22"/>
      <c r="F261" s="22"/>
      <c r="G261" s="23"/>
      <c r="H261" s="20"/>
      <c r="I261" s="20"/>
      <c r="J261" s="22"/>
      <c r="K261" s="22"/>
      <c r="L261" s="22"/>
      <c r="M261" s="22"/>
      <c r="N261" s="22"/>
    </row>
    <row r="262" ht="22.5" customHeight="1">
      <c r="A262" s="20"/>
      <c r="B262" s="21"/>
      <c r="C262" s="21"/>
      <c r="D262" s="22"/>
      <c r="E262" s="22"/>
      <c r="F262" s="22"/>
      <c r="G262" s="23"/>
      <c r="H262" s="20"/>
      <c r="I262" s="20"/>
      <c r="J262" s="22"/>
      <c r="K262" s="22"/>
      <c r="L262" s="22"/>
      <c r="M262" s="22"/>
      <c r="N262" s="22"/>
    </row>
    <row r="263" ht="22.5" customHeight="1">
      <c r="A263" s="20"/>
      <c r="B263" s="21"/>
      <c r="C263" s="21"/>
      <c r="D263" s="22"/>
      <c r="E263" s="22"/>
      <c r="F263" s="22"/>
      <c r="G263" s="23"/>
      <c r="H263" s="20"/>
      <c r="I263" s="20"/>
      <c r="J263" s="22"/>
      <c r="K263" s="22"/>
      <c r="L263" s="22"/>
      <c r="M263" s="22"/>
      <c r="N263" s="22"/>
    </row>
    <row r="264" ht="22.5" customHeight="1">
      <c r="A264" s="20"/>
      <c r="B264" s="21"/>
      <c r="C264" s="21"/>
      <c r="D264" s="22"/>
      <c r="E264" s="22"/>
      <c r="F264" s="22"/>
      <c r="G264" s="23"/>
      <c r="H264" s="20"/>
      <c r="I264" s="20"/>
      <c r="J264" s="22"/>
      <c r="K264" s="22"/>
      <c r="L264" s="22"/>
      <c r="M264" s="22"/>
      <c r="N264" s="22"/>
    </row>
    <row r="265" ht="22.5" customHeight="1">
      <c r="A265" s="20"/>
      <c r="B265" s="21"/>
      <c r="C265" s="21"/>
      <c r="D265" s="22"/>
      <c r="E265" s="22"/>
      <c r="F265" s="22"/>
      <c r="G265" s="23"/>
      <c r="H265" s="20"/>
      <c r="I265" s="20"/>
      <c r="J265" s="22"/>
      <c r="K265" s="22"/>
      <c r="L265" s="22"/>
      <c r="M265" s="22"/>
      <c r="N265" s="22"/>
    </row>
    <row r="266" ht="22.5" customHeight="1">
      <c r="A266" s="20"/>
      <c r="B266" s="21"/>
      <c r="C266" s="21"/>
      <c r="D266" s="22"/>
      <c r="E266" s="22"/>
      <c r="F266" s="22"/>
      <c r="G266" s="23"/>
      <c r="H266" s="20"/>
      <c r="I266" s="20"/>
      <c r="J266" s="22"/>
      <c r="K266" s="22"/>
      <c r="L266" s="22"/>
      <c r="M266" s="22"/>
      <c r="N266" s="22"/>
    </row>
    <row r="267" ht="22.5" customHeight="1">
      <c r="A267" s="20"/>
      <c r="B267" s="21"/>
      <c r="C267" s="21"/>
      <c r="D267" s="22"/>
      <c r="E267" s="22"/>
      <c r="F267" s="22"/>
      <c r="G267" s="23"/>
      <c r="H267" s="20"/>
      <c r="I267" s="20"/>
      <c r="J267" s="22"/>
      <c r="K267" s="22"/>
      <c r="L267" s="22"/>
      <c r="M267" s="22"/>
      <c r="N267" s="22"/>
    </row>
    <row r="268" ht="22.5" customHeight="1">
      <c r="A268" s="20"/>
      <c r="B268" s="21"/>
      <c r="C268" s="21"/>
      <c r="D268" s="22"/>
      <c r="E268" s="22"/>
      <c r="F268" s="22"/>
      <c r="G268" s="23"/>
      <c r="H268" s="20"/>
      <c r="I268" s="20"/>
      <c r="J268" s="22"/>
      <c r="K268" s="22"/>
      <c r="L268" s="22"/>
      <c r="M268" s="22"/>
      <c r="N268" s="22"/>
    </row>
    <row r="269" ht="22.5" customHeight="1">
      <c r="A269" s="20"/>
      <c r="B269" s="21"/>
      <c r="C269" s="21"/>
      <c r="D269" s="22"/>
      <c r="E269" s="22"/>
      <c r="F269" s="22"/>
      <c r="G269" s="23"/>
      <c r="H269" s="20"/>
      <c r="I269" s="20"/>
      <c r="J269" s="22"/>
      <c r="K269" s="22"/>
      <c r="L269" s="22"/>
      <c r="M269" s="22"/>
      <c r="N269" s="22"/>
    </row>
    <row r="270" ht="22.5" customHeight="1">
      <c r="A270" s="20"/>
      <c r="B270" s="21"/>
      <c r="C270" s="21"/>
      <c r="D270" s="22"/>
      <c r="E270" s="22"/>
      <c r="F270" s="22"/>
      <c r="G270" s="23"/>
      <c r="H270" s="20"/>
      <c r="I270" s="20"/>
      <c r="J270" s="22"/>
      <c r="K270" s="22"/>
      <c r="L270" s="22"/>
      <c r="M270" s="22"/>
      <c r="N270" s="22"/>
    </row>
    <row r="271" ht="22.5" customHeight="1">
      <c r="A271" s="20"/>
      <c r="B271" s="21"/>
      <c r="C271" s="21"/>
      <c r="D271" s="22"/>
      <c r="E271" s="22"/>
      <c r="F271" s="22"/>
      <c r="G271" s="23"/>
      <c r="H271" s="20"/>
      <c r="I271" s="20"/>
      <c r="J271" s="22"/>
      <c r="K271" s="22"/>
      <c r="L271" s="22"/>
      <c r="M271" s="22"/>
      <c r="N271" s="22"/>
    </row>
    <row r="272" ht="22.5" customHeight="1">
      <c r="A272" s="20"/>
      <c r="B272" s="21"/>
      <c r="C272" s="21"/>
      <c r="D272" s="22"/>
      <c r="E272" s="22"/>
      <c r="F272" s="22"/>
      <c r="G272" s="23"/>
      <c r="H272" s="20"/>
      <c r="I272" s="20"/>
      <c r="J272" s="22"/>
      <c r="K272" s="22"/>
      <c r="L272" s="22"/>
      <c r="M272" s="22"/>
      <c r="N272" s="22"/>
    </row>
    <row r="273" ht="22.5" customHeight="1">
      <c r="A273" s="20"/>
      <c r="B273" s="21"/>
      <c r="C273" s="21"/>
      <c r="D273" s="22"/>
      <c r="E273" s="22"/>
      <c r="F273" s="22"/>
      <c r="G273" s="23"/>
      <c r="H273" s="20"/>
      <c r="I273" s="20"/>
      <c r="J273" s="22"/>
      <c r="K273" s="22"/>
      <c r="L273" s="22"/>
      <c r="M273" s="22"/>
      <c r="N273" s="22"/>
    </row>
    <row r="274" ht="22.5" customHeight="1">
      <c r="A274" s="20"/>
      <c r="B274" s="21"/>
      <c r="C274" s="21"/>
      <c r="D274" s="22"/>
      <c r="E274" s="22"/>
      <c r="F274" s="22"/>
      <c r="G274" s="23"/>
      <c r="H274" s="20"/>
      <c r="I274" s="20"/>
      <c r="J274" s="22"/>
      <c r="K274" s="22"/>
      <c r="L274" s="22"/>
      <c r="M274" s="22"/>
      <c r="N274" s="22"/>
    </row>
    <row r="275" ht="22.5" customHeight="1">
      <c r="A275" s="20"/>
      <c r="B275" s="21"/>
      <c r="C275" s="21"/>
      <c r="D275" s="22"/>
      <c r="E275" s="22"/>
      <c r="F275" s="22"/>
      <c r="G275" s="23"/>
      <c r="H275" s="20"/>
      <c r="I275" s="20"/>
      <c r="J275" s="22"/>
      <c r="K275" s="22"/>
      <c r="L275" s="22"/>
      <c r="M275" s="22"/>
      <c r="N275" s="22"/>
    </row>
    <row r="276" ht="22.5" customHeight="1">
      <c r="A276" s="20"/>
      <c r="B276" s="21"/>
      <c r="C276" s="21"/>
      <c r="D276" s="22"/>
      <c r="E276" s="22"/>
      <c r="F276" s="22"/>
      <c r="G276" s="23"/>
      <c r="H276" s="20"/>
      <c r="I276" s="20"/>
      <c r="J276" s="22"/>
      <c r="K276" s="22"/>
      <c r="L276" s="22"/>
      <c r="M276" s="22"/>
      <c r="N276" s="22"/>
    </row>
    <row r="277" ht="22.5" customHeight="1">
      <c r="A277" s="20"/>
      <c r="B277" s="21"/>
      <c r="C277" s="21"/>
      <c r="D277" s="22"/>
      <c r="E277" s="22"/>
      <c r="F277" s="22"/>
      <c r="G277" s="23"/>
      <c r="H277" s="20"/>
      <c r="I277" s="20"/>
      <c r="J277" s="22"/>
      <c r="K277" s="22"/>
      <c r="L277" s="22"/>
      <c r="M277" s="22"/>
      <c r="N277" s="22"/>
    </row>
    <row r="278" ht="22.5" customHeight="1">
      <c r="A278" s="20"/>
      <c r="B278" s="21"/>
      <c r="C278" s="21"/>
      <c r="D278" s="22"/>
      <c r="E278" s="22"/>
      <c r="F278" s="22"/>
      <c r="G278" s="23"/>
      <c r="H278" s="20"/>
      <c r="I278" s="20"/>
      <c r="J278" s="22"/>
      <c r="K278" s="22"/>
      <c r="L278" s="22"/>
      <c r="M278" s="22"/>
      <c r="N278" s="22"/>
    </row>
    <row r="279" ht="22.5" customHeight="1">
      <c r="A279" s="20"/>
      <c r="B279" s="21"/>
      <c r="C279" s="21"/>
      <c r="D279" s="22"/>
      <c r="E279" s="22"/>
      <c r="F279" s="22"/>
      <c r="G279" s="23"/>
      <c r="H279" s="20"/>
      <c r="I279" s="20"/>
      <c r="J279" s="22"/>
      <c r="K279" s="22"/>
      <c r="L279" s="22"/>
      <c r="M279" s="22"/>
      <c r="N279" s="22"/>
    </row>
    <row r="280" ht="22.5" customHeight="1">
      <c r="A280" s="20"/>
      <c r="B280" s="21"/>
      <c r="C280" s="21"/>
      <c r="D280" s="22"/>
      <c r="E280" s="22"/>
      <c r="F280" s="22"/>
      <c r="G280" s="23"/>
      <c r="H280" s="20"/>
      <c r="I280" s="20"/>
      <c r="J280" s="22"/>
      <c r="K280" s="22"/>
      <c r="L280" s="22"/>
      <c r="M280" s="22"/>
      <c r="N280" s="22"/>
    </row>
    <row r="281" ht="22.5" customHeight="1">
      <c r="A281" s="20"/>
      <c r="B281" s="21"/>
      <c r="C281" s="21"/>
      <c r="D281" s="22"/>
      <c r="E281" s="22"/>
      <c r="F281" s="22"/>
      <c r="G281" s="23"/>
      <c r="H281" s="20"/>
      <c r="I281" s="20"/>
      <c r="J281" s="22"/>
      <c r="K281" s="22"/>
      <c r="L281" s="22"/>
      <c r="M281" s="22"/>
      <c r="N281" s="22"/>
    </row>
    <row r="282" ht="22.5" customHeight="1">
      <c r="A282" s="20"/>
      <c r="B282" s="21"/>
      <c r="C282" s="21"/>
      <c r="D282" s="22"/>
      <c r="E282" s="22"/>
      <c r="F282" s="22"/>
      <c r="G282" s="23"/>
      <c r="H282" s="20"/>
      <c r="I282" s="20"/>
      <c r="J282" s="22"/>
      <c r="K282" s="22"/>
      <c r="L282" s="22"/>
      <c r="M282" s="22"/>
      <c r="N282" s="22"/>
    </row>
    <row r="283" ht="22.5" customHeight="1">
      <c r="A283" s="20"/>
      <c r="B283" s="21"/>
      <c r="C283" s="21"/>
      <c r="D283" s="22"/>
      <c r="E283" s="22"/>
      <c r="F283" s="22"/>
      <c r="G283" s="23"/>
      <c r="H283" s="20"/>
      <c r="I283" s="20"/>
      <c r="J283" s="22"/>
      <c r="K283" s="22"/>
      <c r="L283" s="22"/>
      <c r="M283" s="22"/>
      <c r="N283" s="22"/>
    </row>
    <row r="284" ht="22.5" customHeight="1">
      <c r="A284" s="20"/>
      <c r="B284" s="21"/>
      <c r="C284" s="21"/>
      <c r="D284" s="22"/>
      <c r="E284" s="22"/>
      <c r="F284" s="22"/>
      <c r="G284" s="23"/>
      <c r="H284" s="20"/>
      <c r="I284" s="20"/>
      <c r="J284" s="22"/>
      <c r="K284" s="22"/>
      <c r="L284" s="22"/>
      <c r="M284" s="22"/>
      <c r="N284" s="22"/>
    </row>
    <row r="285" ht="22.5" customHeight="1">
      <c r="A285" s="20"/>
      <c r="B285" s="21"/>
      <c r="C285" s="21"/>
      <c r="D285" s="22"/>
      <c r="E285" s="22"/>
      <c r="F285" s="22"/>
      <c r="G285" s="23"/>
      <c r="H285" s="20"/>
      <c r="I285" s="20"/>
      <c r="J285" s="22"/>
      <c r="K285" s="22"/>
      <c r="L285" s="22"/>
      <c r="M285" s="22"/>
      <c r="N285" s="22"/>
    </row>
    <row r="286" ht="22.5" customHeight="1">
      <c r="A286" s="20"/>
      <c r="B286" s="21"/>
      <c r="C286" s="21"/>
      <c r="D286" s="22"/>
      <c r="E286" s="22"/>
      <c r="F286" s="22"/>
      <c r="G286" s="23"/>
      <c r="H286" s="20"/>
      <c r="I286" s="20"/>
      <c r="J286" s="22"/>
      <c r="K286" s="22"/>
      <c r="L286" s="22"/>
      <c r="M286" s="22"/>
      <c r="N286" s="22"/>
    </row>
    <row r="287" ht="22.5" customHeight="1">
      <c r="A287" s="20"/>
      <c r="B287" s="21"/>
      <c r="C287" s="21"/>
      <c r="D287" s="22"/>
      <c r="E287" s="22"/>
      <c r="F287" s="22"/>
      <c r="G287" s="23"/>
      <c r="H287" s="20"/>
      <c r="I287" s="20"/>
      <c r="J287" s="22"/>
      <c r="K287" s="22"/>
      <c r="L287" s="22"/>
      <c r="M287" s="22"/>
      <c r="N287" s="22"/>
    </row>
    <row r="288" ht="22.5" customHeight="1">
      <c r="A288" s="20"/>
      <c r="B288" s="21"/>
      <c r="C288" s="21"/>
      <c r="D288" s="22"/>
      <c r="E288" s="22"/>
      <c r="F288" s="22"/>
      <c r="G288" s="23"/>
      <c r="H288" s="20"/>
      <c r="I288" s="20"/>
      <c r="J288" s="22"/>
      <c r="K288" s="22"/>
      <c r="L288" s="22"/>
      <c r="M288" s="22"/>
      <c r="N288" s="22"/>
    </row>
    <row r="289" ht="22.5" customHeight="1">
      <c r="A289" s="20"/>
      <c r="B289" s="21"/>
      <c r="C289" s="21"/>
      <c r="D289" s="22"/>
      <c r="E289" s="22"/>
      <c r="F289" s="22"/>
      <c r="G289" s="23"/>
      <c r="H289" s="20"/>
      <c r="I289" s="20"/>
      <c r="J289" s="22"/>
      <c r="K289" s="22"/>
      <c r="L289" s="22"/>
      <c r="M289" s="22"/>
      <c r="N289" s="22"/>
    </row>
    <row r="290" ht="22.5" customHeight="1">
      <c r="A290" s="20"/>
      <c r="B290" s="21"/>
      <c r="C290" s="21"/>
      <c r="D290" s="22"/>
      <c r="E290" s="22"/>
      <c r="F290" s="22"/>
      <c r="G290" s="23"/>
      <c r="H290" s="20"/>
      <c r="I290" s="20"/>
      <c r="J290" s="22"/>
      <c r="K290" s="22"/>
      <c r="L290" s="22"/>
      <c r="M290" s="22"/>
      <c r="N290" s="22"/>
    </row>
    <row r="291" ht="22.5" customHeight="1">
      <c r="A291" s="20"/>
      <c r="B291" s="21"/>
      <c r="C291" s="21"/>
      <c r="D291" s="22"/>
      <c r="E291" s="22"/>
      <c r="F291" s="22"/>
      <c r="G291" s="23"/>
      <c r="H291" s="20"/>
      <c r="I291" s="20"/>
      <c r="J291" s="22"/>
      <c r="K291" s="22"/>
      <c r="L291" s="22"/>
      <c r="M291" s="22"/>
      <c r="N291" s="22"/>
    </row>
    <row r="292" ht="22.5" customHeight="1">
      <c r="A292" s="20"/>
      <c r="B292" s="21"/>
      <c r="C292" s="21"/>
      <c r="D292" s="22"/>
      <c r="E292" s="22"/>
      <c r="F292" s="22"/>
      <c r="G292" s="23"/>
      <c r="H292" s="20"/>
      <c r="I292" s="20"/>
      <c r="J292" s="22"/>
      <c r="K292" s="22"/>
      <c r="L292" s="22"/>
      <c r="M292" s="22"/>
      <c r="N292" s="22"/>
    </row>
    <row r="293" ht="22.5" customHeight="1">
      <c r="A293" s="20"/>
      <c r="B293" s="21"/>
      <c r="C293" s="21"/>
      <c r="D293" s="22"/>
      <c r="E293" s="22"/>
      <c r="F293" s="22"/>
      <c r="G293" s="23"/>
      <c r="H293" s="20"/>
      <c r="I293" s="20"/>
      <c r="J293" s="22"/>
      <c r="K293" s="22"/>
      <c r="L293" s="22"/>
      <c r="M293" s="22"/>
      <c r="N293" s="22"/>
    </row>
    <row r="294" ht="22.5" customHeight="1">
      <c r="A294" s="20"/>
      <c r="B294" s="21"/>
      <c r="C294" s="21"/>
      <c r="D294" s="22"/>
      <c r="E294" s="22"/>
      <c r="F294" s="22"/>
      <c r="G294" s="23"/>
      <c r="H294" s="20"/>
      <c r="I294" s="20"/>
      <c r="J294" s="22"/>
      <c r="K294" s="22"/>
      <c r="L294" s="22"/>
      <c r="M294" s="22"/>
      <c r="N294" s="22"/>
    </row>
    <row r="295" ht="22.5" customHeight="1">
      <c r="A295" s="20"/>
      <c r="B295" s="21"/>
      <c r="C295" s="21"/>
      <c r="D295" s="22"/>
      <c r="E295" s="22"/>
      <c r="F295" s="22"/>
      <c r="G295" s="23"/>
      <c r="H295" s="20"/>
      <c r="I295" s="20"/>
      <c r="J295" s="22"/>
      <c r="K295" s="22"/>
      <c r="L295" s="22"/>
      <c r="M295" s="22"/>
      <c r="N295" s="22"/>
    </row>
    <row r="296" ht="22.5" customHeight="1">
      <c r="A296" s="20"/>
      <c r="B296" s="21"/>
      <c r="C296" s="21"/>
      <c r="D296" s="22"/>
      <c r="E296" s="22"/>
      <c r="F296" s="22"/>
      <c r="G296" s="23"/>
      <c r="H296" s="20"/>
      <c r="I296" s="20"/>
      <c r="J296" s="22"/>
      <c r="K296" s="22"/>
      <c r="L296" s="22"/>
      <c r="M296" s="22"/>
      <c r="N296" s="22"/>
    </row>
    <row r="297" ht="22.5" customHeight="1">
      <c r="A297" s="20"/>
      <c r="B297" s="21"/>
      <c r="C297" s="21"/>
      <c r="D297" s="22"/>
      <c r="E297" s="22"/>
      <c r="F297" s="22"/>
      <c r="G297" s="23"/>
      <c r="H297" s="20"/>
      <c r="I297" s="20"/>
      <c r="J297" s="22"/>
      <c r="K297" s="22"/>
      <c r="L297" s="22"/>
      <c r="M297" s="22"/>
      <c r="N297" s="22"/>
    </row>
    <row r="298" ht="22.5" customHeight="1">
      <c r="A298" s="20"/>
      <c r="B298" s="21"/>
      <c r="C298" s="21"/>
      <c r="D298" s="22"/>
      <c r="E298" s="22"/>
      <c r="F298" s="22"/>
      <c r="G298" s="23"/>
      <c r="H298" s="20"/>
      <c r="I298" s="20"/>
      <c r="J298" s="22"/>
      <c r="K298" s="22"/>
      <c r="L298" s="22"/>
      <c r="M298" s="22"/>
      <c r="N298" s="22"/>
    </row>
    <row r="299" ht="22.5" customHeight="1">
      <c r="A299" s="20"/>
      <c r="B299" s="21"/>
      <c r="C299" s="21"/>
      <c r="D299" s="22"/>
      <c r="E299" s="22"/>
      <c r="F299" s="22"/>
      <c r="G299" s="23"/>
      <c r="H299" s="20"/>
      <c r="I299" s="20"/>
      <c r="J299" s="22"/>
      <c r="K299" s="22"/>
      <c r="L299" s="22"/>
      <c r="M299" s="22"/>
      <c r="N299" s="22"/>
    </row>
    <row r="300" ht="22.5" customHeight="1">
      <c r="A300" s="20"/>
      <c r="B300" s="21"/>
      <c r="C300" s="21"/>
      <c r="D300" s="22"/>
      <c r="E300" s="22"/>
      <c r="F300" s="22"/>
      <c r="G300" s="23"/>
      <c r="H300" s="20"/>
      <c r="I300" s="20"/>
      <c r="J300" s="22"/>
      <c r="K300" s="22"/>
      <c r="L300" s="22"/>
      <c r="M300" s="22"/>
      <c r="N300" s="22"/>
    </row>
    <row r="301" ht="22.5" customHeight="1">
      <c r="A301" s="20"/>
      <c r="B301" s="21"/>
      <c r="C301" s="21"/>
      <c r="D301" s="22"/>
      <c r="E301" s="22"/>
      <c r="F301" s="22"/>
      <c r="G301" s="23"/>
      <c r="H301" s="20"/>
      <c r="I301" s="20"/>
      <c r="J301" s="22"/>
      <c r="K301" s="22"/>
      <c r="L301" s="22"/>
      <c r="M301" s="22"/>
      <c r="N301" s="22"/>
    </row>
    <row r="302" ht="22.5" customHeight="1">
      <c r="A302" s="20"/>
      <c r="B302" s="21"/>
      <c r="C302" s="21"/>
      <c r="D302" s="22"/>
      <c r="E302" s="22"/>
      <c r="F302" s="22"/>
      <c r="G302" s="23"/>
      <c r="H302" s="20"/>
      <c r="I302" s="20"/>
      <c r="J302" s="22"/>
      <c r="K302" s="22"/>
      <c r="L302" s="22"/>
      <c r="M302" s="22"/>
      <c r="N302" s="22"/>
    </row>
    <row r="303" ht="22.5" customHeight="1">
      <c r="A303" s="20"/>
      <c r="B303" s="21"/>
      <c r="C303" s="21"/>
      <c r="D303" s="22"/>
      <c r="E303" s="22"/>
      <c r="F303" s="22"/>
      <c r="G303" s="23"/>
      <c r="H303" s="20"/>
      <c r="I303" s="20"/>
      <c r="J303" s="22"/>
      <c r="K303" s="22"/>
      <c r="L303" s="22"/>
      <c r="M303" s="22"/>
      <c r="N303" s="22"/>
    </row>
    <row r="304" ht="22.5" customHeight="1">
      <c r="A304" s="20"/>
      <c r="B304" s="21"/>
      <c r="C304" s="21"/>
      <c r="D304" s="22"/>
      <c r="E304" s="22"/>
      <c r="F304" s="22"/>
      <c r="G304" s="23"/>
      <c r="H304" s="20"/>
      <c r="I304" s="20"/>
      <c r="J304" s="22"/>
      <c r="K304" s="22"/>
      <c r="L304" s="22"/>
      <c r="M304" s="22"/>
      <c r="N304" s="22"/>
    </row>
    <row r="305" ht="22.5" customHeight="1">
      <c r="A305" s="20"/>
      <c r="B305" s="21"/>
      <c r="C305" s="21"/>
      <c r="D305" s="22"/>
      <c r="E305" s="22"/>
      <c r="F305" s="22"/>
      <c r="G305" s="23"/>
      <c r="H305" s="20"/>
      <c r="I305" s="20"/>
      <c r="J305" s="22"/>
      <c r="K305" s="22"/>
      <c r="L305" s="22"/>
      <c r="M305" s="22"/>
      <c r="N305" s="22"/>
    </row>
    <row r="306" ht="22.5" customHeight="1">
      <c r="A306" s="20"/>
      <c r="B306" s="21"/>
      <c r="C306" s="21"/>
      <c r="D306" s="22"/>
      <c r="E306" s="22"/>
      <c r="F306" s="22"/>
      <c r="G306" s="23"/>
      <c r="H306" s="20"/>
      <c r="I306" s="20"/>
      <c r="J306" s="22"/>
      <c r="K306" s="22"/>
      <c r="L306" s="22"/>
      <c r="M306" s="22"/>
      <c r="N306" s="22"/>
    </row>
    <row r="307" ht="22.5" customHeight="1">
      <c r="A307" s="20"/>
      <c r="B307" s="21"/>
      <c r="C307" s="21"/>
      <c r="D307" s="22"/>
      <c r="E307" s="22"/>
      <c r="F307" s="22"/>
      <c r="G307" s="23"/>
      <c r="H307" s="20"/>
      <c r="I307" s="20"/>
      <c r="J307" s="22"/>
      <c r="K307" s="22"/>
      <c r="L307" s="22"/>
      <c r="M307" s="22"/>
      <c r="N307" s="22"/>
    </row>
    <row r="308" ht="22.5" customHeight="1">
      <c r="A308" s="20"/>
      <c r="B308" s="21"/>
      <c r="C308" s="21"/>
      <c r="D308" s="22"/>
      <c r="E308" s="22"/>
      <c r="F308" s="22"/>
      <c r="G308" s="23"/>
      <c r="H308" s="20"/>
      <c r="I308" s="20"/>
      <c r="J308" s="22"/>
      <c r="K308" s="22"/>
      <c r="L308" s="22"/>
      <c r="M308" s="22"/>
      <c r="N308" s="22"/>
    </row>
    <row r="309" ht="22.5" customHeight="1">
      <c r="A309" s="20"/>
      <c r="B309" s="21"/>
      <c r="C309" s="21"/>
      <c r="D309" s="22"/>
      <c r="E309" s="22"/>
      <c r="F309" s="22"/>
      <c r="G309" s="23"/>
      <c r="H309" s="20"/>
      <c r="I309" s="20"/>
      <c r="J309" s="22"/>
      <c r="K309" s="22"/>
      <c r="L309" s="22"/>
      <c r="M309" s="22"/>
      <c r="N309" s="22"/>
    </row>
    <row r="310" ht="22.5" customHeight="1">
      <c r="A310" s="20"/>
      <c r="B310" s="21"/>
      <c r="C310" s="21"/>
      <c r="D310" s="22"/>
      <c r="E310" s="22"/>
      <c r="F310" s="22"/>
      <c r="G310" s="23"/>
      <c r="H310" s="20"/>
      <c r="I310" s="20"/>
      <c r="J310" s="22"/>
      <c r="K310" s="22"/>
      <c r="L310" s="22"/>
      <c r="M310" s="22"/>
      <c r="N310" s="22"/>
    </row>
    <row r="311" ht="22.5" customHeight="1">
      <c r="A311" s="20"/>
      <c r="B311" s="21"/>
      <c r="C311" s="21"/>
      <c r="D311" s="22"/>
      <c r="E311" s="22"/>
      <c r="F311" s="22"/>
      <c r="G311" s="23"/>
      <c r="H311" s="20"/>
      <c r="I311" s="20"/>
      <c r="J311" s="22"/>
      <c r="K311" s="22"/>
      <c r="L311" s="22"/>
      <c r="M311" s="22"/>
      <c r="N311" s="22"/>
    </row>
    <row r="312" ht="22.5" customHeight="1">
      <c r="A312" s="20"/>
      <c r="B312" s="21"/>
      <c r="C312" s="21"/>
      <c r="D312" s="22"/>
      <c r="E312" s="22"/>
      <c r="F312" s="22"/>
      <c r="G312" s="23"/>
      <c r="H312" s="20"/>
      <c r="I312" s="20"/>
      <c r="J312" s="22"/>
      <c r="K312" s="22"/>
      <c r="L312" s="22"/>
      <c r="M312" s="22"/>
      <c r="N312" s="22"/>
    </row>
    <row r="313" ht="22.5" customHeight="1">
      <c r="A313" s="20"/>
      <c r="B313" s="21"/>
      <c r="C313" s="21"/>
      <c r="D313" s="22"/>
      <c r="E313" s="22"/>
      <c r="F313" s="22"/>
      <c r="G313" s="23"/>
      <c r="H313" s="20"/>
      <c r="I313" s="20"/>
      <c r="J313" s="22"/>
      <c r="K313" s="22"/>
      <c r="L313" s="22"/>
      <c r="M313" s="22"/>
      <c r="N313" s="22"/>
    </row>
    <row r="314" ht="22.5" customHeight="1">
      <c r="A314" s="20"/>
      <c r="B314" s="21"/>
      <c r="C314" s="21"/>
      <c r="D314" s="22"/>
      <c r="E314" s="22"/>
      <c r="F314" s="22"/>
      <c r="G314" s="23"/>
      <c r="H314" s="20"/>
      <c r="I314" s="20"/>
      <c r="J314" s="22"/>
      <c r="K314" s="22"/>
      <c r="L314" s="22"/>
      <c r="M314" s="22"/>
      <c r="N314" s="22"/>
    </row>
    <row r="315" ht="22.5" customHeight="1">
      <c r="A315" s="20"/>
      <c r="B315" s="21"/>
      <c r="C315" s="21"/>
      <c r="D315" s="22"/>
      <c r="E315" s="22"/>
      <c r="F315" s="22"/>
      <c r="G315" s="23"/>
      <c r="H315" s="20"/>
      <c r="I315" s="20"/>
      <c r="J315" s="22"/>
      <c r="K315" s="22"/>
      <c r="L315" s="22"/>
      <c r="M315" s="22"/>
      <c r="N315" s="22"/>
    </row>
    <row r="316" ht="22.5" customHeight="1">
      <c r="A316" s="20"/>
      <c r="B316" s="21"/>
      <c r="C316" s="21"/>
      <c r="D316" s="22"/>
      <c r="E316" s="22"/>
      <c r="F316" s="22"/>
      <c r="G316" s="23"/>
      <c r="H316" s="20"/>
      <c r="I316" s="20"/>
      <c r="J316" s="22"/>
      <c r="K316" s="22"/>
      <c r="L316" s="22"/>
      <c r="M316" s="22"/>
      <c r="N316" s="22"/>
    </row>
    <row r="317" ht="22.5" customHeight="1">
      <c r="A317" s="20"/>
      <c r="B317" s="21"/>
      <c r="C317" s="21"/>
      <c r="D317" s="22"/>
      <c r="E317" s="22"/>
      <c r="F317" s="22"/>
      <c r="G317" s="23"/>
      <c r="H317" s="20"/>
      <c r="I317" s="20"/>
      <c r="J317" s="22"/>
      <c r="K317" s="22"/>
      <c r="L317" s="22"/>
      <c r="M317" s="22"/>
      <c r="N317" s="22"/>
    </row>
    <row r="318" ht="22.5" customHeight="1">
      <c r="A318" s="20"/>
      <c r="B318" s="21"/>
      <c r="C318" s="21"/>
      <c r="D318" s="22"/>
      <c r="E318" s="22"/>
      <c r="F318" s="22"/>
      <c r="G318" s="23"/>
      <c r="H318" s="20"/>
      <c r="I318" s="20"/>
      <c r="J318" s="22"/>
      <c r="K318" s="22"/>
      <c r="L318" s="22"/>
      <c r="M318" s="22"/>
      <c r="N318" s="22"/>
    </row>
    <row r="319" ht="22.5" customHeight="1">
      <c r="A319" s="20"/>
      <c r="B319" s="21"/>
      <c r="C319" s="21"/>
      <c r="D319" s="22"/>
      <c r="E319" s="22"/>
      <c r="F319" s="22"/>
      <c r="G319" s="23"/>
      <c r="H319" s="20"/>
      <c r="I319" s="20"/>
      <c r="J319" s="22"/>
      <c r="K319" s="22"/>
      <c r="L319" s="22"/>
      <c r="M319" s="22"/>
      <c r="N319" s="22"/>
    </row>
    <row r="320" ht="22.5" customHeight="1">
      <c r="A320" s="20"/>
      <c r="B320" s="21"/>
      <c r="C320" s="21"/>
      <c r="D320" s="22"/>
      <c r="E320" s="22"/>
      <c r="F320" s="22"/>
      <c r="G320" s="23"/>
      <c r="H320" s="20"/>
      <c r="I320" s="20"/>
      <c r="J320" s="22"/>
      <c r="K320" s="22"/>
      <c r="L320" s="22"/>
      <c r="M320" s="22"/>
      <c r="N320" s="22"/>
    </row>
    <row r="321" ht="22.5" customHeight="1">
      <c r="A321" s="20"/>
      <c r="B321" s="21"/>
      <c r="C321" s="21"/>
      <c r="D321" s="22"/>
      <c r="E321" s="22"/>
      <c r="F321" s="22"/>
      <c r="G321" s="23"/>
      <c r="H321" s="20"/>
      <c r="I321" s="20"/>
      <c r="J321" s="22"/>
      <c r="K321" s="22"/>
      <c r="L321" s="22"/>
      <c r="M321" s="22"/>
      <c r="N321" s="22"/>
    </row>
    <row r="322" ht="22.5" customHeight="1">
      <c r="A322" s="20"/>
      <c r="B322" s="21"/>
      <c r="C322" s="21"/>
      <c r="D322" s="22"/>
      <c r="E322" s="22"/>
      <c r="F322" s="22"/>
      <c r="G322" s="23"/>
      <c r="H322" s="20"/>
      <c r="I322" s="20"/>
      <c r="J322" s="22"/>
      <c r="K322" s="22"/>
      <c r="L322" s="22"/>
      <c r="M322" s="22"/>
      <c r="N322" s="22"/>
    </row>
    <row r="323" ht="22.5" customHeight="1">
      <c r="A323" s="20"/>
      <c r="B323" s="21"/>
      <c r="C323" s="21"/>
      <c r="D323" s="22"/>
      <c r="E323" s="22"/>
      <c r="F323" s="22"/>
      <c r="G323" s="23"/>
      <c r="H323" s="20"/>
      <c r="I323" s="20"/>
      <c r="J323" s="22"/>
      <c r="K323" s="22"/>
      <c r="L323" s="22"/>
      <c r="M323" s="22"/>
      <c r="N323" s="22"/>
    </row>
    <row r="324" ht="22.5" customHeight="1">
      <c r="A324" s="20"/>
      <c r="B324" s="21"/>
      <c r="C324" s="21"/>
      <c r="D324" s="22"/>
      <c r="E324" s="22"/>
      <c r="F324" s="22"/>
      <c r="G324" s="23"/>
      <c r="H324" s="20"/>
      <c r="I324" s="20"/>
      <c r="J324" s="22"/>
      <c r="K324" s="22"/>
      <c r="L324" s="22"/>
      <c r="M324" s="22"/>
      <c r="N324" s="22"/>
    </row>
    <row r="325" ht="22.5" customHeight="1">
      <c r="A325" s="20"/>
      <c r="B325" s="21"/>
      <c r="C325" s="21"/>
      <c r="D325" s="22"/>
      <c r="E325" s="22"/>
      <c r="F325" s="22"/>
      <c r="G325" s="23"/>
      <c r="H325" s="20"/>
      <c r="I325" s="20"/>
      <c r="J325" s="22"/>
      <c r="K325" s="22"/>
      <c r="L325" s="22"/>
      <c r="M325" s="22"/>
      <c r="N325" s="22"/>
    </row>
    <row r="326" ht="22.5" customHeight="1">
      <c r="A326" s="20"/>
      <c r="B326" s="21"/>
      <c r="C326" s="21"/>
      <c r="D326" s="22"/>
      <c r="E326" s="22"/>
      <c r="F326" s="22"/>
      <c r="G326" s="23"/>
      <c r="H326" s="20"/>
      <c r="I326" s="20"/>
      <c r="J326" s="22"/>
      <c r="K326" s="22"/>
      <c r="L326" s="22"/>
      <c r="M326" s="22"/>
      <c r="N326" s="22"/>
    </row>
    <row r="327" ht="22.5" customHeight="1">
      <c r="A327" s="20"/>
      <c r="B327" s="21"/>
      <c r="C327" s="21"/>
      <c r="D327" s="22"/>
      <c r="E327" s="22"/>
      <c r="F327" s="22"/>
      <c r="G327" s="23"/>
      <c r="H327" s="20"/>
      <c r="I327" s="20"/>
      <c r="J327" s="22"/>
      <c r="K327" s="22"/>
      <c r="L327" s="22"/>
      <c r="M327" s="22"/>
      <c r="N327" s="22"/>
    </row>
    <row r="328" ht="22.5" customHeight="1">
      <c r="A328" s="20"/>
      <c r="B328" s="21"/>
      <c r="C328" s="21"/>
      <c r="D328" s="22"/>
      <c r="E328" s="22"/>
      <c r="F328" s="22"/>
      <c r="G328" s="23"/>
      <c r="H328" s="20"/>
      <c r="I328" s="20"/>
      <c r="J328" s="22"/>
      <c r="K328" s="22"/>
      <c r="L328" s="22"/>
      <c r="M328" s="22"/>
      <c r="N328" s="22"/>
    </row>
    <row r="329" ht="22.5" customHeight="1">
      <c r="A329" s="20"/>
      <c r="B329" s="21"/>
      <c r="C329" s="21"/>
      <c r="D329" s="22"/>
      <c r="E329" s="22"/>
      <c r="F329" s="22"/>
      <c r="G329" s="23"/>
      <c r="H329" s="20"/>
      <c r="I329" s="20"/>
      <c r="J329" s="22"/>
      <c r="K329" s="22"/>
      <c r="L329" s="22"/>
      <c r="M329" s="22"/>
      <c r="N329" s="22"/>
    </row>
    <row r="330" ht="22.5" customHeight="1">
      <c r="A330" s="20"/>
      <c r="B330" s="21"/>
      <c r="C330" s="21"/>
      <c r="D330" s="22"/>
      <c r="E330" s="22"/>
      <c r="F330" s="22"/>
      <c r="G330" s="23"/>
      <c r="H330" s="20"/>
      <c r="I330" s="20"/>
      <c r="J330" s="22"/>
      <c r="K330" s="22"/>
      <c r="L330" s="22"/>
      <c r="M330" s="22"/>
      <c r="N330" s="22"/>
    </row>
    <row r="331" ht="22.5" customHeight="1">
      <c r="A331" s="20"/>
      <c r="B331" s="21"/>
      <c r="C331" s="21"/>
      <c r="D331" s="22"/>
      <c r="E331" s="22"/>
      <c r="F331" s="22"/>
      <c r="G331" s="23"/>
      <c r="H331" s="20"/>
      <c r="I331" s="20"/>
      <c r="J331" s="22"/>
      <c r="K331" s="22"/>
      <c r="L331" s="22"/>
      <c r="M331" s="22"/>
      <c r="N331" s="22"/>
    </row>
    <row r="332" ht="22.5" customHeight="1">
      <c r="A332" s="20"/>
      <c r="B332" s="21"/>
      <c r="C332" s="21"/>
      <c r="D332" s="22"/>
      <c r="E332" s="22"/>
      <c r="F332" s="22"/>
      <c r="G332" s="23"/>
      <c r="H332" s="20"/>
      <c r="I332" s="20"/>
      <c r="J332" s="22"/>
      <c r="K332" s="22"/>
      <c r="L332" s="22"/>
      <c r="M332" s="22"/>
      <c r="N332" s="22"/>
    </row>
    <row r="333" ht="22.5" customHeight="1">
      <c r="A333" s="20"/>
      <c r="B333" s="21"/>
      <c r="C333" s="21"/>
      <c r="D333" s="22"/>
      <c r="E333" s="22"/>
      <c r="F333" s="22"/>
      <c r="G333" s="23"/>
      <c r="H333" s="20"/>
      <c r="I333" s="20"/>
      <c r="J333" s="22"/>
      <c r="K333" s="22"/>
      <c r="L333" s="22"/>
      <c r="M333" s="22"/>
      <c r="N333" s="22"/>
    </row>
    <row r="334" ht="22.5" customHeight="1">
      <c r="A334" s="20"/>
      <c r="B334" s="21"/>
      <c r="C334" s="21"/>
      <c r="D334" s="22"/>
      <c r="E334" s="22"/>
      <c r="F334" s="22"/>
      <c r="G334" s="23"/>
      <c r="H334" s="20"/>
      <c r="I334" s="20"/>
      <c r="J334" s="22"/>
      <c r="K334" s="22"/>
      <c r="L334" s="22"/>
      <c r="M334" s="22"/>
      <c r="N334" s="22"/>
    </row>
    <row r="335" ht="22.5" customHeight="1">
      <c r="A335" s="20"/>
      <c r="B335" s="21"/>
      <c r="C335" s="21"/>
      <c r="D335" s="22"/>
      <c r="E335" s="22"/>
      <c r="F335" s="22"/>
      <c r="G335" s="23"/>
      <c r="H335" s="20"/>
      <c r="I335" s="20"/>
      <c r="J335" s="22"/>
      <c r="K335" s="22"/>
      <c r="L335" s="22"/>
      <c r="M335" s="22"/>
      <c r="N335" s="22"/>
    </row>
    <row r="336" ht="22.5" customHeight="1">
      <c r="A336" s="20"/>
      <c r="B336" s="21"/>
      <c r="C336" s="21"/>
      <c r="D336" s="22"/>
      <c r="E336" s="22"/>
      <c r="F336" s="22"/>
      <c r="G336" s="23"/>
      <c r="H336" s="20"/>
      <c r="I336" s="20"/>
      <c r="J336" s="22"/>
      <c r="K336" s="22"/>
      <c r="L336" s="22"/>
      <c r="M336" s="22"/>
      <c r="N336" s="22"/>
    </row>
    <row r="337" ht="22.5" customHeight="1">
      <c r="A337" s="20"/>
      <c r="B337" s="21"/>
      <c r="C337" s="21"/>
      <c r="D337" s="22"/>
      <c r="E337" s="22"/>
      <c r="F337" s="22"/>
      <c r="G337" s="23"/>
      <c r="H337" s="20"/>
      <c r="I337" s="20"/>
      <c r="J337" s="22"/>
      <c r="K337" s="22"/>
      <c r="L337" s="22"/>
      <c r="M337" s="22"/>
      <c r="N337" s="22"/>
    </row>
    <row r="338" ht="22.5" customHeight="1">
      <c r="A338" s="20"/>
      <c r="B338" s="21"/>
      <c r="C338" s="21"/>
      <c r="D338" s="22"/>
      <c r="E338" s="22"/>
      <c r="F338" s="22"/>
      <c r="G338" s="23"/>
      <c r="H338" s="20"/>
      <c r="I338" s="20"/>
      <c r="J338" s="22"/>
      <c r="K338" s="22"/>
      <c r="L338" s="22"/>
      <c r="M338" s="22"/>
      <c r="N338" s="22"/>
    </row>
    <row r="339" ht="22.5" customHeight="1">
      <c r="A339" s="20"/>
      <c r="B339" s="21"/>
      <c r="C339" s="21"/>
      <c r="D339" s="22"/>
      <c r="E339" s="22"/>
      <c r="F339" s="22"/>
      <c r="G339" s="23"/>
      <c r="H339" s="20"/>
      <c r="I339" s="20"/>
      <c r="J339" s="22"/>
      <c r="K339" s="22"/>
      <c r="L339" s="22"/>
      <c r="M339" s="22"/>
      <c r="N339" s="22"/>
    </row>
    <row r="340" ht="22.5" customHeight="1">
      <c r="A340" s="20"/>
      <c r="B340" s="21"/>
      <c r="C340" s="21"/>
      <c r="D340" s="22"/>
      <c r="E340" s="22"/>
      <c r="F340" s="22"/>
      <c r="G340" s="23"/>
      <c r="H340" s="20"/>
      <c r="I340" s="20"/>
      <c r="J340" s="22"/>
      <c r="K340" s="22"/>
      <c r="L340" s="22"/>
      <c r="M340" s="22"/>
      <c r="N340" s="22"/>
    </row>
    <row r="341" ht="22.5" customHeight="1">
      <c r="A341" s="20"/>
      <c r="B341" s="21"/>
      <c r="C341" s="21"/>
      <c r="D341" s="22"/>
      <c r="E341" s="22"/>
      <c r="F341" s="22"/>
      <c r="G341" s="23"/>
      <c r="H341" s="20"/>
      <c r="I341" s="20"/>
      <c r="J341" s="22"/>
      <c r="K341" s="22"/>
      <c r="L341" s="22"/>
      <c r="M341" s="22"/>
      <c r="N341" s="22"/>
    </row>
    <row r="342" ht="22.5" customHeight="1">
      <c r="A342" s="20"/>
      <c r="B342" s="21"/>
      <c r="C342" s="21"/>
      <c r="D342" s="22"/>
      <c r="E342" s="22"/>
      <c r="F342" s="22"/>
      <c r="G342" s="23"/>
      <c r="H342" s="20"/>
      <c r="I342" s="20"/>
      <c r="J342" s="22"/>
      <c r="K342" s="22"/>
      <c r="L342" s="22"/>
      <c r="M342" s="22"/>
      <c r="N342" s="22"/>
    </row>
    <row r="343" ht="22.5" customHeight="1">
      <c r="A343" s="20"/>
      <c r="B343" s="21"/>
      <c r="C343" s="21"/>
      <c r="D343" s="22"/>
      <c r="E343" s="22"/>
      <c r="F343" s="22"/>
      <c r="G343" s="23"/>
      <c r="H343" s="20"/>
      <c r="I343" s="20"/>
      <c r="J343" s="22"/>
      <c r="K343" s="22"/>
      <c r="L343" s="22"/>
      <c r="M343" s="22"/>
      <c r="N343" s="22"/>
    </row>
    <row r="344" ht="22.5" customHeight="1">
      <c r="A344" s="20"/>
      <c r="B344" s="21"/>
      <c r="C344" s="21"/>
      <c r="D344" s="22"/>
      <c r="E344" s="22"/>
      <c r="F344" s="22"/>
      <c r="G344" s="23"/>
      <c r="H344" s="20"/>
      <c r="I344" s="20"/>
      <c r="J344" s="22"/>
      <c r="K344" s="22"/>
      <c r="L344" s="22"/>
      <c r="M344" s="22"/>
      <c r="N344" s="22"/>
    </row>
    <row r="345" ht="22.5" customHeight="1">
      <c r="A345" s="20"/>
      <c r="B345" s="21"/>
      <c r="C345" s="21"/>
      <c r="D345" s="22"/>
      <c r="E345" s="22"/>
      <c r="F345" s="22"/>
      <c r="G345" s="23"/>
      <c r="H345" s="20"/>
      <c r="I345" s="20"/>
      <c r="J345" s="22"/>
      <c r="K345" s="22"/>
      <c r="L345" s="22"/>
      <c r="M345" s="22"/>
      <c r="N345" s="22"/>
    </row>
    <row r="346" ht="22.5" customHeight="1">
      <c r="A346" s="20"/>
      <c r="B346" s="21"/>
      <c r="C346" s="21"/>
      <c r="D346" s="22"/>
      <c r="E346" s="22"/>
      <c r="F346" s="22"/>
      <c r="G346" s="23"/>
      <c r="H346" s="20"/>
      <c r="I346" s="20"/>
      <c r="J346" s="22"/>
      <c r="K346" s="22"/>
      <c r="L346" s="22"/>
      <c r="M346" s="22"/>
      <c r="N346" s="22"/>
    </row>
    <row r="347" ht="22.5" customHeight="1">
      <c r="A347" s="20"/>
      <c r="B347" s="21"/>
      <c r="C347" s="21"/>
      <c r="D347" s="22"/>
      <c r="E347" s="22"/>
      <c r="F347" s="22"/>
      <c r="G347" s="23"/>
      <c r="H347" s="20"/>
      <c r="I347" s="20"/>
      <c r="J347" s="22"/>
      <c r="K347" s="22"/>
      <c r="L347" s="22"/>
      <c r="M347" s="22"/>
      <c r="N347" s="22"/>
    </row>
    <row r="348" ht="22.5" customHeight="1">
      <c r="A348" s="20"/>
      <c r="B348" s="21"/>
      <c r="C348" s="21"/>
      <c r="D348" s="22"/>
      <c r="E348" s="22"/>
      <c r="F348" s="22"/>
      <c r="G348" s="23"/>
      <c r="H348" s="20"/>
      <c r="I348" s="20"/>
      <c r="J348" s="22"/>
      <c r="K348" s="22"/>
      <c r="L348" s="22"/>
      <c r="M348" s="22"/>
      <c r="N348" s="22"/>
    </row>
    <row r="349" ht="22.5" customHeight="1">
      <c r="A349" s="20"/>
      <c r="B349" s="21"/>
      <c r="C349" s="21"/>
      <c r="D349" s="22"/>
      <c r="E349" s="22"/>
      <c r="F349" s="22"/>
      <c r="G349" s="23"/>
      <c r="H349" s="20"/>
      <c r="I349" s="20"/>
      <c r="J349" s="22"/>
      <c r="K349" s="22"/>
      <c r="L349" s="22"/>
      <c r="M349" s="22"/>
      <c r="N349" s="22"/>
    </row>
    <row r="350" ht="22.5" customHeight="1">
      <c r="A350" s="20"/>
      <c r="B350" s="21"/>
      <c r="C350" s="21"/>
      <c r="D350" s="22"/>
      <c r="E350" s="22"/>
      <c r="F350" s="22"/>
      <c r="G350" s="23"/>
      <c r="H350" s="20"/>
      <c r="I350" s="20"/>
      <c r="J350" s="22"/>
      <c r="K350" s="22"/>
      <c r="L350" s="22"/>
      <c r="M350" s="22"/>
      <c r="N350" s="22"/>
    </row>
    <row r="351" ht="22.5" customHeight="1">
      <c r="A351" s="20"/>
      <c r="B351" s="21"/>
      <c r="C351" s="21"/>
      <c r="D351" s="22"/>
      <c r="E351" s="22"/>
      <c r="F351" s="22"/>
      <c r="G351" s="23"/>
      <c r="H351" s="20"/>
      <c r="I351" s="20"/>
      <c r="J351" s="22"/>
      <c r="K351" s="22"/>
      <c r="L351" s="22"/>
      <c r="M351" s="22"/>
      <c r="N351" s="22"/>
    </row>
    <row r="352" ht="22.5" customHeight="1">
      <c r="A352" s="20"/>
      <c r="B352" s="21"/>
      <c r="C352" s="21"/>
      <c r="D352" s="22"/>
      <c r="E352" s="22"/>
      <c r="F352" s="22"/>
      <c r="G352" s="23"/>
      <c r="H352" s="20"/>
      <c r="I352" s="20"/>
      <c r="J352" s="22"/>
      <c r="K352" s="22"/>
      <c r="L352" s="22"/>
      <c r="M352" s="22"/>
      <c r="N352" s="22"/>
    </row>
    <row r="353" ht="22.5" customHeight="1">
      <c r="A353" s="20"/>
      <c r="B353" s="21"/>
      <c r="C353" s="21"/>
      <c r="D353" s="22"/>
      <c r="E353" s="22"/>
      <c r="F353" s="22"/>
      <c r="G353" s="23"/>
      <c r="H353" s="20"/>
      <c r="I353" s="20"/>
      <c r="J353" s="22"/>
      <c r="K353" s="22"/>
      <c r="L353" s="22"/>
      <c r="M353" s="22"/>
      <c r="N353" s="22"/>
    </row>
    <row r="354" ht="22.5" customHeight="1">
      <c r="A354" s="20"/>
      <c r="B354" s="21"/>
      <c r="C354" s="21"/>
      <c r="D354" s="22"/>
      <c r="E354" s="22"/>
      <c r="F354" s="22"/>
      <c r="G354" s="23"/>
      <c r="H354" s="20"/>
      <c r="I354" s="20"/>
      <c r="J354" s="22"/>
      <c r="K354" s="22"/>
      <c r="L354" s="22"/>
      <c r="M354" s="22"/>
      <c r="N354" s="22"/>
    </row>
    <row r="355" ht="22.5" customHeight="1">
      <c r="A355" s="20"/>
      <c r="B355" s="21"/>
      <c r="C355" s="21"/>
      <c r="D355" s="22"/>
      <c r="E355" s="22"/>
      <c r="F355" s="22"/>
      <c r="G355" s="23"/>
      <c r="H355" s="20"/>
      <c r="I355" s="20"/>
      <c r="J355" s="22"/>
      <c r="K355" s="22"/>
      <c r="L355" s="22"/>
      <c r="M355" s="22"/>
      <c r="N355" s="22"/>
    </row>
    <row r="356" ht="22.5" customHeight="1">
      <c r="A356" s="20"/>
      <c r="B356" s="21"/>
      <c r="C356" s="21"/>
      <c r="D356" s="22"/>
      <c r="E356" s="22"/>
      <c r="F356" s="22"/>
      <c r="G356" s="23"/>
      <c r="H356" s="20"/>
      <c r="I356" s="20"/>
      <c r="J356" s="22"/>
      <c r="K356" s="22"/>
      <c r="L356" s="22"/>
      <c r="M356" s="22"/>
      <c r="N356" s="22"/>
    </row>
    <row r="357" ht="22.5" customHeight="1">
      <c r="A357" s="20"/>
      <c r="B357" s="21"/>
      <c r="C357" s="21"/>
      <c r="D357" s="22"/>
      <c r="E357" s="22"/>
      <c r="F357" s="22"/>
      <c r="G357" s="23"/>
      <c r="H357" s="20"/>
      <c r="I357" s="20"/>
      <c r="J357" s="22"/>
      <c r="K357" s="22"/>
      <c r="L357" s="22"/>
      <c r="M357" s="22"/>
      <c r="N357" s="22"/>
    </row>
    <row r="358" ht="22.5" customHeight="1">
      <c r="A358" s="20"/>
      <c r="B358" s="21"/>
      <c r="C358" s="21"/>
      <c r="D358" s="22"/>
      <c r="E358" s="22"/>
      <c r="F358" s="22"/>
      <c r="G358" s="23"/>
      <c r="H358" s="20"/>
      <c r="I358" s="20"/>
      <c r="J358" s="22"/>
      <c r="K358" s="22"/>
      <c r="L358" s="22"/>
      <c r="M358" s="22"/>
      <c r="N358" s="22"/>
    </row>
    <row r="359" ht="22.5" customHeight="1">
      <c r="A359" s="20"/>
      <c r="B359" s="21"/>
      <c r="C359" s="21"/>
      <c r="D359" s="22"/>
      <c r="E359" s="22"/>
      <c r="F359" s="22"/>
      <c r="G359" s="23"/>
      <c r="H359" s="20"/>
      <c r="I359" s="20"/>
      <c r="J359" s="22"/>
      <c r="K359" s="22"/>
      <c r="L359" s="22"/>
      <c r="M359" s="22"/>
      <c r="N359" s="22"/>
    </row>
    <row r="360" ht="22.5" customHeight="1">
      <c r="A360" s="20"/>
      <c r="B360" s="21"/>
      <c r="C360" s="21"/>
      <c r="D360" s="22"/>
      <c r="E360" s="22"/>
      <c r="F360" s="22"/>
      <c r="G360" s="23"/>
      <c r="H360" s="20"/>
      <c r="I360" s="20"/>
      <c r="J360" s="22"/>
      <c r="K360" s="22"/>
      <c r="L360" s="22"/>
      <c r="M360" s="22"/>
      <c r="N360" s="22"/>
    </row>
    <row r="361" ht="22.5" customHeight="1">
      <c r="A361" s="20"/>
      <c r="B361" s="21"/>
      <c r="C361" s="21"/>
      <c r="D361" s="22"/>
      <c r="E361" s="22"/>
      <c r="F361" s="22"/>
      <c r="G361" s="23"/>
      <c r="H361" s="20"/>
      <c r="I361" s="20"/>
      <c r="J361" s="22"/>
      <c r="K361" s="22"/>
      <c r="L361" s="22"/>
      <c r="M361" s="22"/>
      <c r="N361" s="22"/>
    </row>
    <row r="362" ht="22.5" customHeight="1">
      <c r="A362" s="20"/>
      <c r="B362" s="21"/>
      <c r="C362" s="21"/>
      <c r="D362" s="22"/>
      <c r="E362" s="22"/>
      <c r="F362" s="22"/>
      <c r="G362" s="23"/>
      <c r="H362" s="20"/>
      <c r="I362" s="20"/>
      <c r="J362" s="22"/>
      <c r="K362" s="22"/>
      <c r="L362" s="22"/>
      <c r="M362" s="22"/>
      <c r="N362" s="22"/>
    </row>
    <row r="363" ht="22.5" customHeight="1">
      <c r="A363" s="20"/>
      <c r="B363" s="21"/>
      <c r="C363" s="21"/>
      <c r="D363" s="22"/>
      <c r="E363" s="22"/>
      <c r="F363" s="22"/>
      <c r="G363" s="23"/>
      <c r="H363" s="20"/>
      <c r="I363" s="20"/>
      <c r="J363" s="22"/>
      <c r="K363" s="22"/>
      <c r="L363" s="22"/>
      <c r="M363" s="22"/>
      <c r="N363" s="22"/>
    </row>
    <row r="364" ht="22.5" customHeight="1">
      <c r="A364" s="20"/>
      <c r="B364" s="21"/>
      <c r="C364" s="21"/>
      <c r="D364" s="22"/>
      <c r="E364" s="22"/>
      <c r="F364" s="22"/>
      <c r="G364" s="23"/>
      <c r="H364" s="20"/>
      <c r="I364" s="20"/>
      <c r="J364" s="22"/>
      <c r="K364" s="22"/>
      <c r="L364" s="22"/>
      <c r="M364" s="22"/>
      <c r="N364" s="22"/>
    </row>
    <row r="365" ht="22.5" customHeight="1">
      <c r="A365" s="20"/>
      <c r="B365" s="21"/>
      <c r="C365" s="21"/>
      <c r="D365" s="22"/>
      <c r="E365" s="22"/>
      <c r="F365" s="22"/>
      <c r="G365" s="23"/>
      <c r="H365" s="20"/>
      <c r="I365" s="20"/>
      <c r="J365" s="22"/>
      <c r="K365" s="22"/>
      <c r="L365" s="22"/>
      <c r="M365" s="22"/>
      <c r="N365" s="22"/>
    </row>
    <row r="366" ht="22.5" customHeight="1">
      <c r="A366" s="20"/>
      <c r="B366" s="21"/>
      <c r="C366" s="21"/>
      <c r="D366" s="22"/>
      <c r="E366" s="22"/>
      <c r="F366" s="22"/>
      <c r="G366" s="23"/>
      <c r="H366" s="20"/>
      <c r="I366" s="20"/>
      <c r="J366" s="22"/>
      <c r="K366" s="22"/>
      <c r="L366" s="22"/>
      <c r="M366" s="22"/>
      <c r="N366" s="22"/>
    </row>
    <row r="367" ht="22.5" customHeight="1">
      <c r="A367" s="20"/>
      <c r="B367" s="21"/>
      <c r="C367" s="21"/>
      <c r="D367" s="22"/>
      <c r="E367" s="22"/>
      <c r="F367" s="22"/>
      <c r="G367" s="23"/>
      <c r="H367" s="20"/>
      <c r="I367" s="20"/>
      <c r="J367" s="22"/>
      <c r="K367" s="22"/>
      <c r="L367" s="22"/>
      <c r="M367" s="22"/>
      <c r="N367" s="22"/>
    </row>
    <row r="368" ht="22.5" customHeight="1">
      <c r="A368" s="20"/>
      <c r="B368" s="21"/>
      <c r="C368" s="21"/>
      <c r="D368" s="22"/>
      <c r="E368" s="22"/>
      <c r="F368" s="22"/>
      <c r="G368" s="23"/>
      <c r="H368" s="20"/>
      <c r="I368" s="20"/>
      <c r="J368" s="22"/>
      <c r="K368" s="22"/>
      <c r="L368" s="22"/>
      <c r="M368" s="22"/>
      <c r="N368" s="22"/>
    </row>
    <row r="369" ht="22.5" customHeight="1">
      <c r="A369" s="20"/>
      <c r="B369" s="21"/>
      <c r="C369" s="21"/>
      <c r="D369" s="22"/>
      <c r="E369" s="22"/>
      <c r="F369" s="22"/>
      <c r="G369" s="23"/>
      <c r="H369" s="20"/>
      <c r="I369" s="20"/>
      <c r="J369" s="22"/>
      <c r="K369" s="22"/>
      <c r="L369" s="22"/>
      <c r="M369" s="22"/>
      <c r="N369" s="22"/>
    </row>
    <row r="370" ht="22.5" customHeight="1">
      <c r="A370" s="20"/>
      <c r="B370" s="21"/>
      <c r="C370" s="21"/>
      <c r="D370" s="22"/>
      <c r="E370" s="22"/>
      <c r="F370" s="22"/>
      <c r="G370" s="23"/>
      <c r="H370" s="20"/>
      <c r="I370" s="20"/>
      <c r="J370" s="22"/>
      <c r="K370" s="22"/>
      <c r="L370" s="22"/>
      <c r="M370" s="22"/>
      <c r="N370" s="22"/>
    </row>
    <row r="371" ht="22.5" customHeight="1">
      <c r="A371" s="20"/>
      <c r="B371" s="21"/>
      <c r="C371" s="21"/>
      <c r="D371" s="22"/>
      <c r="E371" s="22"/>
      <c r="F371" s="22"/>
      <c r="G371" s="23"/>
      <c r="H371" s="20"/>
      <c r="I371" s="20"/>
      <c r="J371" s="22"/>
      <c r="K371" s="22"/>
      <c r="L371" s="22"/>
      <c r="M371" s="22"/>
      <c r="N371" s="22"/>
    </row>
    <row r="372" ht="22.5" customHeight="1">
      <c r="A372" s="20"/>
      <c r="B372" s="21"/>
      <c r="C372" s="21"/>
      <c r="D372" s="22"/>
      <c r="E372" s="22"/>
      <c r="F372" s="22"/>
      <c r="G372" s="23"/>
      <c r="H372" s="20"/>
      <c r="I372" s="20"/>
      <c r="J372" s="22"/>
      <c r="K372" s="22"/>
      <c r="L372" s="22"/>
      <c r="M372" s="22"/>
      <c r="N372" s="22"/>
    </row>
    <row r="373" ht="22.5" customHeight="1">
      <c r="A373" s="20"/>
      <c r="B373" s="21"/>
      <c r="C373" s="21"/>
      <c r="D373" s="22"/>
      <c r="E373" s="22"/>
      <c r="F373" s="22"/>
      <c r="G373" s="23"/>
      <c r="H373" s="20"/>
      <c r="I373" s="20"/>
      <c r="J373" s="22"/>
      <c r="K373" s="22"/>
      <c r="L373" s="22"/>
      <c r="M373" s="22"/>
      <c r="N373" s="22"/>
    </row>
    <row r="374" ht="22.5" customHeight="1">
      <c r="A374" s="20"/>
      <c r="B374" s="21"/>
      <c r="C374" s="21"/>
      <c r="D374" s="22"/>
      <c r="E374" s="22"/>
      <c r="F374" s="22"/>
      <c r="G374" s="23"/>
      <c r="H374" s="20"/>
      <c r="I374" s="20"/>
      <c r="J374" s="22"/>
      <c r="K374" s="22"/>
      <c r="L374" s="22"/>
      <c r="M374" s="22"/>
      <c r="N374" s="22"/>
    </row>
    <row r="375" ht="22.5" customHeight="1">
      <c r="A375" s="20"/>
      <c r="B375" s="21"/>
      <c r="C375" s="21"/>
      <c r="D375" s="22"/>
      <c r="E375" s="22"/>
      <c r="F375" s="22"/>
      <c r="G375" s="23"/>
      <c r="H375" s="20"/>
      <c r="I375" s="20"/>
      <c r="J375" s="22"/>
      <c r="K375" s="22"/>
      <c r="L375" s="22"/>
      <c r="M375" s="22"/>
      <c r="N375" s="22"/>
    </row>
    <row r="376" ht="22.5" customHeight="1">
      <c r="A376" s="20"/>
      <c r="B376" s="21"/>
      <c r="C376" s="21"/>
      <c r="D376" s="22"/>
      <c r="E376" s="22"/>
      <c r="F376" s="22"/>
      <c r="G376" s="23"/>
      <c r="H376" s="20"/>
      <c r="I376" s="20"/>
      <c r="J376" s="22"/>
      <c r="K376" s="22"/>
      <c r="L376" s="22"/>
      <c r="M376" s="22"/>
      <c r="N376" s="22"/>
    </row>
    <row r="377" ht="22.5" customHeight="1">
      <c r="A377" s="20"/>
      <c r="B377" s="21"/>
      <c r="C377" s="21"/>
      <c r="D377" s="22"/>
      <c r="E377" s="22"/>
      <c r="F377" s="22"/>
      <c r="G377" s="23"/>
      <c r="H377" s="20"/>
      <c r="I377" s="20"/>
      <c r="J377" s="22"/>
      <c r="K377" s="22"/>
      <c r="L377" s="22"/>
      <c r="M377" s="22"/>
      <c r="N377" s="22"/>
    </row>
    <row r="378" ht="22.5" customHeight="1">
      <c r="A378" s="20"/>
      <c r="B378" s="21"/>
      <c r="C378" s="21"/>
      <c r="D378" s="22"/>
      <c r="E378" s="22"/>
      <c r="F378" s="22"/>
      <c r="G378" s="23"/>
      <c r="H378" s="20"/>
      <c r="I378" s="20"/>
      <c r="J378" s="22"/>
      <c r="K378" s="22"/>
      <c r="L378" s="22"/>
      <c r="M378" s="22"/>
      <c r="N378" s="22"/>
    </row>
    <row r="379" ht="22.5" customHeight="1">
      <c r="A379" s="20"/>
      <c r="B379" s="21"/>
      <c r="C379" s="21"/>
      <c r="D379" s="22"/>
      <c r="E379" s="22"/>
      <c r="F379" s="22"/>
      <c r="G379" s="23"/>
      <c r="H379" s="20"/>
      <c r="I379" s="20"/>
      <c r="J379" s="22"/>
      <c r="K379" s="22"/>
      <c r="L379" s="22"/>
      <c r="M379" s="22"/>
      <c r="N379" s="22"/>
    </row>
    <row r="380" ht="22.5" customHeight="1">
      <c r="A380" s="20"/>
      <c r="B380" s="21"/>
      <c r="C380" s="21"/>
      <c r="D380" s="22"/>
      <c r="E380" s="22"/>
      <c r="F380" s="22"/>
      <c r="G380" s="23"/>
      <c r="H380" s="20"/>
      <c r="I380" s="20"/>
      <c r="J380" s="22"/>
      <c r="K380" s="22"/>
      <c r="L380" s="22"/>
      <c r="M380" s="22"/>
      <c r="N380" s="22"/>
    </row>
    <row r="381" ht="22.5" customHeight="1">
      <c r="A381" s="20"/>
      <c r="B381" s="21"/>
      <c r="C381" s="21"/>
      <c r="D381" s="22"/>
      <c r="E381" s="22"/>
      <c r="F381" s="22"/>
      <c r="G381" s="23"/>
      <c r="H381" s="20"/>
      <c r="I381" s="20"/>
      <c r="J381" s="22"/>
      <c r="K381" s="22"/>
      <c r="L381" s="22"/>
      <c r="M381" s="22"/>
      <c r="N381" s="22"/>
    </row>
    <row r="382" ht="22.5" customHeight="1">
      <c r="A382" s="20"/>
      <c r="B382" s="21"/>
      <c r="C382" s="21"/>
      <c r="D382" s="22"/>
      <c r="E382" s="22"/>
      <c r="F382" s="22"/>
      <c r="G382" s="23"/>
      <c r="H382" s="20"/>
      <c r="I382" s="20"/>
      <c r="J382" s="22"/>
      <c r="K382" s="22"/>
      <c r="L382" s="22"/>
      <c r="M382" s="22"/>
      <c r="N382" s="22"/>
    </row>
    <row r="383" ht="22.5" customHeight="1">
      <c r="A383" s="20"/>
      <c r="B383" s="21"/>
      <c r="C383" s="21"/>
      <c r="D383" s="22"/>
      <c r="E383" s="22"/>
      <c r="F383" s="22"/>
      <c r="G383" s="23"/>
      <c r="H383" s="20"/>
      <c r="I383" s="20"/>
      <c r="J383" s="22"/>
      <c r="K383" s="22"/>
      <c r="L383" s="22"/>
      <c r="M383" s="22"/>
      <c r="N383" s="22"/>
    </row>
    <row r="384" ht="22.5" customHeight="1">
      <c r="A384" s="20"/>
      <c r="B384" s="21"/>
      <c r="C384" s="21"/>
      <c r="D384" s="22"/>
      <c r="E384" s="22"/>
      <c r="F384" s="22"/>
      <c r="G384" s="23"/>
      <c r="H384" s="20"/>
      <c r="I384" s="20"/>
      <c r="J384" s="22"/>
      <c r="K384" s="22"/>
      <c r="L384" s="22"/>
      <c r="M384" s="22"/>
      <c r="N384" s="22"/>
    </row>
    <row r="385" ht="22.5" customHeight="1">
      <c r="A385" s="20"/>
      <c r="B385" s="21"/>
      <c r="C385" s="21"/>
      <c r="D385" s="22"/>
      <c r="E385" s="22"/>
      <c r="F385" s="22"/>
      <c r="G385" s="23"/>
      <c r="H385" s="20"/>
      <c r="I385" s="20"/>
      <c r="J385" s="22"/>
      <c r="K385" s="22"/>
      <c r="L385" s="22"/>
      <c r="M385" s="22"/>
      <c r="N385" s="22"/>
    </row>
    <row r="386" ht="22.5" customHeight="1">
      <c r="A386" s="20"/>
      <c r="B386" s="21"/>
      <c r="C386" s="21"/>
      <c r="D386" s="22"/>
      <c r="E386" s="22"/>
      <c r="F386" s="22"/>
      <c r="G386" s="23"/>
      <c r="H386" s="20"/>
      <c r="I386" s="20"/>
      <c r="J386" s="22"/>
      <c r="K386" s="22"/>
      <c r="L386" s="22"/>
      <c r="M386" s="22"/>
      <c r="N386" s="22"/>
    </row>
    <row r="387" ht="22.5" customHeight="1">
      <c r="A387" s="20"/>
      <c r="B387" s="21"/>
      <c r="C387" s="21"/>
      <c r="D387" s="22"/>
      <c r="E387" s="22"/>
      <c r="F387" s="22"/>
      <c r="G387" s="23"/>
      <c r="H387" s="20"/>
      <c r="I387" s="20"/>
      <c r="J387" s="22"/>
      <c r="K387" s="22"/>
      <c r="L387" s="22"/>
      <c r="M387" s="22"/>
      <c r="N387" s="22"/>
    </row>
    <row r="388" ht="22.5" customHeight="1">
      <c r="A388" s="20"/>
      <c r="B388" s="21"/>
      <c r="C388" s="21"/>
      <c r="D388" s="22"/>
      <c r="E388" s="22"/>
      <c r="F388" s="22"/>
      <c r="G388" s="23"/>
      <c r="H388" s="20"/>
      <c r="I388" s="20"/>
      <c r="J388" s="22"/>
      <c r="K388" s="22"/>
      <c r="L388" s="22"/>
      <c r="M388" s="22"/>
      <c r="N388" s="22"/>
    </row>
    <row r="389" ht="22.5" customHeight="1">
      <c r="A389" s="20"/>
      <c r="B389" s="21"/>
      <c r="C389" s="21"/>
      <c r="D389" s="22"/>
      <c r="E389" s="22"/>
      <c r="F389" s="22"/>
      <c r="G389" s="23"/>
      <c r="H389" s="20"/>
      <c r="I389" s="20"/>
      <c r="J389" s="22"/>
      <c r="K389" s="22"/>
      <c r="L389" s="22"/>
      <c r="M389" s="22"/>
      <c r="N389" s="22"/>
    </row>
    <row r="390" ht="22.5" customHeight="1">
      <c r="A390" s="20"/>
      <c r="B390" s="21"/>
      <c r="C390" s="21"/>
      <c r="D390" s="22"/>
      <c r="E390" s="22"/>
      <c r="F390" s="22"/>
      <c r="G390" s="23"/>
      <c r="H390" s="20"/>
      <c r="I390" s="20"/>
      <c r="J390" s="22"/>
      <c r="K390" s="22"/>
      <c r="L390" s="22"/>
      <c r="M390" s="22"/>
      <c r="N390" s="22"/>
    </row>
    <row r="391" ht="22.5" customHeight="1">
      <c r="A391" s="20"/>
      <c r="B391" s="21"/>
      <c r="C391" s="21"/>
      <c r="D391" s="22"/>
      <c r="E391" s="22"/>
      <c r="F391" s="22"/>
      <c r="G391" s="23"/>
      <c r="H391" s="20"/>
      <c r="I391" s="20"/>
      <c r="J391" s="22"/>
      <c r="K391" s="22"/>
      <c r="L391" s="22"/>
      <c r="M391" s="22"/>
      <c r="N391" s="22"/>
    </row>
    <row r="392" ht="22.5" customHeight="1">
      <c r="A392" s="20"/>
      <c r="B392" s="21"/>
      <c r="C392" s="21"/>
      <c r="D392" s="22"/>
      <c r="E392" s="22"/>
      <c r="F392" s="22"/>
      <c r="G392" s="23"/>
      <c r="H392" s="20"/>
      <c r="I392" s="20"/>
      <c r="J392" s="22"/>
      <c r="K392" s="22"/>
      <c r="L392" s="22"/>
      <c r="M392" s="22"/>
      <c r="N392" s="22"/>
    </row>
    <row r="393" ht="22.5" customHeight="1">
      <c r="A393" s="20"/>
      <c r="B393" s="21"/>
      <c r="C393" s="21"/>
      <c r="D393" s="22"/>
      <c r="E393" s="22"/>
      <c r="F393" s="22"/>
      <c r="G393" s="23"/>
      <c r="H393" s="20"/>
      <c r="I393" s="20"/>
      <c r="J393" s="22"/>
      <c r="K393" s="22"/>
      <c r="L393" s="22"/>
      <c r="M393" s="22"/>
      <c r="N393" s="22"/>
    </row>
    <row r="394" ht="22.5" customHeight="1">
      <c r="A394" s="20"/>
      <c r="B394" s="21"/>
      <c r="C394" s="21"/>
      <c r="D394" s="22"/>
      <c r="E394" s="22"/>
      <c r="F394" s="22"/>
      <c r="G394" s="23"/>
      <c r="H394" s="20"/>
      <c r="I394" s="20"/>
      <c r="J394" s="22"/>
      <c r="K394" s="22"/>
      <c r="L394" s="22"/>
      <c r="M394" s="22"/>
      <c r="N394" s="22"/>
    </row>
    <row r="395" ht="22.5" customHeight="1">
      <c r="A395" s="20"/>
      <c r="B395" s="21"/>
      <c r="C395" s="21"/>
      <c r="D395" s="22"/>
      <c r="E395" s="22"/>
      <c r="F395" s="22"/>
      <c r="G395" s="23"/>
      <c r="H395" s="20"/>
      <c r="I395" s="20"/>
      <c r="J395" s="22"/>
      <c r="K395" s="22"/>
      <c r="L395" s="22"/>
      <c r="M395" s="22"/>
      <c r="N395" s="22"/>
    </row>
    <row r="396" ht="22.5" customHeight="1">
      <c r="A396" s="20"/>
      <c r="B396" s="21"/>
      <c r="C396" s="21"/>
      <c r="D396" s="22"/>
      <c r="E396" s="22"/>
      <c r="F396" s="22"/>
      <c r="G396" s="23"/>
      <c r="H396" s="20"/>
      <c r="I396" s="20"/>
      <c r="J396" s="22"/>
      <c r="K396" s="22"/>
      <c r="L396" s="22"/>
      <c r="M396" s="22"/>
      <c r="N396" s="22"/>
    </row>
    <row r="397" ht="22.5" customHeight="1">
      <c r="A397" s="20"/>
      <c r="B397" s="21"/>
      <c r="C397" s="21"/>
      <c r="D397" s="22"/>
      <c r="E397" s="22"/>
      <c r="F397" s="22"/>
      <c r="G397" s="23"/>
      <c r="H397" s="20"/>
      <c r="I397" s="20"/>
      <c r="J397" s="22"/>
      <c r="K397" s="22"/>
      <c r="L397" s="22"/>
      <c r="M397" s="22"/>
      <c r="N397" s="22"/>
    </row>
    <row r="398" ht="22.5" customHeight="1">
      <c r="A398" s="20"/>
      <c r="B398" s="21"/>
      <c r="C398" s="21"/>
      <c r="D398" s="22"/>
      <c r="E398" s="22"/>
      <c r="F398" s="22"/>
      <c r="G398" s="23"/>
      <c r="H398" s="20"/>
      <c r="I398" s="20"/>
      <c r="J398" s="22"/>
      <c r="K398" s="22"/>
      <c r="L398" s="22"/>
      <c r="M398" s="22"/>
      <c r="N398" s="22"/>
    </row>
    <row r="399" ht="22.5" customHeight="1">
      <c r="A399" s="20"/>
      <c r="B399" s="21"/>
      <c r="C399" s="21"/>
      <c r="D399" s="22"/>
      <c r="E399" s="22"/>
      <c r="F399" s="22"/>
      <c r="G399" s="23"/>
      <c r="H399" s="20"/>
      <c r="I399" s="20"/>
      <c r="J399" s="22"/>
      <c r="K399" s="22"/>
      <c r="L399" s="22"/>
      <c r="M399" s="22"/>
      <c r="N399" s="22"/>
    </row>
    <row r="400" ht="22.5" customHeight="1">
      <c r="A400" s="20"/>
      <c r="B400" s="21"/>
      <c r="C400" s="21"/>
      <c r="D400" s="22"/>
      <c r="E400" s="22"/>
      <c r="F400" s="22"/>
      <c r="G400" s="23"/>
      <c r="H400" s="20"/>
      <c r="I400" s="20"/>
      <c r="J400" s="22"/>
      <c r="K400" s="22"/>
      <c r="L400" s="22"/>
      <c r="M400" s="22"/>
      <c r="N400" s="22"/>
    </row>
    <row r="401" ht="22.5" customHeight="1">
      <c r="A401" s="20"/>
      <c r="B401" s="21"/>
      <c r="C401" s="21"/>
      <c r="D401" s="22"/>
      <c r="E401" s="22"/>
      <c r="F401" s="22"/>
      <c r="G401" s="23"/>
      <c r="H401" s="20"/>
      <c r="I401" s="20"/>
      <c r="J401" s="22"/>
      <c r="K401" s="22"/>
      <c r="L401" s="22"/>
      <c r="M401" s="22"/>
      <c r="N401" s="22"/>
    </row>
    <row r="402" ht="22.5" customHeight="1">
      <c r="A402" s="20"/>
      <c r="B402" s="21"/>
      <c r="C402" s="21"/>
      <c r="D402" s="22"/>
      <c r="E402" s="22"/>
      <c r="F402" s="22"/>
      <c r="G402" s="23"/>
      <c r="H402" s="20"/>
      <c r="I402" s="20"/>
      <c r="J402" s="22"/>
      <c r="K402" s="22"/>
      <c r="L402" s="22"/>
      <c r="M402" s="22"/>
      <c r="N402" s="22"/>
    </row>
    <row r="403" ht="22.5" customHeight="1">
      <c r="A403" s="20"/>
      <c r="B403" s="21"/>
      <c r="C403" s="21"/>
      <c r="D403" s="22"/>
      <c r="E403" s="22"/>
      <c r="F403" s="22"/>
      <c r="G403" s="23"/>
      <c r="H403" s="20"/>
      <c r="I403" s="20"/>
      <c r="J403" s="22"/>
      <c r="K403" s="22"/>
      <c r="L403" s="22"/>
      <c r="M403" s="22"/>
      <c r="N403" s="22"/>
    </row>
    <row r="404" ht="22.5" customHeight="1">
      <c r="A404" s="20"/>
      <c r="B404" s="21"/>
      <c r="C404" s="21"/>
      <c r="D404" s="22"/>
      <c r="E404" s="22"/>
      <c r="F404" s="22"/>
      <c r="G404" s="23"/>
      <c r="H404" s="20"/>
      <c r="I404" s="20"/>
      <c r="J404" s="22"/>
      <c r="K404" s="22"/>
      <c r="L404" s="22"/>
      <c r="M404" s="22"/>
      <c r="N404" s="22"/>
    </row>
    <row r="405" ht="22.5" customHeight="1">
      <c r="A405" s="20"/>
      <c r="B405" s="21"/>
      <c r="C405" s="21"/>
      <c r="D405" s="22"/>
      <c r="E405" s="22"/>
      <c r="F405" s="22"/>
      <c r="G405" s="23"/>
      <c r="H405" s="20"/>
      <c r="I405" s="20"/>
      <c r="J405" s="22"/>
      <c r="K405" s="22"/>
      <c r="L405" s="22"/>
      <c r="M405" s="22"/>
      <c r="N405" s="22"/>
    </row>
    <row r="406" ht="22.5" customHeight="1">
      <c r="A406" s="20"/>
      <c r="B406" s="21"/>
      <c r="C406" s="21"/>
      <c r="D406" s="22"/>
      <c r="E406" s="22"/>
      <c r="F406" s="22"/>
      <c r="G406" s="23"/>
      <c r="H406" s="20"/>
      <c r="I406" s="20"/>
      <c r="J406" s="22"/>
      <c r="K406" s="22"/>
      <c r="L406" s="22"/>
      <c r="M406" s="22"/>
      <c r="N406" s="22"/>
    </row>
    <row r="407" ht="22.5" customHeight="1">
      <c r="A407" s="20"/>
      <c r="B407" s="21"/>
      <c r="C407" s="21"/>
      <c r="D407" s="22"/>
      <c r="E407" s="22"/>
      <c r="F407" s="22"/>
      <c r="G407" s="23"/>
      <c r="H407" s="20"/>
      <c r="I407" s="20"/>
      <c r="J407" s="22"/>
      <c r="K407" s="22"/>
      <c r="L407" s="22"/>
      <c r="M407" s="22"/>
      <c r="N407" s="22"/>
    </row>
    <row r="408" ht="22.5" customHeight="1">
      <c r="A408" s="20"/>
      <c r="B408" s="21"/>
      <c r="C408" s="21"/>
      <c r="D408" s="22"/>
      <c r="E408" s="22"/>
      <c r="F408" s="22"/>
      <c r="G408" s="23"/>
      <c r="H408" s="20"/>
      <c r="I408" s="20"/>
      <c r="J408" s="22"/>
      <c r="K408" s="22"/>
      <c r="L408" s="22"/>
      <c r="M408" s="22"/>
      <c r="N408" s="22"/>
    </row>
    <row r="409" ht="22.5" customHeight="1">
      <c r="A409" s="20"/>
      <c r="B409" s="21"/>
      <c r="C409" s="21"/>
      <c r="D409" s="22"/>
      <c r="E409" s="22"/>
      <c r="F409" s="22"/>
      <c r="G409" s="23"/>
      <c r="H409" s="20"/>
      <c r="I409" s="20"/>
      <c r="J409" s="22"/>
      <c r="K409" s="22"/>
      <c r="L409" s="22"/>
      <c r="M409" s="22"/>
      <c r="N409" s="22"/>
    </row>
    <row r="410" ht="22.5" customHeight="1">
      <c r="A410" s="20"/>
      <c r="B410" s="21"/>
      <c r="C410" s="21"/>
      <c r="D410" s="22"/>
      <c r="E410" s="22"/>
      <c r="F410" s="22"/>
      <c r="G410" s="23"/>
      <c r="H410" s="20"/>
      <c r="I410" s="20"/>
      <c r="J410" s="22"/>
      <c r="K410" s="22"/>
      <c r="L410" s="22"/>
      <c r="M410" s="22"/>
      <c r="N410" s="22"/>
    </row>
    <row r="411" ht="22.5" customHeight="1">
      <c r="A411" s="20"/>
      <c r="B411" s="21"/>
      <c r="C411" s="21"/>
      <c r="D411" s="22"/>
      <c r="E411" s="22"/>
      <c r="F411" s="22"/>
      <c r="G411" s="23"/>
      <c r="H411" s="20"/>
      <c r="I411" s="20"/>
      <c r="J411" s="22"/>
      <c r="K411" s="22"/>
      <c r="L411" s="22"/>
      <c r="M411" s="22"/>
      <c r="N411" s="22"/>
    </row>
    <row r="412" ht="22.5" customHeight="1">
      <c r="A412" s="20"/>
      <c r="B412" s="21"/>
      <c r="C412" s="21"/>
      <c r="D412" s="22"/>
      <c r="E412" s="22"/>
      <c r="F412" s="22"/>
      <c r="G412" s="23"/>
      <c r="H412" s="20"/>
      <c r="I412" s="20"/>
      <c r="J412" s="22"/>
      <c r="K412" s="22"/>
      <c r="L412" s="22"/>
      <c r="M412" s="22"/>
      <c r="N412" s="22"/>
    </row>
    <row r="413" ht="22.5" customHeight="1">
      <c r="A413" s="20"/>
      <c r="B413" s="21"/>
      <c r="C413" s="21"/>
      <c r="D413" s="22"/>
      <c r="E413" s="22"/>
      <c r="F413" s="22"/>
      <c r="G413" s="23"/>
      <c r="H413" s="20"/>
      <c r="I413" s="20"/>
      <c r="J413" s="22"/>
      <c r="K413" s="22"/>
      <c r="L413" s="22"/>
      <c r="M413" s="22"/>
      <c r="N413" s="22"/>
    </row>
    <row r="414" ht="22.5" customHeight="1">
      <c r="A414" s="20"/>
      <c r="B414" s="21"/>
      <c r="C414" s="21"/>
      <c r="D414" s="22"/>
      <c r="E414" s="22"/>
      <c r="F414" s="22"/>
      <c r="G414" s="23"/>
      <c r="H414" s="20"/>
      <c r="I414" s="20"/>
      <c r="J414" s="22"/>
      <c r="K414" s="22"/>
      <c r="L414" s="22"/>
      <c r="M414" s="22"/>
      <c r="N414" s="22"/>
    </row>
    <row r="415" ht="22.5" customHeight="1">
      <c r="A415" s="20"/>
      <c r="B415" s="21"/>
      <c r="C415" s="21"/>
      <c r="D415" s="22"/>
      <c r="E415" s="22"/>
      <c r="F415" s="22"/>
      <c r="G415" s="23"/>
      <c r="H415" s="20"/>
      <c r="I415" s="20"/>
      <c r="J415" s="22"/>
      <c r="K415" s="22"/>
      <c r="L415" s="22"/>
      <c r="M415" s="22"/>
      <c r="N415" s="22"/>
    </row>
    <row r="416" ht="22.5" customHeight="1">
      <c r="A416" s="20"/>
      <c r="B416" s="21"/>
      <c r="C416" s="21"/>
      <c r="D416" s="22"/>
      <c r="E416" s="22"/>
      <c r="F416" s="22"/>
      <c r="G416" s="23"/>
      <c r="H416" s="20"/>
      <c r="I416" s="20"/>
      <c r="J416" s="22"/>
      <c r="K416" s="22"/>
      <c r="L416" s="22"/>
      <c r="M416" s="22"/>
      <c r="N416" s="22"/>
    </row>
    <row r="417" ht="22.5" customHeight="1">
      <c r="A417" s="20"/>
      <c r="B417" s="21"/>
      <c r="C417" s="21"/>
      <c r="D417" s="22"/>
      <c r="E417" s="22"/>
      <c r="F417" s="22"/>
      <c r="G417" s="23"/>
      <c r="H417" s="20"/>
      <c r="I417" s="20"/>
      <c r="J417" s="22"/>
      <c r="K417" s="22"/>
      <c r="L417" s="22"/>
      <c r="M417" s="22"/>
      <c r="N417" s="22"/>
    </row>
    <row r="418" ht="22.5" customHeight="1">
      <c r="A418" s="20"/>
      <c r="B418" s="21"/>
      <c r="C418" s="21"/>
      <c r="D418" s="22"/>
      <c r="E418" s="22"/>
      <c r="F418" s="22"/>
      <c r="G418" s="23"/>
      <c r="H418" s="20"/>
      <c r="I418" s="20"/>
      <c r="J418" s="22"/>
      <c r="K418" s="22"/>
      <c r="L418" s="22"/>
      <c r="M418" s="22"/>
      <c r="N418" s="22"/>
    </row>
    <row r="419" ht="22.5" customHeight="1">
      <c r="A419" s="20"/>
      <c r="B419" s="21"/>
      <c r="C419" s="21"/>
      <c r="D419" s="22"/>
      <c r="E419" s="22"/>
      <c r="F419" s="22"/>
      <c r="G419" s="23"/>
      <c r="H419" s="20"/>
      <c r="I419" s="20"/>
      <c r="J419" s="22"/>
      <c r="K419" s="22"/>
      <c r="L419" s="22"/>
      <c r="M419" s="22"/>
      <c r="N419" s="22"/>
    </row>
    <row r="420" ht="22.5" customHeight="1">
      <c r="A420" s="20"/>
      <c r="B420" s="21"/>
      <c r="C420" s="21"/>
      <c r="D420" s="22"/>
      <c r="E420" s="22"/>
      <c r="F420" s="22"/>
      <c r="G420" s="23"/>
      <c r="H420" s="20"/>
      <c r="I420" s="20"/>
      <c r="J420" s="22"/>
      <c r="K420" s="22"/>
      <c r="L420" s="22"/>
      <c r="M420" s="22"/>
      <c r="N420" s="22"/>
    </row>
    <row r="421" ht="22.5" customHeight="1">
      <c r="A421" s="20"/>
      <c r="B421" s="21"/>
      <c r="C421" s="21"/>
      <c r="D421" s="22"/>
      <c r="E421" s="22"/>
      <c r="F421" s="22"/>
      <c r="G421" s="23"/>
      <c r="H421" s="20"/>
      <c r="I421" s="20"/>
      <c r="J421" s="22"/>
      <c r="K421" s="22"/>
      <c r="L421" s="22"/>
      <c r="M421" s="22"/>
      <c r="N421" s="22"/>
    </row>
    <row r="422" ht="22.5" customHeight="1">
      <c r="A422" s="20"/>
      <c r="B422" s="21"/>
      <c r="C422" s="21"/>
      <c r="D422" s="22"/>
      <c r="E422" s="22"/>
      <c r="F422" s="22"/>
      <c r="G422" s="23"/>
      <c r="H422" s="20"/>
      <c r="I422" s="20"/>
      <c r="J422" s="22"/>
      <c r="K422" s="22"/>
      <c r="L422" s="22"/>
      <c r="M422" s="22"/>
      <c r="N422" s="22"/>
    </row>
    <row r="423" ht="22.5" customHeight="1">
      <c r="A423" s="20"/>
      <c r="B423" s="21"/>
      <c r="C423" s="21"/>
      <c r="D423" s="22"/>
      <c r="E423" s="22"/>
      <c r="F423" s="22"/>
      <c r="G423" s="23"/>
      <c r="H423" s="20"/>
      <c r="I423" s="20"/>
      <c r="J423" s="22"/>
      <c r="K423" s="22"/>
      <c r="L423" s="22"/>
      <c r="M423" s="22"/>
      <c r="N423" s="22"/>
    </row>
    <row r="424" ht="22.5" customHeight="1">
      <c r="A424" s="20"/>
      <c r="B424" s="21"/>
      <c r="C424" s="21"/>
      <c r="D424" s="22"/>
      <c r="E424" s="22"/>
      <c r="F424" s="22"/>
      <c r="G424" s="23"/>
      <c r="H424" s="20"/>
      <c r="I424" s="20"/>
      <c r="J424" s="22"/>
      <c r="K424" s="22"/>
      <c r="L424" s="22"/>
      <c r="M424" s="22"/>
      <c r="N424" s="22"/>
    </row>
    <row r="425" ht="22.5" customHeight="1">
      <c r="A425" s="20"/>
      <c r="B425" s="21"/>
      <c r="C425" s="21"/>
      <c r="D425" s="22"/>
      <c r="E425" s="22"/>
      <c r="F425" s="22"/>
      <c r="G425" s="23"/>
      <c r="H425" s="20"/>
      <c r="I425" s="20"/>
      <c r="J425" s="22"/>
      <c r="K425" s="22"/>
      <c r="L425" s="22"/>
      <c r="M425" s="22"/>
      <c r="N425" s="22"/>
    </row>
    <row r="426" ht="22.5" customHeight="1">
      <c r="A426" s="20"/>
      <c r="B426" s="21"/>
      <c r="C426" s="21"/>
      <c r="D426" s="22"/>
      <c r="E426" s="22"/>
      <c r="F426" s="22"/>
      <c r="G426" s="23"/>
      <c r="H426" s="20"/>
      <c r="I426" s="20"/>
      <c r="J426" s="22"/>
      <c r="K426" s="22"/>
      <c r="L426" s="22"/>
      <c r="M426" s="22"/>
      <c r="N426" s="22"/>
    </row>
    <row r="427" ht="22.5" customHeight="1">
      <c r="A427" s="20"/>
      <c r="B427" s="21"/>
      <c r="C427" s="21"/>
      <c r="D427" s="22"/>
      <c r="E427" s="22"/>
      <c r="F427" s="22"/>
      <c r="G427" s="23"/>
      <c r="H427" s="20"/>
      <c r="I427" s="20"/>
      <c r="J427" s="22"/>
      <c r="K427" s="22"/>
      <c r="L427" s="22"/>
      <c r="M427" s="22"/>
      <c r="N427" s="22"/>
    </row>
    <row r="428" ht="22.5" customHeight="1">
      <c r="A428" s="20"/>
      <c r="B428" s="21"/>
      <c r="C428" s="21"/>
      <c r="D428" s="22"/>
      <c r="E428" s="22"/>
      <c r="F428" s="22"/>
      <c r="G428" s="23"/>
      <c r="H428" s="20"/>
      <c r="I428" s="20"/>
      <c r="J428" s="22"/>
      <c r="K428" s="22"/>
      <c r="L428" s="22"/>
      <c r="M428" s="22"/>
      <c r="N428" s="22"/>
    </row>
    <row r="429" ht="22.5" customHeight="1">
      <c r="A429" s="20"/>
      <c r="B429" s="21"/>
      <c r="C429" s="21"/>
      <c r="D429" s="22"/>
      <c r="E429" s="22"/>
      <c r="F429" s="22"/>
      <c r="G429" s="23"/>
      <c r="H429" s="20"/>
      <c r="I429" s="20"/>
      <c r="J429" s="22"/>
      <c r="K429" s="22"/>
      <c r="L429" s="22"/>
      <c r="M429" s="22"/>
      <c r="N429" s="22"/>
    </row>
    <row r="430" ht="22.5" customHeight="1">
      <c r="A430" s="20"/>
      <c r="B430" s="21"/>
      <c r="C430" s="21"/>
      <c r="D430" s="22"/>
      <c r="E430" s="22"/>
      <c r="F430" s="22"/>
      <c r="G430" s="23"/>
      <c r="H430" s="20"/>
      <c r="I430" s="20"/>
      <c r="J430" s="22"/>
      <c r="K430" s="22"/>
      <c r="L430" s="22"/>
      <c r="M430" s="22"/>
      <c r="N430" s="22"/>
    </row>
    <row r="431" ht="22.5" customHeight="1">
      <c r="A431" s="20"/>
      <c r="B431" s="21"/>
      <c r="C431" s="21"/>
      <c r="D431" s="22"/>
      <c r="E431" s="22"/>
      <c r="F431" s="22"/>
      <c r="G431" s="23"/>
      <c r="H431" s="20"/>
      <c r="I431" s="20"/>
      <c r="J431" s="22"/>
      <c r="K431" s="22"/>
      <c r="L431" s="22"/>
      <c r="M431" s="22"/>
      <c r="N431" s="22"/>
    </row>
    <row r="432" ht="22.5" customHeight="1">
      <c r="A432" s="20"/>
      <c r="B432" s="21"/>
      <c r="C432" s="21"/>
      <c r="D432" s="22"/>
      <c r="E432" s="22"/>
      <c r="F432" s="22"/>
      <c r="G432" s="23"/>
      <c r="H432" s="20"/>
      <c r="I432" s="20"/>
      <c r="J432" s="22"/>
      <c r="K432" s="22"/>
      <c r="L432" s="22"/>
      <c r="M432" s="22"/>
      <c r="N432" s="22"/>
    </row>
    <row r="433" ht="22.5" customHeight="1">
      <c r="A433" s="20"/>
      <c r="B433" s="21"/>
      <c r="C433" s="21"/>
      <c r="D433" s="22"/>
      <c r="E433" s="22"/>
      <c r="F433" s="22"/>
      <c r="G433" s="23"/>
      <c r="H433" s="20"/>
      <c r="I433" s="20"/>
      <c r="J433" s="22"/>
      <c r="K433" s="22"/>
      <c r="L433" s="22"/>
      <c r="M433" s="22"/>
      <c r="N433" s="22"/>
    </row>
    <row r="434" ht="22.5" customHeight="1">
      <c r="A434" s="20"/>
      <c r="B434" s="21"/>
      <c r="C434" s="21"/>
      <c r="D434" s="22"/>
      <c r="E434" s="22"/>
      <c r="F434" s="22"/>
      <c r="G434" s="23"/>
      <c r="H434" s="20"/>
      <c r="I434" s="20"/>
      <c r="J434" s="22"/>
      <c r="K434" s="22"/>
      <c r="L434" s="22"/>
      <c r="M434" s="22"/>
      <c r="N434" s="22"/>
    </row>
    <row r="435" ht="22.5" customHeight="1">
      <c r="A435" s="20"/>
      <c r="B435" s="21"/>
      <c r="C435" s="21"/>
      <c r="D435" s="22"/>
      <c r="E435" s="22"/>
      <c r="F435" s="22"/>
      <c r="G435" s="23"/>
      <c r="H435" s="20"/>
      <c r="I435" s="20"/>
      <c r="J435" s="22"/>
      <c r="K435" s="22"/>
      <c r="L435" s="22"/>
      <c r="M435" s="22"/>
      <c r="N435" s="22"/>
    </row>
    <row r="436" ht="22.5" customHeight="1">
      <c r="A436" s="20"/>
      <c r="B436" s="21"/>
      <c r="C436" s="21"/>
      <c r="D436" s="22"/>
      <c r="E436" s="22"/>
      <c r="F436" s="22"/>
      <c r="G436" s="23"/>
      <c r="H436" s="20"/>
      <c r="I436" s="20"/>
      <c r="J436" s="22"/>
      <c r="K436" s="22"/>
      <c r="L436" s="22"/>
      <c r="M436" s="22"/>
      <c r="N436" s="22"/>
    </row>
    <row r="437" ht="22.5" customHeight="1">
      <c r="A437" s="20"/>
      <c r="B437" s="21"/>
      <c r="C437" s="21"/>
      <c r="D437" s="22"/>
      <c r="E437" s="22"/>
      <c r="F437" s="22"/>
      <c r="G437" s="23"/>
      <c r="H437" s="20"/>
      <c r="I437" s="20"/>
      <c r="J437" s="22"/>
      <c r="K437" s="22"/>
      <c r="L437" s="22"/>
      <c r="M437" s="22"/>
      <c r="N437" s="22"/>
    </row>
    <row r="438" ht="22.5" customHeight="1">
      <c r="A438" s="20"/>
      <c r="B438" s="21"/>
      <c r="C438" s="21"/>
      <c r="D438" s="22"/>
      <c r="E438" s="22"/>
      <c r="F438" s="22"/>
      <c r="G438" s="23"/>
      <c r="H438" s="20"/>
      <c r="I438" s="20"/>
      <c r="J438" s="22"/>
      <c r="K438" s="22"/>
      <c r="L438" s="22"/>
      <c r="M438" s="22"/>
      <c r="N438" s="22"/>
    </row>
    <row r="439" ht="22.5" customHeight="1">
      <c r="A439" s="20"/>
      <c r="B439" s="21"/>
      <c r="C439" s="21"/>
      <c r="D439" s="22"/>
      <c r="E439" s="22"/>
      <c r="F439" s="22"/>
      <c r="G439" s="23"/>
      <c r="H439" s="20"/>
      <c r="I439" s="20"/>
      <c r="J439" s="22"/>
      <c r="K439" s="22"/>
      <c r="L439" s="22"/>
      <c r="M439" s="22"/>
      <c r="N439" s="22"/>
    </row>
    <row r="440" ht="22.5" customHeight="1">
      <c r="A440" s="20"/>
      <c r="B440" s="21"/>
      <c r="C440" s="21"/>
      <c r="D440" s="22"/>
      <c r="E440" s="22"/>
      <c r="F440" s="22"/>
      <c r="G440" s="23"/>
      <c r="H440" s="20"/>
      <c r="I440" s="20"/>
      <c r="J440" s="22"/>
      <c r="K440" s="22"/>
      <c r="L440" s="22"/>
      <c r="M440" s="22"/>
      <c r="N440" s="22"/>
    </row>
    <row r="441" ht="22.5" customHeight="1">
      <c r="A441" s="20"/>
      <c r="B441" s="21"/>
      <c r="C441" s="21"/>
      <c r="D441" s="22"/>
      <c r="E441" s="22"/>
      <c r="F441" s="22"/>
      <c r="G441" s="23"/>
      <c r="H441" s="20"/>
      <c r="I441" s="20"/>
      <c r="J441" s="22"/>
      <c r="K441" s="22"/>
      <c r="L441" s="22"/>
      <c r="M441" s="22"/>
      <c r="N441" s="22"/>
    </row>
    <row r="442" ht="22.5" customHeight="1">
      <c r="A442" s="20"/>
      <c r="B442" s="21"/>
      <c r="C442" s="21"/>
      <c r="D442" s="22"/>
      <c r="E442" s="22"/>
      <c r="F442" s="22"/>
      <c r="G442" s="23"/>
      <c r="H442" s="20"/>
      <c r="I442" s="20"/>
      <c r="J442" s="22"/>
      <c r="K442" s="22"/>
      <c r="L442" s="22"/>
      <c r="M442" s="22"/>
      <c r="N442" s="22"/>
    </row>
    <row r="443" ht="22.5" customHeight="1">
      <c r="A443" s="20"/>
      <c r="B443" s="21"/>
      <c r="C443" s="21"/>
      <c r="D443" s="22"/>
      <c r="E443" s="22"/>
      <c r="F443" s="22"/>
      <c r="G443" s="23"/>
      <c r="H443" s="20"/>
      <c r="I443" s="20"/>
      <c r="J443" s="22"/>
      <c r="K443" s="22"/>
      <c r="L443" s="22"/>
      <c r="M443" s="22"/>
      <c r="N443" s="22"/>
    </row>
    <row r="444" ht="22.5" customHeight="1">
      <c r="A444" s="20"/>
      <c r="B444" s="21"/>
      <c r="C444" s="21"/>
      <c r="D444" s="22"/>
      <c r="E444" s="22"/>
      <c r="F444" s="22"/>
      <c r="G444" s="23"/>
      <c r="H444" s="20"/>
      <c r="I444" s="20"/>
      <c r="J444" s="22"/>
      <c r="K444" s="22"/>
      <c r="L444" s="22"/>
      <c r="M444" s="22"/>
      <c r="N444" s="22"/>
    </row>
    <row r="445" ht="22.5" customHeight="1">
      <c r="A445" s="20"/>
      <c r="B445" s="21"/>
      <c r="C445" s="21"/>
      <c r="D445" s="22"/>
      <c r="E445" s="22"/>
      <c r="F445" s="22"/>
      <c r="G445" s="23"/>
      <c r="H445" s="20"/>
      <c r="I445" s="20"/>
      <c r="J445" s="22"/>
      <c r="K445" s="22"/>
      <c r="L445" s="22"/>
      <c r="M445" s="22"/>
      <c r="N445" s="22"/>
    </row>
    <row r="446" ht="22.5" customHeight="1">
      <c r="A446" s="20"/>
      <c r="B446" s="21"/>
      <c r="C446" s="21"/>
      <c r="D446" s="22"/>
      <c r="E446" s="22"/>
      <c r="F446" s="22"/>
      <c r="G446" s="23"/>
      <c r="H446" s="20"/>
      <c r="I446" s="20"/>
      <c r="J446" s="22"/>
      <c r="K446" s="22"/>
      <c r="L446" s="22"/>
      <c r="M446" s="22"/>
      <c r="N446" s="22"/>
    </row>
    <row r="447" ht="22.5" customHeight="1">
      <c r="A447" s="20"/>
      <c r="B447" s="21"/>
      <c r="C447" s="21"/>
      <c r="D447" s="22"/>
      <c r="E447" s="22"/>
      <c r="F447" s="22"/>
      <c r="G447" s="23"/>
      <c r="H447" s="20"/>
      <c r="I447" s="20"/>
      <c r="J447" s="22"/>
      <c r="K447" s="22"/>
      <c r="L447" s="22"/>
      <c r="M447" s="22"/>
      <c r="N447" s="22"/>
    </row>
    <row r="448" ht="22.5" customHeight="1">
      <c r="A448" s="20"/>
      <c r="B448" s="21"/>
      <c r="C448" s="21"/>
      <c r="D448" s="22"/>
      <c r="E448" s="22"/>
      <c r="F448" s="22"/>
      <c r="G448" s="23"/>
      <c r="H448" s="20"/>
      <c r="I448" s="20"/>
      <c r="J448" s="22"/>
      <c r="K448" s="22"/>
      <c r="L448" s="22"/>
      <c r="M448" s="22"/>
      <c r="N448" s="22"/>
    </row>
    <row r="449" ht="22.5" customHeight="1">
      <c r="A449" s="20"/>
      <c r="B449" s="21"/>
      <c r="C449" s="21"/>
      <c r="D449" s="22"/>
      <c r="E449" s="22"/>
      <c r="F449" s="22"/>
      <c r="G449" s="23"/>
      <c r="H449" s="20"/>
      <c r="I449" s="20"/>
      <c r="J449" s="22"/>
      <c r="K449" s="22"/>
      <c r="L449" s="22"/>
      <c r="M449" s="22"/>
      <c r="N449" s="22"/>
    </row>
    <row r="450" ht="22.5" customHeight="1">
      <c r="A450" s="20"/>
      <c r="B450" s="21"/>
      <c r="C450" s="21"/>
      <c r="D450" s="22"/>
      <c r="E450" s="22"/>
      <c r="F450" s="22"/>
      <c r="G450" s="23"/>
      <c r="H450" s="20"/>
      <c r="I450" s="20"/>
      <c r="J450" s="22"/>
      <c r="K450" s="22"/>
      <c r="L450" s="22"/>
      <c r="M450" s="22"/>
      <c r="N450" s="22"/>
    </row>
    <row r="451" ht="22.5" customHeight="1">
      <c r="A451" s="20"/>
      <c r="B451" s="21"/>
      <c r="C451" s="21"/>
      <c r="D451" s="22"/>
      <c r="E451" s="22"/>
      <c r="F451" s="22"/>
      <c r="G451" s="23"/>
      <c r="H451" s="20"/>
      <c r="I451" s="20"/>
      <c r="J451" s="22"/>
      <c r="K451" s="22"/>
      <c r="L451" s="22"/>
      <c r="M451" s="22"/>
      <c r="N451" s="22"/>
    </row>
    <row r="452" ht="22.5" customHeight="1">
      <c r="A452" s="20"/>
      <c r="B452" s="21"/>
      <c r="C452" s="21"/>
      <c r="D452" s="22"/>
      <c r="E452" s="22"/>
      <c r="F452" s="22"/>
      <c r="G452" s="23"/>
      <c r="H452" s="20"/>
      <c r="I452" s="20"/>
      <c r="J452" s="22"/>
      <c r="K452" s="22"/>
      <c r="L452" s="22"/>
      <c r="M452" s="22"/>
      <c r="N452" s="22"/>
    </row>
    <row r="453" ht="22.5" customHeight="1">
      <c r="A453" s="20"/>
      <c r="B453" s="21"/>
      <c r="C453" s="21"/>
      <c r="D453" s="22"/>
      <c r="E453" s="22"/>
      <c r="F453" s="22"/>
      <c r="G453" s="23"/>
      <c r="H453" s="20"/>
      <c r="I453" s="20"/>
      <c r="J453" s="22"/>
      <c r="K453" s="22"/>
      <c r="L453" s="22"/>
      <c r="M453" s="22"/>
      <c r="N453" s="22"/>
    </row>
    <row r="454" ht="22.5" customHeight="1">
      <c r="A454" s="20"/>
      <c r="B454" s="21"/>
      <c r="C454" s="21"/>
      <c r="D454" s="22"/>
      <c r="E454" s="22"/>
      <c r="F454" s="22"/>
      <c r="G454" s="23"/>
      <c r="H454" s="20"/>
      <c r="I454" s="20"/>
      <c r="J454" s="22"/>
      <c r="K454" s="22"/>
      <c r="L454" s="22"/>
      <c r="M454" s="22"/>
      <c r="N454" s="22"/>
    </row>
    <row r="455" ht="22.5" customHeight="1">
      <c r="A455" s="20"/>
      <c r="B455" s="21"/>
      <c r="C455" s="21"/>
      <c r="D455" s="22"/>
      <c r="E455" s="22"/>
      <c r="F455" s="22"/>
      <c r="G455" s="23"/>
      <c r="H455" s="20"/>
      <c r="I455" s="20"/>
      <c r="J455" s="22"/>
      <c r="K455" s="22"/>
      <c r="L455" s="22"/>
      <c r="M455" s="22"/>
      <c r="N455" s="22"/>
    </row>
    <row r="456" ht="22.5" customHeight="1">
      <c r="A456" s="20"/>
      <c r="B456" s="21"/>
      <c r="C456" s="21"/>
      <c r="D456" s="22"/>
      <c r="E456" s="22"/>
      <c r="F456" s="22"/>
      <c r="G456" s="23"/>
      <c r="H456" s="20"/>
      <c r="I456" s="20"/>
      <c r="J456" s="22"/>
      <c r="K456" s="22"/>
      <c r="L456" s="22"/>
      <c r="M456" s="22"/>
      <c r="N456" s="22"/>
    </row>
    <row r="457" ht="22.5" customHeight="1">
      <c r="A457" s="20"/>
      <c r="B457" s="21"/>
      <c r="C457" s="21"/>
      <c r="D457" s="22"/>
      <c r="E457" s="22"/>
      <c r="F457" s="22"/>
      <c r="G457" s="23"/>
      <c r="H457" s="20"/>
      <c r="I457" s="20"/>
      <c r="J457" s="22"/>
      <c r="K457" s="22"/>
      <c r="L457" s="22"/>
      <c r="M457" s="22"/>
      <c r="N457" s="22"/>
    </row>
    <row r="458" ht="22.5" customHeight="1">
      <c r="A458" s="20"/>
      <c r="B458" s="21"/>
      <c r="C458" s="21"/>
      <c r="D458" s="22"/>
      <c r="E458" s="22"/>
      <c r="F458" s="22"/>
      <c r="G458" s="23"/>
      <c r="H458" s="20"/>
      <c r="I458" s="20"/>
      <c r="J458" s="22"/>
      <c r="K458" s="22"/>
      <c r="L458" s="22"/>
      <c r="M458" s="22"/>
      <c r="N458" s="22"/>
    </row>
    <row r="459" ht="22.5" customHeight="1">
      <c r="A459" s="20"/>
      <c r="B459" s="21"/>
      <c r="C459" s="21"/>
      <c r="D459" s="22"/>
      <c r="E459" s="22"/>
      <c r="F459" s="22"/>
      <c r="G459" s="23"/>
      <c r="H459" s="20"/>
      <c r="I459" s="20"/>
      <c r="J459" s="22"/>
      <c r="K459" s="22"/>
      <c r="L459" s="22"/>
      <c r="M459" s="22"/>
      <c r="N459" s="22"/>
    </row>
    <row r="460" ht="22.5" customHeight="1">
      <c r="A460" s="20"/>
      <c r="B460" s="21"/>
      <c r="C460" s="21"/>
      <c r="D460" s="22"/>
      <c r="E460" s="22"/>
      <c r="F460" s="22"/>
      <c r="G460" s="23"/>
      <c r="H460" s="20"/>
      <c r="I460" s="20"/>
      <c r="J460" s="22"/>
      <c r="K460" s="22"/>
      <c r="L460" s="22"/>
      <c r="M460" s="22"/>
      <c r="N460" s="22"/>
    </row>
    <row r="461" ht="22.5" customHeight="1">
      <c r="A461" s="20"/>
      <c r="B461" s="21"/>
      <c r="C461" s="21"/>
      <c r="D461" s="22"/>
      <c r="E461" s="22"/>
      <c r="F461" s="22"/>
      <c r="G461" s="23"/>
      <c r="H461" s="20"/>
      <c r="I461" s="20"/>
      <c r="J461" s="22"/>
      <c r="K461" s="22"/>
      <c r="L461" s="22"/>
      <c r="M461" s="22"/>
      <c r="N461" s="22"/>
    </row>
    <row r="462" ht="22.5" customHeight="1">
      <c r="A462" s="20"/>
      <c r="B462" s="21"/>
      <c r="C462" s="21"/>
      <c r="D462" s="22"/>
      <c r="E462" s="22"/>
      <c r="F462" s="22"/>
      <c r="G462" s="23"/>
      <c r="H462" s="20"/>
      <c r="I462" s="20"/>
      <c r="J462" s="22"/>
      <c r="K462" s="22"/>
      <c r="L462" s="22"/>
      <c r="M462" s="22"/>
      <c r="N462" s="22"/>
    </row>
    <row r="463" ht="22.5" customHeight="1">
      <c r="A463" s="20"/>
      <c r="B463" s="21"/>
      <c r="C463" s="21"/>
      <c r="D463" s="22"/>
      <c r="E463" s="22"/>
      <c r="F463" s="22"/>
      <c r="G463" s="23"/>
      <c r="H463" s="20"/>
      <c r="I463" s="20"/>
      <c r="J463" s="22"/>
      <c r="K463" s="22"/>
      <c r="L463" s="22"/>
      <c r="M463" s="22"/>
      <c r="N463" s="22"/>
    </row>
    <row r="464" ht="22.5" customHeight="1">
      <c r="A464" s="20"/>
      <c r="B464" s="21"/>
      <c r="C464" s="21"/>
      <c r="D464" s="22"/>
      <c r="E464" s="22"/>
      <c r="F464" s="22"/>
      <c r="G464" s="23"/>
      <c r="H464" s="20"/>
      <c r="I464" s="20"/>
      <c r="J464" s="22"/>
      <c r="K464" s="22"/>
      <c r="L464" s="22"/>
      <c r="M464" s="22"/>
      <c r="N464" s="22"/>
    </row>
    <row r="465" ht="22.5" customHeight="1">
      <c r="A465" s="20"/>
      <c r="B465" s="21"/>
      <c r="C465" s="21"/>
      <c r="D465" s="22"/>
      <c r="E465" s="22"/>
      <c r="F465" s="22"/>
      <c r="G465" s="23"/>
      <c r="H465" s="20"/>
      <c r="I465" s="20"/>
      <c r="J465" s="22"/>
      <c r="K465" s="22"/>
      <c r="L465" s="22"/>
      <c r="M465" s="22"/>
      <c r="N465" s="22"/>
    </row>
    <row r="466" ht="22.5" customHeight="1">
      <c r="A466" s="20"/>
      <c r="B466" s="21"/>
      <c r="C466" s="21"/>
      <c r="D466" s="22"/>
      <c r="E466" s="22"/>
      <c r="F466" s="22"/>
      <c r="G466" s="23"/>
      <c r="H466" s="20"/>
      <c r="I466" s="20"/>
      <c r="J466" s="22"/>
      <c r="K466" s="22"/>
      <c r="L466" s="22"/>
      <c r="M466" s="22"/>
      <c r="N466" s="22"/>
    </row>
    <row r="467" ht="22.5" customHeight="1">
      <c r="A467" s="20"/>
      <c r="B467" s="21"/>
      <c r="C467" s="21"/>
      <c r="D467" s="22"/>
      <c r="E467" s="22"/>
      <c r="F467" s="22"/>
      <c r="G467" s="23"/>
      <c r="H467" s="20"/>
      <c r="I467" s="20"/>
      <c r="J467" s="22"/>
      <c r="K467" s="22"/>
      <c r="L467" s="22"/>
      <c r="M467" s="22"/>
      <c r="N467" s="22"/>
    </row>
    <row r="468" ht="22.5" customHeight="1">
      <c r="A468" s="20"/>
      <c r="B468" s="21"/>
      <c r="C468" s="21"/>
      <c r="D468" s="22"/>
      <c r="E468" s="22"/>
      <c r="F468" s="22"/>
      <c r="G468" s="23"/>
      <c r="H468" s="20"/>
      <c r="I468" s="20"/>
      <c r="J468" s="22"/>
      <c r="K468" s="22"/>
      <c r="L468" s="22"/>
      <c r="M468" s="22"/>
      <c r="N468" s="22"/>
    </row>
    <row r="469" ht="22.5" customHeight="1">
      <c r="A469" s="20"/>
      <c r="B469" s="21"/>
      <c r="C469" s="21"/>
      <c r="D469" s="22"/>
      <c r="E469" s="22"/>
      <c r="F469" s="22"/>
      <c r="G469" s="23"/>
      <c r="H469" s="20"/>
      <c r="I469" s="20"/>
      <c r="J469" s="22"/>
      <c r="K469" s="22"/>
      <c r="L469" s="22"/>
      <c r="M469" s="22"/>
      <c r="N469" s="22"/>
    </row>
    <row r="470" ht="22.5" customHeight="1">
      <c r="A470" s="20"/>
      <c r="B470" s="21"/>
      <c r="C470" s="21"/>
      <c r="D470" s="22"/>
      <c r="E470" s="22"/>
      <c r="F470" s="22"/>
      <c r="G470" s="23"/>
      <c r="H470" s="20"/>
      <c r="I470" s="20"/>
      <c r="J470" s="22"/>
      <c r="K470" s="22"/>
      <c r="L470" s="22"/>
      <c r="M470" s="22"/>
      <c r="N470" s="22"/>
    </row>
    <row r="471" ht="22.5" customHeight="1">
      <c r="A471" s="20"/>
      <c r="B471" s="21"/>
      <c r="C471" s="21"/>
      <c r="D471" s="22"/>
      <c r="E471" s="22"/>
      <c r="F471" s="22"/>
      <c r="G471" s="23"/>
      <c r="H471" s="20"/>
      <c r="I471" s="20"/>
      <c r="J471" s="22"/>
      <c r="K471" s="22"/>
      <c r="L471" s="22"/>
      <c r="M471" s="22"/>
      <c r="N471" s="22"/>
    </row>
    <row r="472" ht="22.5" customHeight="1">
      <c r="A472" s="20"/>
      <c r="B472" s="21"/>
      <c r="C472" s="21"/>
      <c r="D472" s="22"/>
      <c r="E472" s="22"/>
      <c r="F472" s="22"/>
      <c r="G472" s="23"/>
      <c r="H472" s="20"/>
      <c r="I472" s="20"/>
      <c r="J472" s="22"/>
      <c r="K472" s="22"/>
      <c r="L472" s="22"/>
      <c r="M472" s="22"/>
      <c r="N472" s="22"/>
    </row>
    <row r="473" ht="22.5" customHeight="1">
      <c r="A473" s="20"/>
      <c r="B473" s="21"/>
      <c r="C473" s="21"/>
      <c r="D473" s="22"/>
      <c r="E473" s="22"/>
      <c r="F473" s="22"/>
      <c r="G473" s="23"/>
      <c r="H473" s="20"/>
      <c r="I473" s="20"/>
      <c r="J473" s="22"/>
      <c r="K473" s="22"/>
      <c r="L473" s="22"/>
      <c r="M473" s="22"/>
      <c r="N473" s="22"/>
    </row>
    <row r="474" ht="22.5" customHeight="1">
      <c r="A474" s="20"/>
      <c r="B474" s="21"/>
      <c r="C474" s="21"/>
      <c r="D474" s="22"/>
      <c r="E474" s="22"/>
      <c r="F474" s="22"/>
      <c r="G474" s="23"/>
      <c r="H474" s="20"/>
      <c r="I474" s="20"/>
      <c r="J474" s="22"/>
      <c r="K474" s="22"/>
      <c r="L474" s="22"/>
      <c r="M474" s="22"/>
      <c r="N474" s="22"/>
    </row>
    <row r="475" ht="22.5" customHeight="1">
      <c r="A475" s="20"/>
      <c r="B475" s="21"/>
      <c r="C475" s="21"/>
      <c r="D475" s="22"/>
      <c r="E475" s="22"/>
      <c r="F475" s="22"/>
      <c r="G475" s="23"/>
      <c r="H475" s="20"/>
      <c r="I475" s="20"/>
      <c r="J475" s="22"/>
      <c r="K475" s="22"/>
      <c r="L475" s="22"/>
      <c r="M475" s="22"/>
      <c r="N475" s="22"/>
    </row>
    <row r="476" ht="22.5" customHeight="1">
      <c r="A476" s="20"/>
      <c r="B476" s="21"/>
      <c r="C476" s="21"/>
      <c r="D476" s="22"/>
      <c r="E476" s="22"/>
      <c r="F476" s="22"/>
      <c r="G476" s="23"/>
      <c r="H476" s="20"/>
      <c r="I476" s="20"/>
      <c r="J476" s="22"/>
      <c r="K476" s="22"/>
      <c r="L476" s="22"/>
      <c r="M476" s="22"/>
      <c r="N476" s="22"/>
    </row>
    <row r="477" ht="22.5" customHeight="1">
      <c r="A477" s="20"/>
      <c r="B477" s="21"/>
      <c r="C477" s="21"/>
      <c r="D477" s="22"/>
      <c r="E477" s="22"/>
      <c r="F477" s="22"/>
      <c r="G477" s="23"/>
      <c r="H477" s="20"/>
      <c r="I477" s="20"/>
      <c r="J477" s="22"/>
      <c r="K477" s="22"/>
      <c r="L477" s="22"/>
      <c r="M477" s="22"/>
      <c r="N477" s="22"/>
    </row>
    <row r="478" ht="22.5" customHeight="1">
      <c r="A478" s="20"/>
      <c r="B478" s="21"/>
      <c r="C478" s="21"/>
      <c r="D478" s="22"/>
      <c r="E478" s="22"/>
      <c r="F478" s="22"/>
      <c r="G478" s="23"/>
      <c r="H478" s="20"/>
      <c r="I478" s="20"/>
      <c r="J478" s="22"/>
      <c r="K478" s="22"/>
      <c r="L478" s="22"/>
      <c r="M478" s="22"/>
      <c r="N478" s="22"/>
    </row>
    <row r="479" ht="22.5" customHeight="1">
      <c r="A479" s="20"/>
      <c r="B479" s="21"/>
      <c r="C479" s="21"/>
      <c r="D479" s="22"/>
      <c r="E479" s="22"/>
      <c r="F479" s="22"/>
      <c r="G479" s="23"/>
      <c r="H479" s="20"/>
      <c r="I479" s="20"/>
      <c r="J479" s="22"/>
      <c r="K479" s="22"/>
      <c r="L479" s="22"/>
      <c r="M479" s="22"/>
      <c r="N479" s="22"/>
    </row>
    <row r="480" ht="22.5" customHeight="1">
      <c r="A480" s="20"/>
      <c r="B480" s="21"/>
      <c r="C480" s="21"/>
      <c r="D480" s="22"/>
      <c r="E480" s="22"/>
      <c r="F480" s="22"/>
      <c r="G480" s="23"/>
      <c r="H480" s="20"/>
      <c r="I480" s="20"/>
      <c r="J480" s="22"/>
      <c r="K480" s="22"/>
      <c r="L480" s="22"/>
      <c r="M480" s="22"/>
      <c r="N480" s="22"/>
    </row>
    <row r="481" ht="22.5" customHeight="1">
      <c r="A481" s="20"/>
      <c r="B481" s="21"/>
      <c r="C481" s="21"/>
      <c r="D481" s="22"/>
      <c r="E481" s="22"/>
      <c r="F481" s="22"/>
      <c r="G481" s="23"/>
      <c r="H481" s="20"/>
      <c r="I481" s="20"/>
      <c r="J481" s="22"/>
      <c r="K481" s="22"/>
      <c r="L481" s="22"/>
      <c r="M481" s="22"/>
      <c r="N481" s="22"/>
    </row>
    <row r="482" ht="22.5" customHeight="1">
      <c r="A482" s="20"/>
      <c r="B482" s="21"/>
      <c r="C482" s="21"/>
      <c r="D482" s="22"/>
      <c r="E482" s="22"/>
      <c r="F482" s="22"/>
      <c r="G482" s="23"/>
      <c r="H482" s="20"/>
      <c r="I482" s="20"/>
      <c r="J482" s="22"/>
      <c r="K482" s="22"/>
      <c r="L482" s="22"/>
      <c r="M482" s="22"/>
      <c r="N482" s="22"/>
    </row>
    <row r="483" ht="22.5" customHeight="1">
      <c r="A483" s="20"/>
      <c r="B483" s="21"/>
      <c r="C483" s="21"/>
      <c r="D483" s="22"/>
      <c r="E483" s="22"/>
      <c r="F483" s="22"/>
      <c r="G483" s="23"/>
      <c r="H483" s="20"/>
      <c r="I483" s="20"/>
      <c r="J483" s="22"/>
      <c r="K483" s="22"/>
      <c r="L483" s="22"/>
      <c r="M483" s="22"/>
      <c r="N483" s="22"/>
    </row>
    <row r="484" ht="22.5" customHeight="1">
      <c r="A484" s="20"/>
      <c r="B484" s="21"/>
      <c r="C484" s="21"/>
      <c r="D484" s="22"/>
      <c r="E484" s="22"/>
      <c r="F484" s="22"/>
      <c r="G484" s="23"/>
      <c r="H484" s="20"/>
      <c r="I484" s="20"/>
      <c r="J484" s="22"/>
      <c r="K484" s="22"/>
      <c r="L484" s="22"/>
      <c r="M484" s="22"/>
      <c r="N484" s="22"/>
    </row>
    <row r="485" ht="22.5" customHeight="1">
      <c r="A485" s="20"/>
      <c r="B485" s="21"/>
      <c r="C485" s="21"/>
      <c r="D485" s="22"/>
      <c r="E485" s="22"/>
      <c r="F485" s="22"/>
      <c r="G485" s="23"/>
      <c r="H485" s="20"/>
      <c r="I485" s="20"/>
      <c r="J485" s="22"/>
      <c r="K485" s="22"/>
      <c r="L485" s="22"/>
      <c r="M485" s="22"/>
      <c r="N485" s="22"/>
    </row>
    <row r="486" ht="22.5" customHeight="1">
      <c r="A486" s="20"/>
      <c r="B486" s="21"/>
      <c r="C486" s="21"/>
      <c r="D486" s="22"/>
      <c r="E486" s="22"/>
      <c r="F486" s="22"/>
      <c r="G486" s="23"/>
      <c r="H486" s="20"/>
      <c r="I486" s="20"/>
      <c r="J486" s="22"/>
      <c r="K486" s="22"/>
      <c r="L486" s="22"/>
      <c r="M486" s="22"/>
      <c r="N486" s="22"/>
    </row>
    <row r="487" ht="22.5" customHeight="1">
      <c r="A487" s="20"/>
      <c r="B487" s="21"/>
      <c r="C487" s="21"/>
      <c r="D487" s="22"/>
      <c r="E487" s="22"/>
      <c r="F487" s="22"/>
      <c r="G487" s="23"/>
      <c r="H487" s="20"/>
      <c r="I487" s="20"/>
      <c r="J487" s="22"/>
      <c r="K487" s="22"/>
      <c r="L487" s="22"/>
      <c r="M487" s="22"/>
      <c r="N487" s="22"/>
    </row>
    <row r="488" ht="22.5" customHeight="1">
      <c r="A488" s="20"/>
      <c r="B488" s="21"/>
      <c r="C488" s="21"/>
      <c r="D488" s="22"/>
      <c r="E488" s="22"/>
      <c r="F488" s="22"/>
      <c r="G488" s="23"/>
      <c r="H488" s="20"/>
      <c r="I488" s="20"/>
      <c r="J488" s="22"/>
      <c r="K488" s="22"/>
      <c r="L488" s="22"/>
      <c r="M488" s="22"/>
      <c r="N488" s="22"/>
    </row>
    <row r="489" ht="22.5" customHeight="1">
      <c r="A489" s="20"/>
      <c r="B489" s="21"/>
      <c r="C489" s="21"/>
      <c r="D489" s="22"/>
      <c r="E489" s="22"/>
      <c r="F489" s="22"/>
      <c r="G489" s="23"/>
      <c r="H489" s="20"/>
      <c r="I489" s="20"/>
      <c r="J489" s="22"/>
      <c r="K489" s="22"/>
      <c r="L489" s="22"/>
      <c r="M489" s="22"/>
      <c r="N489" s="22"/>
    </row>
    <row r="490" ht="22.5" customHeight="1">
      <c r="A490" s="20"/>
      <c r="B490" s="21"/>
      <c r="C490" s="21"/>
      <c r="D490" s="22"/>
      <c r="E490" s="22"/>
      <c r="F490" s="22"/>
      <c r="G490" s="23"/>
      <c r="H490" s="20"/>
      <c r="I490" s="20"/>
      <c r="J490" s="22"/>
      <c r="K490" s="22"/>
      <c r="L490" s="22"/>
      <c r="M490" s="22"/>
      <c r="N490" s="22"/>
    </row>
    <row r="491" ht="22.5" customHeight="1">
      <c r="A491" s="20"/>
      <c r="B491" s="21"/>
      <c r="C491" s="21"/>
      <c r="D491" s="22"/>
      <c r="E491" s="22"/>
      <c r="F491" s="22"/>
      <c r="G491" s="23"/>
      <c r="H491" s="20"/>
      <c r="I491" s="20"/>
      <c r="J491" s="22"/>
      <c r="K491" s="22"/>
      <c r="L491" s="22"/>
      <c r="M491" s="22"/>
      <c r="N491" s="22"/>
    </row>
    <row r="492" ht="22.5" customHeight="1">
      <c r="A492" s="20"/>
      <c r="B492" s="21"/>
      <c r="C492" s="21"/>
      <c r="D492" s="22"/>
      <c r="E492" s="22"/>
      <c r="F492" s="22"/>
      <c r="G492" s="23"/>
      <c r="H492" s="20"/>
      <c r="I492" s="20"/>
      <c r="J492" s="22"/>
      <c r="K492" s="22"/>
      <c r="L492" s="22"/>
      <c r="M492" s="22"/>
      <c r="N492" s="22"/>
    </row>
    <row r="493" ht="22.5" customHeight="1">
      <c r="A493" s="20"/>
      <c r="B493" s="21"/>
      <c r="C493" s="21"/>
      <c r="D493" s="22"/>
      <c r="E493" s="22"/>
      <c r="F493" s="22"/>
      <c r="G493" s="23"/>
      <c r="H493" s="20"/>
      <c r="I493" s="20"/>
      <c r="J493" s="22"/>
      <c r="K493" s="22"/>
      <c r="L493" s="22"/>
      <c r="M493" s="22"/>
      <c r="N493" s="22"/>
    </row>
    <row r="494" ht="22.5" customHeight="1">
      <c r="A494" s="20"/>
      <c r="B494" s="21"/>
      <c r="C494" s="21"/>
      <c r="D494" s="22"/>
      <c r="E494" s="22"/>
      <c r="F494" s="22"/>
      <c r="G494" s="23"/>
      <c r="H494" s="20"/>
      <c r="I494" s="20"/>
      <c r="J494" s="22"/>
      <c r="K494" s="22"/>
      <c r="L494" s="22"/>
      <c r="M494" s="22"/>
      <c r="N494" s="22"/>
    </row>
    <row r="495" ht="22.5" customHeight="1">
      <c r="A495" s="20"/>
      <c r="B495" s="21"/>
      <c r="C495" s="21"/>
      <c r="D495" s="22"/>
      <c r="E495" s="22"/>
      <c r="F495" s="22"/>
      <c r="G495" s="23"/>
      <c r="H495" s="20"/>
      <c r="I495" s="20"/>
      <c r="J495" s="22"/>
      <c r="K495" s="22"/>
      <c r="L495" s="22"/>
      <c r="M495" s="22"/>
      <c r="N495" s="22"/>
    </row>
    <row r="496" ht="22.5" customHeight="1">
      <c r="A496" s="20"/>
      <c r="B496" s="21"/>
      <c r="C496" s="21"/>
      <c r="D496" s="22"/>
      <c r="E496" s="22"/>
      <c r="F496" s="22"/>
      <c r="G496" s="23"/>
      <c r="H496" s="20"/>
      <c r="I496" s="20"/>
      <c r="J496" s="22"/>
      <c r="K496" s="22"/>
      <c r="L496" s="22"/>
      <c r="M496" s="22"/>
      <c r="N496" s="22"/>
    </row>
    <row r="497" ht="22.5" customHeight="1">
      <c r="A497" s="20"/>
      <c r="B497" s="21"/>
      <c r="C497" s="21"/>
      <c r="D497" s="22"/>
      <c r="E497" s="22"/>
      <c r="F497" s="22"/>
      <c r="G497" s="23"/>
      <c r="H497" s="20"/>
      <c r="I497" s="20"/>
      <c r="J497" s="22"/>
      <c r="K497" s="22"/>
      <c r="L497" s="22"/>
      <c r="M497" s="22"/>
      <c r="N497" s="22"/>
    </row>
    <row r="498" ht="22.5" customHeight="1">
      <c r="A498" s="20"/>
      <c r="B498" s="21"/>
      <c r="C498" s="21"/>
      <c r="D498" s="22"/>
      <c r="E498" s="22"/>
      <c r="F498" s="22"/>
      <c r="G498" s="23"/>
      <c r="H498" s="20"/>
      <c r="I498" s="20"/>
      <c r="J498" s="22"/>
      <c r="K498" s="22"/>
      <c r="L498" s="22"/>
      <c r="M498" s="22"/>
      <c r="N498" s="22"/>
    </row>
    <row r="499" ht="22.5" customHeight="1">
      <c r="A499" s="20"/>
      <c r="B499" s="21"/>
      <c r="C499" s="21"/>
      <c r="D499" s="22"/>
      <c r="E499" s="22"/>
      <c r="F499" s="22"/>
      <c r="G499" s="23"/>
      <c r="H499" s="20"/>
      <c r="I499" s="20"/>
      <c r="J499" s="22"/>
      <c r="K499" s="22"/>
      <c r="L499" s="22"/>
      <c r="M499" s="22"/>
      <c r="N499" s="22"/>
    </row>
    <row r="500" ht="22.5" customHeight="1">
      <c r="A500" s="20"/>
      <c r="B500" s="21"/>
      <c r="C500" s="21"/>
      <c r="D500" s="22"/>
      <c r="E500" s="22"/>
      <c r="F500" s="22"/>
      <c r="G500" s="23"/>
      <c r="H500" s="20"/>
      <c r="I500" s="20"/>
      <c r="J500" s="22"/>
      <c r="K500" s="22"/>
      <c r="L500" s="22"/>
      <c r="M500" s="22"/>
      <c r="N500" s="22"/>
    </row>
    <row r="501" ht="22.5" customHeight="1">
      <c r="A501" s="20"/>
      <c r="B501" s="21"/>
      <c r="C501" s="21"/>
      <c r="D501" s="22"/>
      <c r="E501" s="22"/>
      <c r="F501" s="22"/>
      <c r="G501" s="23"/>
      <c r="H501" s="20"/>
      <c r="I501" s="20"/>
      <c r="J501" s="22"/>
      <c r="K501" s="22"/>
      <c r="L501" s="22"/>
      <c r="M501" s="22"/>
      <c r="N501" s="22"/>
    </row>
    <row r="502" ht="22.5" customHeight="1">
      <c r="A502" s="20"/>
      <c r="B502" s="21"/>
      <c r="C502" s="21"/>
      <c r="D502" s="22"/>
      <c r="E502" s="22"/>
      <c r="F502" s="22"/>
      <c r="G502" s="23"/>
      <c r="H502" s="20"/>
      <c r="I502" s="20"/>
      <c r="J502" s="22"/>
      <c r="K502" s="22"/>
      <c r="L502" s="22"/>
      <c r="M502" s="22"/>
      <c r="N502" s="22"/>
    </row>
    <row r="503" ht="22.5" customHeight="1">
      <c r="A503" s="20"/>
      <c r="B503" s="21"/>
      <c r="C503" s="21"/>
      <c r="D503" s="22"/>
      <c r="E503" s="22"/>
      <c r="F503" s="22"/>
      <c r="G503" s="23"/>
      <c r="H503" s="20"/>
      <c r="I503" s="20"/>
      <c r="J503" s="22"/>
      <c r="K503" s="22"/>
      <c r="L503" s="22"/>
      <c r="M503" s="22"/>
      <c r="N503" s="22"/>
    </row>
    <row r="504" ht="22.5" customHeight="1">
      <c r="A504" s="20"/>
      <c r="B504" s="21"/>
      <c r="C504" s="21"/>
      <c r="D504" s="22"/>
      <c r="E504" s="22"/>
      <c r="F504" s="22"/>
      <c r="G504" s="23"/>
      <c r="H504" s="20"/>
      <c r="I504" s="20"/>
      <c r="J504" s="22"/>
      <c r="K504" s="22"/>
      <c r="L504" s="22"/>
      <c r="M504" s="22"/>
      <c r="N504" s="22"/>
    </row>
    <row r="505" ht="22.5" customHeight="1">
      <c r="A505" s="20"/>
      <c r="B505" s="21"/>
      <c r="C505" s="21"/>
      <c r="D505" s="22"/>
      <c r="E505" s="22"/>
      <c r="F505" s="22"/>
      <c r="G505" s="23"/>
      <c r="H505" s="20"/>
      <c r="I505" s="20"/>
      <c r="J505" s="22"/>
      <c r="K505" s="22"/>
      <c r="L505" s="22"/>
      <c r="M505" s="22"/>
      <c r="N505" s="22"/>
    </row>
    <row r="506" ht="22.5" customHeight="1">
      <c r="A506" s="20"/>
      <c r="B506" s="21"/>
      <c r="C506" s="21"/>
      <c r="D506" s="22"/>
      <c r="E506" s="22"/>
      <c r="F506" s="22"/>
      <c r="G506" s="23"/>
      <c r="H506" s="20"/>
      <c r="I506" s="20"/>
      <c r="J506" s="22"/>
      <c r="K506" s="22"/>
      <c r="L506" s="22"/>
      <c r="M506" s="22"/>
      <c r="N506" s="22"/>
    </row>
    <row r="507" ht="22.5" customHeight="1">
      <c r="A507" s="20"/>
      <c r="B507" s="21"/>
      <c r="C507" s="21"/>
      <c r="D507" s="22"/>
      <c r="E507" s="22"/>
      <c r="F507" s="22"/>
      <c r="G507" s="23"/>
      <c r="H507" s="20"/>
      <c r="I507" s="20"/>
      <c r="J507" s="22"/>
      <c r="K507" s="22"/>
      <c r="L507" s="22"/>
      <c r="M507" s="22"/>
      <c r="N507" s="22"/>
    </row>
    <row r="508" ht="22.5" customHeight="1">
      <c r="A508" s="20"/>
      <c r="B508" s="21"/>
      <c r="C508" s="21"/>
      <c r="D508" s="22"/>
      <c r="E508" s="22"/>
      <c r="F508" s="22"/>
      <c r="G508" s="23"/>
      <c r="H508" s="20"/>
      <c r="I508" s="20"/>
      <c r="J508" s="22"/>
      <c r="K508" s="22"/>
      <c r="L508" s="22"/>
      <c r="M508" s="22"/>
      <c r="N508" s="22"/>
    </row>
    <row r="509" ht="22.5" customHeight="1">
      <c r="A509" s="20"/>
      <c r="B509" s="21"/>
      <c r="C509" s="21"/>
      <c r="D509" s="22"/>
      <c r="E509" s="22"/>
      <c r="F509" s="22"/>
      <c r="G509" s="23"/>
      <c r="H509" s="20"/>
      <c r="I509" s="20"/>
      <c r="J509" s="22"/>
      <c r="K509" s="22"/>
      <c r="L509" s="22"/>
      <c r="M509" s="22"/>
      <c r="N509" s="22"/>
    </row>
    <row r="510" ht="22.5" customHeight="1">
      <c r="A510" s="20"/>
      <c r="B510" s="21"/>
      <c r="C510" s="21"/>
      <c r="D510" s="22"/>
      <c r="E510" s="22"/>
      <c r="F510" s="22"/>
      <c r="G510" s="23"/>
      <c r="H510" s="20"/>
      <c r="I510" s="20"/>
      <c r="J510" s="22"/>
      <c r="K510" s="22"/>
      <c r="L510" s="22"/>
      <c r="M510" s="22"/>
      <c r="N510" s="22"/>
    </row>
    <row r="511" ht="22.5" customHeight="1">
      <c r="A511" s="20"/>
      <c r="B511" s="21"/>
      <c r="C511" s="21"/>
      <c r="D511" s="22"/>
      <c r="E511" s="22"/>
      <c r="F511" s="22"/>
      <c r="G511" s="23"/>
      <c r="H511" s="20"/>
      <c r="I511" s="20"/>
      <c r="J511" s="22"/>
      <c r="K511" s="22"/>
      <c r="L511" s="22"/>
      <c r="M511" s="22"/>
      <c r="N511" s="22"/>
    </row>
    <row r="512" ht="22.5" customHeight="1">
      <c r="A512" s="20"/>
      <c r="B512" s="21"/>
      <c r="C512" s="21"/>
      <c r="D512" s="22"/>
      <c r="E512" s="22"/>
      <c r="F512" s="22"/>
      <c r="G512" s="23"/>
      <c r="H512" s="20"/>
      <c r="I512" s="20"/>
      <c r="J512" s="22"/>
      <c r="K512" s="22"/>
      <c r="L512" s="22"/>
      <c r="M512" s="22"/>
      <c r="N512" s="22"/>
    </row>
    <row r="513" ht="22.5" customHeight="1">
      <c r="A513" s="20"/>
      <c r="B513" s="21"/>
      <c r="C513" s="21"/>
      <c r="D513" s="22"/>
      <c r="E513" s="22"/>
      <c r="F513" s="22"/>
      <c r="G513" s="23"/>
      <c r="H513" s="20"/>
      <c r="I513" s="20"/>
      <c r="J513" s="22"/>
      <c r="K513" s="22"/>
      <c r="L513" s="22"/>
      <c r="M513" s="22"/>
      <c r="N513" s="22"/>
    </row>
    <row r="514" ht="22.5" customHeight="1">
      <c r="A514" s="20"/>
      <c r="B514" s="21"/>
      <c r="C514" s="21"/>
      <c r="D514" s="22"/>
      <c r="E514" s="22"/>
      <c r="F514" s="22"/>
      <c r="G514" s="23"/>
      <c r="H514" s="20"/>
      <c r="I514" s="20"/>
      <c r="J514" s="22"/>
      <c r="K514" s="22"/>
      <c r="L514" s="22"/>
      <c r="M514" s="22"/>
      <c r="N514" s="22"/>
    </row>
    <row r="515" ht="22.5" customHeight="1">
      <c r="A515" s="20"/>
      <c r="B515" s="21"/>
      <c r="C515" s="21"/>
      <c r="D515" s="22"/>
      <c r="E515" s="22"/>
      <c r="F515" s="22"/>
      <c r="G515" s="23"/>
      <c r="H515" s="20"/>
      <c r="I515" s="20"/>
      <c r="J515" s="22"/>
      <c r="K515" s="22"/>
      <c r="L515" s="22"/>
      <c r="M515" s="22"/>
      <c r="N515" s="22"/>
    </row>
    <row r="516" ht="22.5" customHeight="1">
      <c r="A516" s="20"/>
      <c r="B516" s="21"/>
      <c r="C516" s="21"/>
      <c r="D516" s="22"/>
      <c r="E516" s="22"/>
      <c r="F516" s="22"/>
      <c r="G516" s="23"/>
      <c r="H516" s="20"/>
      <c r="I516" s="20"/>
      <c r="J516" s="22"/>
      <c r="K516" s="22"/>
      <c r="L516" s="22"/>
      <c r="M516" s="22"/>
      <c r="N516" s="22"/>
    </row>
    <row r="517" ht="22.5" customHeight="1">
      <c r="A517" s="20"/>
      <c r="B517" s="21"/>
      <c r="C517" s="21"/>
      <c r="D517" s="22"/>
      <c r="E517" s="22"/>
      <c r="F517" s="22"/>
      <c r="G517" s="23"/>
      <c r="H517" s="20"/>
      <c r="I517" s="20"/>
      <c r="J517" s="22"/>
      <c r="K517" s="22"/>
      <c r="L517" s="22"/>
      <c r="M517" s="22"/>
      <c r="N517" s="22"/>
    </row>
    <row r="518" ht="22.5" customHeight="1">
      <c r="A518" s="20"/>
      <c r="B518" s="21"/>
      <c r="C518" s="21"/>
      <c r="D518" s="22"/>
      <c r="E518" s="22"/>
      <c r="F518" s="22"/>
      <c r="G518" s="23"/>
      <c r="H518" s="20"/>
      <c r="I518" s="20"/>
      <c r="J518" s="22"/>
      <c r="K518" s="22"/>
      <c r="L518" s="22"/>
      <c r="M518" s="22"/>
      <c r="N518" s="22"/>
    </row>
    <row r="519" ht="22.5" customHeight="1">
      <c r="A519" s="20"/>
      <c r="B519" s="21"/>
      <c r="C519" s="21"/>
      <c r="D519" s="22"/>
      <c r="E519" s="22"/>
      <c r="F519" s="22"/>
      <c r="G519" s="23"/>
      <c r="H519" s="20"/>
      <c r="I519" s="20"/>
      <c r="J519" s="22"/>
      <c r="K519" s="22"/>
      <c r="L519" s="22"/>
      <c r="M519" s="22"/>
      <c r="N519" s="22"/>
    </row>
    <row r="520" ht="22.5" customHeight="1">
      <c r="A520" s="20"/>
      <c r="B520" s="21"/>
      <c r="C520" s="21"/>
      <c r="D520" s="22"/>
      <c r="E520" s="22"/>
      <c r="F520" s="22"/>
      <c r="G520" s="23"/>
      <c r="H520" s="20"/>
      <c r="I520" s="20"/>
      <c r="J520" s="22"/>
      <c r="K520" s="22"/>
      <c r="L520" s="22"/>
      <c r="M520" s="22"/>
      <c r="N520" s="22"/>
    </row>
    <row r="521" ht="22.5" customHeight="1">
      <c r="A521" s="20"/>
      <c r="B521" s="21"/>
      <c r="C521" s="21"/>
      <c r="D521" s="22"/>
      <c r="E521" s="22"/>
      <c r="F521" s="22"/>
      <c r="G521" s="23"/>
      <c r="H521" s="20"/>
      <c r="I521" s="20"/>
      <c r="J521" s="22"/>
      <c r="K521" s="22"/>
      <c r="L521" s="22"/>
      <c r="M521" s="22"/>
      <c r="N521" s="22"/>
    </row>
    <row r="522" ht="22.5" customHeight="1">
      <c r="A522" s="20"/>
      <c r="B522" s="21"/>
      <c r="C522" s="21"/>
      <c r="D522" s="22"/>
      <c r="E522" s="22"/>
      <c r="F522" s="22"/>
      <c r="G522" s="23"/>
      <c r="H522" s="20"/>
      <c r="I522" s="20"/>
      <c r="J522" s="22"/>
      <c r="K522" s="22"/>
      <c r="L522" s="22"/>
      <c r="M522" s="22"/>
      <c r="N522" s="22"/>
    </row>
    <row r="523" ht="22.5" customHeight="1">
      <c r="A523" s="20"/>
      <c r="B523" s="21"/>
      <c r="C523" s="21"/>
      <c r="D523" s="22"/>
      <c r="E523" s="22"/>
      <c r="F523" s="22"/>
      <c r="G523" s="23"/>
      <c r="H523" s="20"/>
      <c r="I523" s="20"/>
      <c r="J523" s="22"/>
      <c r="K523" s="22"/>
      <c r="L523" s="22"/>
      <c r="M523" s="22"/>
      <c r="N523" s="22"/>
    </row>
    <row r="524" ht="22.5" customHeight="1">
      <c r="A524" s="20"/>
      <c r="B524" s="21"/>
      <c r="C524" s="21"/>
      <c r="D524" s="22"/>
      <c r="E524" s="22"/>
      <c r="F524" s="22"/>
      <c r="G524" s="23"/>
      <c r="H524" s="20"/>
      <c r="I524" s="20"/>
      <c r="J524" s="22"/>
      <c r="K524" s="22"/>
      <c r="L524" s="22"/>
      <c r="M524" s="22"/>
      <c r="N524" s="22"/>
    </row>
    <row r="525" ht="22.5" customHeight="1">
      <c r="A525" s="20"/>
      <c r="B525" s="21"/>
      <c r="C525" s="21"/>
      <c r="D525" s="22"/>
      <c r="E525" s="22"/>
      <c r="F525" s="22"/>
      <c r="G525" s="23"/>
      <c r="H525" s="20"/>
      <c r="I525" s="20"/>
      <c r="J525" s="22"/>
      <c r="K525" s="22"/>
      <c r="L525" s="22"/>
      <c r="M525" s="22"/>
      <c r="N525" s="22"/>
    </row>
    <row r="526" ht="22.5" customHeight="1">
      <c r="A526" s="20"/>
      <c r="B526" s="21"/>
      <c r="C526" s="21"/>
      <c r="D526" s="22"/>
      <c r="E526" s="22"/>
      <c r="F526" s="22"/>
      <c r="G526" s="23"/>
      <c r="H526" s="20"/>
      <c r="I526" s="20"/>
      <c r="J526" s="22"/>
      <c r="K526" s="22"/>
      <c r="L526" s="22"/>
      <c r="M526" s="22"/>
      <c r="N526" s="22"/>
    </row>
    <row r="527" ht="22.5" customHeight="1">
      <c r="A527" s="20"/>
      <c r="B527" s="21"/>
      <c r="C527" s="21"/>
      <c r="D527" s="22"/>
      <c r="E527" s="22"/>
      <c r="F527" s="22"/>
      <c r="G527" s="23"/>
      <c r="H527" s="20"/>
      <c r="I527" s="20"/>
      <c r="J527" s="22"/>
      <c r="K527" s="22"/>
      <c r="L527" s="22"/>
      <c r="M527" s="22"/>
      <c r="N527" s="22"/>
    </row>
    <row r="528" ht="22.5" customHeight="1">
      <c r="A528" s="20"/>
      <c r="B528" s="21"/>
      <c r="C528" s="21"/>
      <c r="D528" s="22"/>
      <c r="E528" s="22"/>
      <c r="F528" s="22"/>
      <c r="G528" s="23"/>
      <c r="H528" s="20"/>
      <c r="I528" s="20"/>
      <c r="J528" s="22"/>
      <c r="K528" s="22"/>
      <c r="L528" s="22"/>
      <c r="M528" s="22"/>
      <c r="N528" s="22"/>
    </row>
    <row r="529" ht="22.5" customHeight="1">
      <c r="A529" s="20"/>
      <c r="B529" s="21"/>
      <c r="C529" s="21"/>
      <c r="D529" s="22"/>
      <c r="E529" s="22"/>
      <c r="F529" s="22"/>
      <c r="G529" s="23"/>
      <c r="H529" s="20"/>
      <c r="I529" s="20"/>
      <c r="J529" s="22"/>
      <c r="K529" s="22"/>
      <c r="L529" s="22"/>
      <c r="M529" s="22"/>
      <c r="N529" s="22"/>
    </row>
    <row r="530" ht="22.5" customHeight="1">
      <c r="A530" s="20"/>
      <c r="B530" s="21"/>
      <c r="C530" s="21"/>
      <c r="D530" s="22"/>
      <c r="E530" s="22"/>
      <c r="F530" s="22"/>
      <c r="G530" s="23"/>
      <c r="H530" s="20"/>
      <c r="I530" s="20"/>
      <c r="J530" s="22"/>
      <c r="K530" s="22"/>
      <c r="L530" s="22"/>
      <c r="M530" s="22"/>
      <c r="N530" s="22"/>
    </row>
    <row r="531" ht="22.5" customHeight="1">
      <c r="A531" s="20"/>
      <c r="B531" s="21"/>
      <c r="C531" s="21"/>
      <c r="D531" s="22"/>
      <c r="E531" s="22"/>
      <c r="F531" s="22"/>
      <c r="G531" s="23"/>
      <c r="H531" s="20"/>
      <c r="I531" s="20"/>
      <c r="J531" s="22"/>
      <c r="K531" s="22"/>
      <c r="L531" s="22"/>
      <c r="M531" s="22"/>
      <c r="N531" s="22"/>
    </row>
    <row r="532" ht="22.5" customHeight="1">
      <c r="A532" s="20"/>
      <c r="B532" s="21"/>
      <c r="C532" s="21"/>
      <c r="D532" s="22"/>
      <c r="E532" s="22"/>
      <c r="F532" s="22"/>
      <c r="G532" s="23"/>
      <c r="H532" s="20"/>
      <c r="I532" s="20"/>
      <c r="J532" s="22"/>
      <c r="K532" s="22"/>
      <c r="L532" s="22"/>
      <c r="M532" s="22"/>
      <c r="N532" s="22"/>
    </row>
    <row r="533" ht="22.5" customHeight="1">
      <c r="A533" s="20"/>
      <c r="B533" s="21"/>
      <c r="C533" s="21"/>
      <c r="D533" s="22"/>
      <c r="E533" s="22"/>
      <c r="F533" s="22"/>
      <c r="G533" s="23"/>
      <c r="H533" s="20"/>
      <c r="I533" s="20"/>
      <c r="J533" s="22"/>
      <c r="K533" s="22"/>
      <c r="L533" s="22"/>
      <c r="M533" s="22"/>
      <c r="N533" s="22"/>
    </row>
    <row r="534" ht="22.5" customHeight="1">
      <c r="A534" s="20"/>
      <c r="B534" s="21"/>
      <c r="C534" s="21"/>
      <c r="D534" s="22"/>
      <c r="E534" s="22"/>
      <c r="F534" s="22"/>
      <c r="G534" s="23"/>
      <c r="H534" s="20"/>
      <c r="I534" s="20"/>
      <c r="J534" s="22"/>
      <c r="K534" s="22"/>
      <c r="L534" s="22"/>
      <c r="M534" s="22"/>
      <c r="N534" s="22"/>
    </row>
    <row r="535" ht="22.5" customHeight="1">
      <c r="A535" s="20"/>
      <c r="B535" s="21"/>
      <c r="C535" s="21"/>
      <c r="D535" s="22"/>
      <c r="E535" s="22"/>
      <c r="F535" s="22"/>
      <c r="G535" s="23"/>
      <c r="H535" s="20"/>
      <c r="I535" s="20"/>
      <c r="J535" s="22"/>
      <c r="K535" s="22"/>
      <c r="L535" s="22"/>
      <c r="M535" s="22"/>
      <c r="N535" s="22"/>
    </row>
    <row r="536" ht="22.5" customHeight="1">
      <c r="A536" s="20"/>
      <c r="B536" s="21"/>
      <c r="C536" s="21"/>
      <c r="D536" s="22"/>
      <c r="E536" s="22"/>
      <c r="F536" s="22"/>
      <c r="G536" s="23"/>
      <c r="H536" s="20"/>
      <c r="I536" s="20"/>
      <c r="J536" s="22"/>
      <c r="K536" s="22"/>
      <c r="L536" s="22"/>
      <c r="M536" s="22"/>
      <c r="N536" s="22"/>
    </row>
    <row r="537" ht="22.5" customHeight="1">
      <c r="A537" s="20"/>
      <c r="B537" s="21"/>
      <c r="C537" s="21"/>
      <c r="D537" s="22"/>
      <c r="E537" s="22"/>
      <c r="F537" s="22"/>
      <c r="G537" s="23"/>
      <c r="H537" s="20"/>
      <c r="I537" s="20"/>
      <c r="J537" s="22"/>
      <c r="K537" s="22"/>
      <c r="L537" s="22"/>
      <c r="M537" s="22"/>
      <c r="N537" s="22"/>
    </row>
    <row r="538" ht="22.5" customHeight="1">
      <c r="A538" s="20"/>
      <c r="B538" s="21"/>
      <c r="C538" s="21"/>
      <c r="D538" s="22"/>
      <c r="E538" s="22"/>
      <c r="F538" s="22"/>
      <c r="G538" s="23"/>
      <c r="H538" s="20"/>
      <c r="I538" s="20"/>
      <c r="J538" s="22"/>
      <c r="K538" s="22"/>
      <c r="L538" s="22"/>
      <c r="M538" s="22"/>
      <c r="N538" s="22"/>
    </row>
    <row r="539" ht="22.5" customHeight="1">
      <c r="A539" s="20"/>
      <c r="B539" s="21"/>
      <c r="C539" s="21"/>
      <c r="D539" s="22"/>
      <c r="E539" s="22"/>
      <c r="F539" s="22"/>
      <c r="G539" s="23"/>
      <c r="H539" s="20"/>
      <c r="I539" s="20"/>
      <c r="J539" s="22"/>
      <c r="K539" s="22"/>
      <c r="L539" s="22"/>
      <c r="M539" s="22"/>
      <c r="N539" s="22"/>
    </row>
    <row r="540" ht="22.5" customHeight="1">
      <c r="A540" s="20"/>
      <c r="B540" s="21"/>
      <c r="C540" s="21"/>
      <c r="D540" s="22"/>
      <c r="E540" s="22"/>
      <c r="F540" s="22"/>
      <c r="G540" s="23"/>
      <c r="H540" s="20"/>
      <c r="I540" s="20"/>
      <c r="J540" s="22"/>
      <c r="K540" s="22"/>
      <c r="L540" s="22"/>
      <c r="M540" s="22"/>
      <c r="N540" s="22"/>
    </row>
    <row r="541" ht="22.5" customHeight="1">
      <c r="A541" s="20"/>
      <c r="B541" s="21"/>
      <c r="C541" s="21"/>
      <c r="D541" s="22"/>
      <c r="E541" s="22"/>
      <c r="F541" s="22"/>
      <c r="G541" s="23"/>
      <c r="H541" s="20"/>
      <c r="I541" s="20"/>
      <c r="J541" s="22"/>
      <c r="K541" s="22"/>
      <c r="L541" s="22"/>
      <c r="M541" s="22"/>
      <c r="N541" s="22"/>
    </row>
    <row r="542" ht="22.5" customHeight="1">
      <c r="A542" s="20"/>
      <c r="B542" s="21"/>
      <c r="C542" s="21"/>
      <c r="D542" s="22"/>
      <c r="E542" s="22"/>
      <c r="F542" s="22"/>
      <c r="G542" s="23"/>
      <c r="H542" s="20"/>
      <c r="I542" s="20"/>
      <c r="J542" s="22"/>
      <c r="K542" s="22"/>
      <c r="L542" s="22"/>
      <c r="M542" s="22"/>
      <c r="N542" s="22"/>
    </row>
    <row r="543" ht="22.5" customHeight="1">
      <c r="A543" s="20"/>
      <c r="B543" s="21"/>
      <c r="C543" s="21"/>
      <c r="D543" s="22"/>
      <c r="E543" s="22"/>
      <c r="F543" s="22"/>
      <c r="G543" s="23"/>
      <c r="H543" s="20"/>
      <c r="I543" s="20"/>
      <c r="J543" s="22"/>
      <c r="K543" s="22"/>
      <c r="L543" s="22"/>
      <c r="M543" s="22"/>
      <c r="N543" s="22"/>
    </row>
    <row r="544" ht="22.5" customHeight="1">
      <c r="A544" s="20"/>
      <c r="B544" s="21"/>
      <c r="C544" s="21"/>
      <c r="D544" s="22"/>
      <c r="E544" s="22"/>
      <c r="F544" s="22"/>
      <c r="G544" s="23"/>
      <c r="H544" s="20"/>
      <c r="I544" s="20"/>
      <c r="J544" s="22"/>
      <c r="K544" s="22"/>
      <c r="L544" s="22"/>
      <c r="M544" s="22"/>
      <c r="N544" s="22"/>
    </row>
    <row r="545" ht="22.5" customHeight="1">
      <c r="A545" s="20"/>
      <c r="B545" s="21"/>
      <c r="C545" s="21"/>
      <c r="D545" s="22"/>
      <c r="E545" s="22"/>
      <c r="F545" s="22"/>
      <c r="G545" s="23"/>
      <c r="H545" s="20"/>
      <c r="I545" s="20"/>
      <c r="J545" s="22"/>
      <c r="K545" s="22"/>
      <c r="L545" s="22"/>
      <c r="M545" s="22"/>
      <c r="N545" s="22"/>
    </row>
    <row r="546" ht="22.5" customHeight="1">
      <c r="A546" s="20"/>
      <c r="B546" s="21"/>
      <c r="C546" s="21"/>
      <c r="D546" s="22"/>
      <c r="E546" s="22"/>
      <c r="F546" s="22"/>
      <c r="G546" s="23"/>
      <c r="H546" s="20"/>
      <c r="I546" s="20"/>
      <c r="J546" s="22"/>
      <c r="K546" s="22"/>
      <c r="L546" s="22"/>
      <c r="M546" s="22"/>
      <c r="N546" s="22"/>
    </row>
    <row r="547" ht="22.5" customHeight="1">
      <c r="A547" s="20"/>
      <c r="B547" s="21"/>
      <c r="C547" s="21"/>
      <c r="D547" s="22"/>
      <c r="E547" s="22"/>
      <c r="F547" s="22"/>
      <c r="G547" s="23"/>
      <c r="H547" s="20"/>
      <c r="I547" s="20"/>
      <c r="J547" s="22"/>
      <c r="K547" s="22"/>
      <c r="L547" s="22"/>
      <c r="M547" s="22"/>
      <c r="N547" s="22"/>
    </row>
    <row r="548" ht="22.5" customHeight="1">
      <c r="A548" s="20"/>
      <c r="B548" s="21"/>
      <c r="C548" s="21"/>
      <c r="D548" s="22"/>
      <c r="E548" s="22"/>
      <c r="F548" s="22"/>
      <c r="G548" s="23"/>
      <c r="H548" s="20"/>
      <c r="I548" s="20"/>
      <c r="J548" s="22"/>
      <c r="K548" s="22"/>
      <c r="L548" s="22"/>
      <c r="M548" s="22"/>
      <c r="N548" s="22"/>
    </row>
    <row r="549" ht="22.5" customHeight="1">
      <c r="A549" s="20"/>
      <c r="B549" s="21"/>
      <c r="C549" s="21"/>
      <c r="D549" s="22"/>
      <c r="E549" s="22"/>
      <c r="F549" s="22"/>
      <c r="G549" s="23"/>
      <c r="H549" s="20"/>
      <c r="I549" s="20"/>
      <c r="J549" s="22"/>
      <c r="K549" s="22"/>
      <c r="L549" s="22"/>
      <c r="M549" s="22"/>
      <c r="N549" s="22"/>
    </row>
    <row r="550" ht="22.5" customHeight="1">
      <c r="A550" s="20"/>
      <c r="B550" s="21"/>
      <c r="C550" s="21"/>
      <c r="D550" s="22"/>
      <c r="E550" s="22"/>
      <c r="F550" s="22"/>
      <c r="G550" s="23"/>
      <c r="H550" s="20"/>
      <c r="I550" s="20"/>
      <c r="J550" s="22"/>
      <c r="K550" s="22"/>
      <c r="L550" s="22"/>
      <c r="M550" s="22"/>
      <c r="N550" s="22"/>
    </row>
    <row r="551" ht="22.5" customHeight="1">
      <c r="A551" s="20"/>
      <c r="B551" s="21"/>
      <c r="C551" s="21"/>
      <c r="D551" s="22"/>
      <c r="E551" s="22"/>
      <c r="F551" s="22"/>
      <c r="G551" s="23"/>
      <c r="H551" s="20"/>
      <c r="I551" s="20"/>
      <c r="J551" s="22"/>
      <c r="K551" s="22"/>
      <c r="L551" s="22"/>
      <c r="M551" s="22"/>
      <c r="N551" s="22"/>
    </row>
    <row r="552" ht="22.5" customHeight="1">
      <c r="A552" s="20"/>
      <c r="B552" s="21"/>
      <c r="C552" s="21"/>
      <c r="D552" s="22"/>
      <c r="E552" s="22"/>
      <c r="F552" s="22"/>
      <c r="G552" s="23"/>
      <c r="H552" s="20"/>
      <c r="I552" s="20"/>
      <c r="J552" s="22"/>
      <c r="K552" s="22"/>
      <c r="L552" s="22"/>
      <c r="M552" s="22"/>
      <c r="N552" s="22"/>
    </row>
    <row r="553" ht="22.5" customHeight="1">
      <c r="A553" s="20"/>
      <c r="B553" s="21"/>
      <c r="C553" s="21"/>
      <c r="D553" s="22"/>
      <c r="E553" s="22"/>
      <c r="F553" s="22"/>
      <c r="G553" s="23"/>
      <c r="H553" s="20"/>
      <c r="I553" s="20"/>
      <c r="J553" s="22"/>
      <c r="K553" s="22"/>
      <c r="L553" s="22"/>
      <c r="M553" s="22"/>
      <c r="N553" s="22"/>
    </row>
    <row r="554" ht="22.5" customHeight="1">
      <c r="A554" s="20"/>
      <c r="B554" s="21"/>
      <c r="C554" s="21"/>
      <c r="D554" s="22"/>
      <c r="E554" s="22"/>
      <c r="F554" s="22"/>
      <c r="G554" s="23"/>
      <c r="H554" s="20"/>
      <c r="I554" s="20"/>
      <c r="J554" s="22"/>
      <c r="K554" s="22"/>
      <c r="L554" s="22"/>
      <c r="M554" s="22"/>
      <c r="N554" s="22"/>
    </row>
    <row r="555" ht="22.5" customHeight="1">
      <c r="A555" s="20"/>
      <c r="B555" s="21"/>
      <c r="C555" s="21"/>
      <c r="D555" s="22"/>
      <c r="E555" s="22"/>
      <c r="F555" s="22"/>
      <c r="G555" s="23"/>
      <c r="H555" s="20"/>
      <c r="I555" s="20"/>
      <c r="J555" s="22"/>
      <c r="K555" s="22"/>
      <c r="L555" s="22"/>
      <c r="M555" s="22"/>
      <c r="N555" s="22"/>
    </row>
    <row r="556" ht="22.5" customHeight="1">
      <c r="A556" s="20"/>
      <c r="B556" s="21"/>
      <c r="C556" s="21"/>
      <c r="D556" s="22"/>
      <c r="E556" s="22"/>
      <c r="F556" s="22"/>
      <c r="G556" s="23"/>
      <c r="H556" s="20"/>
      <c r="I556" s="20"/>
      <c r="J556" s="22"/>
      <c r="K556" s="22"/>
      <c r="L556" s="22"/>
      <c r="M556" s="22"/>
      <c r="N556" s="22"/>
    </row>
    <row r="557" ht="22.5" customHeight="1">
      <c r="A557" s="20"/>
      <c r="B557" s="21"/>
      <c r="C557" s="21"/>
      <c r="D557" s="22"/>
      <c r="E557" s="22"/>
      <c r="F557" s="22"/>
      <c r="G557" s="23"/>
      <c r="H557" s="20"/>
      <c r="I557" s="20"/>
      <c r="J557" s="22"/>
      <c r="K557" s="22"/>
      <c r="L557" s="22"/>
      <c r="M557" s="22"/>
      <c r="N557" s="22"/>
    </row>
    <row r="558" ht="22.5" customHeight="1">
      <c r="A558" s="20"/>
      <c r="B558" s="21"/>
      <c r="C558" s="21"/>
      <c r="D558" s="22"/>
      <c r="E558" s="22"/>
      <c r="F558" s="22"/>
      <c r="G558" s="23"/>
      <c r="H558" s="20"/>
      <c r="I558" s="20"/>
      <c r="J558" s="22"/>
      <c r="K558" s="22"/>
      <c r="L558" s="22"/>
      <c r="M558" s="22"/>
      <c r="N558" s="22"/>
    </row>
    <row r="559" ht="22.5" customHeight="1">
      <c r="A559" s="20"/>
      <c r="B559" s="21"/>
      <c r="C559" s="21"/>
      <c r="D559" s="22"/>
      <c r="E559" s="22"/>
      <c r="F559" s="22"/>
      <c r="G559" s="23"/>
      <c r="H559" s="20"/>
      <c r="I559" s="20"/>
      <c r="J559" s="22"/>
      <c r="K559" s="22"/>
      <c r="L559" s="22"/>
      <c r="M559" s="22"/>
      <c r="N559" s="22"/>
    </row>
    <row r="560" ht="22.5" customHeight="1">
      <c r="A560" s="20"/>
      <c r="B560" s="21"/>
      <c r="C560" s="21"/>
      <c r="D560" s="22"/>
      <c r="E560" s="22"/>
      <c r="F560" s="22"/>
      <c r="G560" s="23"/>
      <c r="H560" s="20"/>
      <c r="I560" s="20"/>
      <c r="J560" s="22"/>
      <c r="K560" s="22"/>
      <c r="L560" s="22"/>
      <c r="M560" s="22"/>
      <c r="N560" s="22"/>
    </row>
    <row r="561" ht="22.5" customHeight="1">
      <c r="A561" s="20"/>
      <c r="B561" s="21"/>
      <c r="C561" s="21"/>
      <c r="D561" s="22"/>
      <c r="E561" s="22"/>
      <c r="F561" s="22"/>
      <c r="G561" s="23"/>
      <c r="H561" s="20"/>
      <c r="I561" s="20"/>
      <c r="J561" s="22"/>
      <c r="K561" s="22"/>
      <c r="L561" s="22"/>
      <c r="M561" s="22"/>
      <c r="N561" s="22"/>
    </row>
    <row r="562" ht="22.5" customHeight="1">
      <c r="A562" s="20"/>
      <c r="B562" s="21"/>
      <c r="C562" s="21"/>
      <c r="D562" s="22"/>
      <c r="E562" s="22"/>
      <c r="F562" s="22"/>
      <c r="G562" s="23"/>
      <c r="H562" s="20"/>
      <c r="I562" s="20"/>
      <c r="J562" s="22"/>
      <c r="K562" s="22"/>
      <c r="L562" s="22"/>
      <c r="M562" s="22"/>
      <c r="N562" s="22"/>
    </row>
    <row r="563" ht="22.5" customHeight="1">
      <c r="A563" s="20"/>
      <c r="B563" s="21"/>
      <c r="C563" s="21"/>
      <c r="D563" s="22"/>
      <c r="E563" s="22"/>
      <c r="F563" s="22"/>
      <c r="G563" s="23"/>
      <c r="H563" s="20"/>
      <c r="I563" s="20"/>
      <c r="J563" s="22"/>
      <c r="K563" s="22"/>
      <c r="L563" s="22"/>
      <c r="M563" s="22"/>
      <c r="N563" s="22"/>
    </row>
    <row r="564" ht="22.5" customHeight="1">
      <c r="A564" s="20"/>
      <c r="B564" s="21"/>
      <c r="C564" s="21"/>
      <c r="D564" s="22"/>
      <c r="E564" s="22"/>
      <c r="F564" s="22"/>
      <c r="G564" s="23"/>
      <c r="H564" s="20"/>
      <c r="I564" s="20"/>
      <c r="J564" s="22"/>
      <c r="K564" s="22"/>
      <c r="L564" s="22"/>
      <c r="M564" s="22"/>
      <c r="N564" s="22"/>
    </row>
    <row r="565" ht="22.5" customHeight="1">
      <c r="A565" s="20"/>
      <c r="B565" s="21"/>
      <c r="C565" s="21"/>
      <c r="D565" s="22"/>
      <c r="E565" s="22"/>
      <c r="F565" s="22"/>
      <c r="G565" s="23"/>
      <c r="H565" s="20"/>
      <c r="I565" s="20"/>
      <c r="J565" s="22"/>
      <c r="K565" s="22"/>
      <c r="L565" s="22"/>
      <c r="M565" s="22"/>
      <c r="N565" s="22"/>
    </row>
    <row r="566" ht="22.5" customHeight="1">
      <c r="A566" s="20"/>
      <c r="B566" s="21"/>
      <c r="C566" s="21"/>
      <c r="D566" s="22"/>
      <c r="E566" s="22"/>
      <c r="F566" s="22"/>
      <c r="G566" s="23"/>
      <c r="H566" s="20"/>
      <c r="I566" s="20"/>
      <c r="J566" s="22"/>
      <c r="K566" s="22"/>
      <c r="L566" s="22"/>
      <c r="M566" s="22"/>
      <c r="N566" s="22"/>
    </row>
    <row r="567" ht="22.5" customHeight="1">
      <c r="A567" s="20"/>
      <c r="B567" s="21"/>
      <c r="C567" s="21"/>
      <c r="D567" s="22"/>
      <c r="E567" s="22"/>
      <c r="F567" s="22"/>
      <c r="G567" s="23"/>
      <c r="H567" s="20"/>
      <c r="I567" s="20"/>
      <c r="J567" s="22"/>
      <c r="K567" s="22"/>
      <c r="L567" s="22"/>
      <c r="M567" s="22"/>
      <c r="N567" s="22"/>
    </row>
    <row r="568" ht="22.5" customHeight="1">
      <c r="A568" s="20"/>
      <c r="B568" s="21"/>
      <c r="C568" s="21"/>
      <c r="D568" s="22"/>
      <c r="E568" s="22"/>
      <c r="F568" s="22"/>
      <c r="G568" s="23"/>
      <c r="H568" s="20"/>
      <c r="I568" s="20"/>
      <c r="J568" s="22"/>
      <c r="K568" s="22"/>
      <c r="L568" s="22"/>
      <c r="M568" s="22"/>
      <c r="N568" s="22"/>
    </row>
    <row r="569" ht="22.5" customHeight="1">
      <c r="A569" s="20"/>
      <c r="B569" s="21"/>
      <c r="C569" s="21"/>
      <c r="D569" s="22"/>
      <c r="E569" s="22"/>
      <c r="F569" s="22"/>
      <c r="G569" s="23"/>
      <c r="H569" s="20"/>
      <c r="I569" s="20"/>
      <c r="J569" s="22"/>
      <c r="K569" s="22"/>
      <c r="L569" s="22"/>
      <c r="M569" s="22"/>
      <c r="N569" s="22"/>
    </row>
    <row r="570" ht="22.5" customHeight="1">
      <c r="A570" s="20"/>
      <c r="B570" s="21"/>
      <c r="C570" s="21"/>
      <c r="D570" s="22"/>
      <c r="E570" s="22"/>
      <c r="F570" s="22"/>
      <c r="G570" s="23"/>
      <c r="H570" s="20"/>
      <c r="I570" s="20"/>
      <c r="J570" s="22"/>
      <c r="K570" s="22"/>
      <c r="L570" s="22"/>
      <c r="M570" s="22"/>
      <c r="N570" s="22"/>
    </row>
    <row r="571" ht="22.5" customHeight="1">
      <c r="A571" s="20"/>
      <c r="B571" s="21"/>
      <c r="C571" s="21"/>
      <c r="D571" s="22"/>
      <c r="E571" s="22"/>
      <c r="F571" s="22"/>
      <c r="G571" s="23"/>
      <c r="H571" s="20"/>
      <c r="I571" s="20"/>
      <c r="J571" s="22"/>
      <c r="K571" s="22"/>
      <c r="L571" s="22"/>
      <c r="M571" s="22"/>
      <c r="N571" s="22"/>
    </row>
    <row r="572" ht="22.5" customHeight="1">
      <c r="A572" s="20"/>
      <c r="B572" s="21"/>
      <c r="C572" s="21"/>
      <c r="D572" s="22"/>
      <c r="E572" s="22"/>
      <c r="F572" s="22"/>
      <c r="G572" s="23"/>
      <c r="H572" s="20"/>
      <c r="I572" s="20"/>
      <c r="J572" s="22"/>
      <c r="K572" s="22"/>
      <c r="L572" s="22"/>
      <c r="M572" s="22"/>
      <c r="N572" s="22"/>
    </row>
    <row r="573" ht="22.5" customHeight="1">
      <c r="A573" s="20"/>
      <c r="B573" s="21"/>
      <c r="C573" s="21"/>
      <c r="D573" s="22"/>
      <c r="E573" s="22"/>
      <c r="F573" s="22"/>
      <c r="G573" s="23"/>
      <c r="H573" s="20"/>
      <c r="I573" s="20"/>
      <c r="J573" s="22"/>
      <c r="K573" s="22"/>
      <c r="L573" s="22"/>
      <c r="M573" s="22"/>
      <c r="N573" s="22"/>
    </row>
    <row r="574" ht="22.5" customHeight="1">
      <c r="A574" s="20"/>
      <c r="B574" s="21"/>
      <c r="C574" s="21"/>
      <c r="D574" s="22"/>
      <c r="E574" s="22"/>
      <c r="F574" s="22"/>
      <c r="G574" s="23"/>
      <c r="H574" s="20"/>
      <c r="I574" s="20"/>
      <c r="J574" s="22"/>
      <c r="K574" s="22"/>
      <c r="L574" s="22"/>
      <c r="M574" s="22"/>
      <c r="N574" s="22"/>
    </row>
    <row r="575" ht="22.5" customHeight="1">
      <c r="A575" s="20"/>
      <c r="B575" s="21"/>
      <c r="C575" s="21"/>
      <c r="D575" s="22"/>
      <c r="E575" s="22"/>
      <c r="F575" s="22"/>
      <c r="G575" s="23"/>
      <c r="H575" s="20"/>
      <c r="I575" s="20"/>
      <c r="J575" s="22"/>
      <c r="K575" s="22"/>
      <c r="L575" s="22"/>
      <c r="M575" s="22"/>
      <c r="N575" s="22"/>
    </row>
    <row r="576" ht="22.5" customHeight="1">
      <c r="A576" s="20"/>
      <c r="B576" s="21"/>
      <c r="C576" s="21"/>
      <c r="D576" s="22"/>
      <c r="E576" s="22"/>
      <c r="F576" s="22"/>
      <c r="G576" s="23"/>
      <c r="H576" s="20"/>
      <c r="I576" s="20"/>
      <c r="J576" s="22"/>
      <c r="K576" s="22"/>
      <c r="L576" s="22"/>
      <c r="M576" s="22"/>
      <c r="N576" s="22"/>
    </row>
    <row r="577" ht="22.5" customHeight="1">
      <c r="A577" s="20"/>
      <c r="B577" s="21"/>
      <c r="C577" s="21"/>
      <c r="D577" s="22"/>
      <c r="E577" s="22"/>
      <c r="F577" s="22"/>
      <c r="G577" s="23"/>
      <c r="H577" s="20"/>
      <c r="I577" s="20"/>
      <c r="J577" s="22"/>
      <c r="K577" s="22"/>
      <c r="L577" s="22"/>
      <c r="M577" s="22"/>
      <c r="N577" s="22"/>
    </row>
    <row r="578" ht="22.5" customHeight="1">
      <c r="A578" s="20"/>
      <c r="B578" s="21"/>
      <c r="C578" s="21"/>
      <c r="D578" s="22"/>
      <c r="E578" s="22"/>
      <c r="F578" s="22"/>
      <c r="G578" s="23"/>
      <c r="H578" s="20"/>
      <c r="I578" s="20"/>
      <c r="J578" s="22"/>
      <c r="K578" s="22"/>
      <c r="L578" s="22"/>
      <c r="M578" s="22"/>
      <c r="N578" s="22"/>
    </row>
    <row r="579" ht="22.5" customHeight="1">
      <c r="A579" s="20"/>
      <c r="B579" s="21"/>
      <c r="C579" s="21"/>
      <c r="D579" s="22"/>
      <c r="E579" s="22"/>
      <c r="F579" s="22"/>
      <c r="G579" s="23"/>
      <c r="H579" s="20"/>
      <c r="I579" s="20"/>
      <c r="J579" s="22"/>
      <c r="K579" s="22"/>
      <c r="L579" s="22"/>
      <c r="M579" s="22"/>
      <c r="N579" s="22"/>
    </row>
    <row r="580" ht="22.5" customHeight="1">
      <c r="A580" s="20"/>
      <c r="B580" s="21"/>
      <c r="C580" s="21"/>
      <c r="D580" s="22"/>
      <c r="E580" s="22"/>
      <c r="F580" s="22"/>
      <c r="G580" s="23"/>
      <c r="H580" s="20"/>
      <c r="I580" s="20"/>
      <c r="J580" s="22"/>
      <c r="K580" s="22"/>
      <c r="L580" s="22"/>
      <c r="M580" s="22"/>
      <c r="N580" s="22"/>
    </row>
    <row r="581" ht="22.5" customHeight="1">
      <c r="A581" s="20"/>
      <c r="B581" s="21"/>
      <c r="C581" s="21"/>
      <c r="D581" s="22"/>
      <c r="E581" s="22"/>
      <c r="F581" s="22"/>
      <c r="G581" s="23"/>
      <c r="H581" s="20"/>
      <c r="I581" s="20"/>
      <c r="J581" s="22"/>
      <c r="K581" s="22"/>
      <c r="L581" s="22"/>
      <c r="M581" s="22"/>
      <c r="N581" s="22"/>
    </row>
    <row r="582" ht="22.5" customHeight="1">
      <c r="A582" s="20"/>
      <c r="B582" s="21"/>
      <c r="C582" s="21"/>
      <c r="D582" s="22"/>
      <c r="E582" s="22"/>
      <c r="F582" s="22"/>
      <c r="G582" s="23"/>
      <c r="H582" s="20"/>
      <c r="I582" s="20"/>
      <c r="J582" s="22"/>
      <c r="K582" s="22"/>
      <c r="L582" s="22"/>
      <c r="M582" s="22"/>
      <c r="N582" s="22"/>
    </row>
    <row r="583" ht="22.5" customHeight="1">
      <c r="A583" s="20"/>
      <c r="B583" s="21"/>
      <c r="C583" s="21"/>
      <c r="D583" s="22"/>
      <c r="E583" s="22"/>
      <c r="F583" s="22"/>
      <c r="G583" s="23"/>
      <c r="H583" s="20"/>
      <c r="I583" s="20"/>
      <c r="J583" s="22"/>
      <c r="K583" s="22"/>
      <c r="L583" s="22"/>
      <c r="M583" s="22"/>
      <c r="N583" s="22"/>
    </row>
    <row r="584" ht="22.5" customHeight="1">
      <c r="A584" s="20"/>
      <c r="B584" s="21"/>
      <c r="C584" s="21"/>
      <c r="D584" s="22"/>
      <c r="E584" s="22"/>
      <c r="F584" s="22"/>
      <c r="G584" s="23"/>
      <c r="H584" s="20"/>
      <c r="I584" s="20"/>
      <c r="J584" s="22"/>
      <c r="K584" s="22"/>
      <c r="L584" s="22"/>
      <c r="M584" s="22"/>
      <c r="N584" s="22"/>
    </row>
    <row r="585" ht="22.5" customHeight="1">
      <c r="A585" s="20"/>
      <c r="B585" s="21"/>
      <c r="C585" s="21"/>
      <c r="D585" s="22"/>
      <c r="E585" s="22"/>
      <c r="F585" s="22"/>
      <c r="G585" s="23"/>
      <c r="H585" s="20"/>
      <c r="I585" s="20"/>
      <c r="J585" s="22"/>
      <c r="K585" s="22"/>
      <c r="L585" s="22"/>
      <c r="M585" s="22"/>
      <c r="N585" s="22"/>
    </row>
    <row r="586" ht="22.5" customHeight="1">
      <c r="A586" s="20"/>
      <c r="B586" s="21"/>
      <c r="C586" s="21"/>
      <c r="D586" s="22"/>
      <c r="E586" s="22"/>
      <c r="F586" s="22"/>
      <c r="G586" s="23"/>
      <c r="H586" s="20"/>
      <c r="I586" s="20"/>
      <c r="J586" s="22"/>
      <c r="K586" s="22"/>
      <c r="L586" s="22"/>
      <c r="M586" s="22"/>
      <c r="N586" s="22"/>
    </row>
    <row r="587" ht="22.5" customHeight="1">
      <c r="A587" s="20"/>
      <c r="B587" s="21"/>
      <c r="C587" s="21"/>
      <c r="D587" s="22"/>
      <c r="E587" s="22"/>
      <c r="F587" s="22"/>
      <c r="G587" s="23"/>
      <c r="H587" s="20"/>
      <c r="I587" s="20"/>
      <c r="J587" s="22"/>
      <c r="K587" s="22"/>
      <c r="L587" s="22"/>
      <c r="M587" s="22"/>
      <c r="N587" s="22"/>
    </row>
    <row r="588" ht="22.5" customHeight="1">
      <c r="A588" s="20"/>
      <c r="B588" s="21"/>
      <c r="C588" s="21"/>
      <c r="D588" s="22"/>
      <c r="E588" s="22"/>
      <c r="F588" s="22"/>
      <c r="G588" s="23"/>
      <c r="H588" s="20"/>
      <c r="I588" s="20"/>
      <c r="J588" s="22"/>
      <c r="K588" s="22"/>
      <c r="L588" s="22"/>
      <c r="M588" s="22"/>
      <c r="N588" s="22"/>
    </row>
    <row r="589" ht="22.5" customHeight="1">
      <c r="A589" s="20"/>
      <c r="B589" s="21"/>
      <c r="C589" s="21"/>
      <c r="D589" s="22"/>
      <c r="E589" s="22"/>
      <c r="F589" s="22"/>
      <c r="G589" s="23"/>
      <c r="H589" s="20"/>
      <c r="I589" s="20"/>
      <c r="J589" s="22"/>
      <c r="K589" s="22"/>
      <c r="L589" s="22"/>
      <c r="M589" s="22"/>
      <c r="N589" s="22"/>
    </row>
    <row r="590" ht="22.5" customHeight="1">
      <c r="A590" s="20"/>
      <c r="B590" s="21"/>
      <c r="C590" s="21"/>
      <c r="D590" s="22"/>
      <c r="E590" s="22"/>
      <c r="F590" s="22"/>
      <c r="G590" s="23"/>
      <c r="H590" s="20"/>
      <c r="I590" s="20"/>
      <c r="J590" s="22"/>
      <c r="K590" s="22"/>
      <c r="L590" s="22"/>
      <c r="M590" s="22"/>
      <c r="N590" s="22"/>
    </row>
    <row r="591" ht="22.5" customHeight="1">
      <c r="A591" s="20"/>
      <c r="B591" s="21"/>
      <c r="C591" s="21"/>
      <c r="D591" s="22"/>
      <c r="E591" s="22"/>
      <c r="F591" s="22"/>
      <c r="G591" s="23"/>
      <c r="H591" s="20"/>
      <c r="I591" s="20"/>
      <c r="J591" s="22"/>
      <c r="K591" s="22"/>
      <c r="L591" s="22"/>
      <c r="M591" s="22"/>
      <c r="N591" s="22"/>
    </row>
    <row r="592" ht="22.5" customHeight="1">
      <c r="A592" s="20"/>
      <c r="B592" s="21"/>
      <c r="C592" s="21"/>
      <c r="D592" s="22"/>
      <c r="E592" s="22"/>
      <c r="F592" s="22"/>
      <c r="G592" s="23"/>
      <c r="H592" s="20"/>
      <c r="I592" s="20"/>
      <c r="J592" s="22"/>
      <c r="K592" s="22"/>
      <c r="L592" s="22"/>
      <c r="M592" s="22"/>
      <c r="N592" s="22"/>
    </row>
    <row r="593" ht="22.5" customHeight="1">
      <c r="A593" s="20"/>
      <c r="B593" s="21"/>
      <c r="C593" s="21"/>
      <c r="D593" s="22"/>
      <c r="E593" s="22"/>
      <c r="F593" s="22"/>
      <c r="G593" s="23"/>
      <c r="H593" s="20"/>
      <c r="I593" s="20"/>
      <c r="J593" s="22"/>
      <c r="K593" s="22"/>
      <c r="L593" s="22"/>
      <c r="M593" s="22"/>
      <c r="N593" s="22"/>
    </row>
    <row r="594" ht="22.5" customHeight="1">
      <c r="A594" s="20"/>
      <c r="B594" s="21"/>
      <c r="C594" s="21"/>
      <c r="D594" s="22"/>
      <c r="E594" s="22"/>
      <c r="F594" s="22"/>
      <c r="G594" s="23"/>
      <c r="H594" s="20"/>
      <c r="I594" s="20"/>
      <c r="J594" s="22"/>
      <c r="K594" s="22"/>
      <c r="L594" s="22"/>
      <c r="M594" s="22"/>
      <c r="N594" s="22"/>
    </row>
    <row r="595" ht="22.5" customHeight="1">
      <c r="A595" s="20"/>
      <c r="B595" s="21"/>
      <c r="C595" s="21"/>
      <c r="D595" s="22"/>
      <c r="E595" s="22"/>
      <c r="F595" s="22"/>
      <c r="G595" s="23"/>
      <c r="H595" s="20"/>
      <c r="I595" s="20"/>
      <c r="J595" s="22"/>
      <c r="K595" s="22"/>
      <c r="L595" s="22"/>
      <c r="M595" s="22"/>
      <c r="N595" s="22"/>
    </row>
    <row r="596" ht="22.5" customHeight="1">
      <c r="A596" s="20"/>
      <c r="B596" s="21"/>
      <c r="C596" s="21"/>
      <c r="D596" s="22"/>
      <c r="E596" s="22"/>
      <c r="F596" s="22"/>
      <c r="G596" s="23"/>
      <c r="H596" s="20"/>
      <c r="I596" s="20"/>
      <c r="J596" s="22"/>
      <c r="K596" s="22"/>
      <c r="L596" s="22"/>
      <c r="M596" s="22"/>
      <c r="N596" s="22"/>
    </row>
    <row r="597" ht="22.5" customHeight="1">
      <c r="A597" s="20"/>
      <c r="B597" s="21"/>
      <c r="C597" s="21"/>
      <c r="D597" s="22"/>
      <c r="E597" s="22"/>
      <c r="F597" s="22"/>
      <c r="G597" s="23"/>
      <c r="H597" s="20"/>
      <c r="I597" s="20"/>
      <c r="J597" s="22"/>
      <c r="K597" s="22"/>
      <c r="L597" s="22"/>
      <c r="M597" s="22"/>
      <c r="N597" s="22"/>
    </row>
    <row r="598" ht="22.5" customHeight="1">
      <c r="A598" s="20"/>
      <c r="B598" s="21"/>
      <c r="C598" s="21"/>
      <c r="D598" s="22"/>
      <c r="E598" s="22"/>
      <c r="F598" s="22"/>
      <c r="G598" s="23"/>
      <c r="H598" s="20"/>
      <c r="I598" s="20"/>
      <c r="J598" s="22"/>
      <c r="K598" s="22"/>
      <c r="L598" s="22"/>
      <c r="M598" s="22"/>
      <c r="N598" s="22"/>
    </row>
    <row r="599" ht="22.5" customHeight="1">
      <c r="A599" s="20"/>
      <c r="B599" s="21"/>
      <c r="C599" s="21"/>
      <c r="D599" s="22"/>
      <c r="E599" s="22"/>
      <c r="F599" s="22"/>
      <c r="G599" s="23"/>
      <c r="H599" s="20"/>
      <c r="I599" s="20"/>
      <c r="J599" s="22"/>
      <c r="K599" s="22"/>
      <c r="L599" s="22"/>
      <c r="M599" s="22"/>
      <c r="N599" s="22"/>
    </row>
    <row r="600" ht="22.5" customHeight="1">
      <c r="A600" s="20"/>
      <c r="B600" s="21"/>
      <c r="C600" s="21"/>
      <c r="D600" s="22"/>
      <c r="E600" s="22"/>
      <c r="F600" s="22"/>
      <c r="G600" s="23"/>
      <c r="H600" s="20"/>
      <c r="I600" s="20"/>
      <c r="J600" s="22"/>
      <c r="K600" s="22"/>
      <c r="L600" s="22"/>
      <c r="M600" s="22"/>
      <c r="N600" s="22"/>
    </row>
    <row r="601" ht="22.5" customHeight="1">
      <c r="A601" s="20"/>
      <c r="B601" s="21"/>
      <c r="C601" s="21"/>
      <c r="D601" s="22"/>
      <c r="E601" s="22"/>
      <c r="F601" s="22"/>
      <c r="G601" s="23"/>
      <c r="H601" s="20"/>
      <c r="I601" s="20"/>
      <c r="J601" s="22"/>
      <c r="K601" s="22"/>
      <c r="L601" s="22"/>
      <c r="M601" s="22"/>
      <c r="N601" s="22"/>
    </row>
    <row r="602" ht="22.5" customHeight="1">
      <c r="A602" s="20"/>
      <c r="B602" s="21"/>
      <c r="C602" s="21"/>
      <c r="D602" s="22"/>
      <c r="E602" s="22"/>
      <c r="F602" s="22"/>
      <c r="G602" s="23"/>
      <c r="H602" s="20"/>
      <c r="I602" s="20"/>
      <c r="J602" s="22"/>
      <c r="K602" s="22"/>
      <c r="L602" s="22"/>
      <c r="M602" s="22"/>
      <c r="N602" s="22"/>
    </row>
    <row r="603" ht="22.5" customHeight="1">
      <c r="A603" s="20"/>
      <c r="B603" s="21"/>
      <c r="C603" s="21"/>
      <c r="D603" s="22"/>
      <c r="E603" s="22"/>
      <c r="F603" s="22"/>
      <c r="G603" s="23"/>
      <c r="H603" s="20"/>
      <c r="I603" s="20"/>
      <c r="J603" s="22"/>
      <c r="K603" s="22"/>
      <c r="L603" s="22"/>
      <c r="M603" s="22"/>
      <c r="N603" s="22"/>
    </row>
    <row r="604" ht="22.5" customHeight="1">
      <c r="A604" s="20"/>
      <c r="B604" s="21"/>
      <c r="C604" s="21"/>
      <c r="D604" s="22"/>
      <c r="E604" s="22"/>
      <c r="F604" s="22"/>
      <c r="G604" s="23"/>
      <c r="H604" s="20"/>
      <c r="I604" s="20"/>
      <c r="J604" s="22"/>
      <c r="K604" s="22"/>
      <c r="L604" s="22"/>
      <c r="M604" s="22"/>
      <c r="N604" s="22"/>
    </row>
    <row r="605" ht="22.5" customHeight="1">
      <c r="A605" s="20"/>
      <c r="B605" s="21"/>
      <c r="C605" s="21"/>
      <c r="D605" s="22"/>
      <c r="E605" s="22"/>
      <c r="F605" s="22"/>
      <c r="G605" s="23"/>
      <c r="H605" s="20"/>
      <c r="I605" s="20"/>
      <c r="J605" s="22"/>
      <c r="K605" s="22"/>
      <c r="L605" s="22"/>
      <c r="M605" s="22"/>
      <c r="N605" s="22"/>
    </row>
    <row r="606" ht="22.5" customHeight="1">
      <c r="A606" s="20"/>
      <c r="B606" s="21"/>
      <c r="C606" s="21"/>
      <c r="D606" s="22"/>
      <c r="E606" s="22"/>
      <c r="F606" s="22"/>
      <c r="G606" s="23"/>
      <c r="H606" s="20"/>
      <c r="I606" s="20"/>
      <c r="J606" s="22"/>
      <c r="K606" s="22"/>
      <c r="L606" s="22"/>
      <c r="M606" s="22"/>
      <c r="N606" s="22"/>
    </row>
    <row r="607" ht="22.5" customHeight="1">
      <c r="A607" s="20"/>
      <c r="B607" s="21"/>
      <c r="C607" s="21"/>
      <c r="D607" s="22"/>
      <c r="E607" s="22"/>
      <c r="F607" s="22"/>
      <c r="G607" s="23"/>
      <c r="H607" s="20"/>
      <c r="I607" s="20"/>
      <c r="J607" s="22"/>
      <c r="K607" s="22"/>
      <c r="L607" s="22"/>
      <c r="M607" s="22"/>
      <c r="N607" s="22"/>
    </row>
    <row r="608" ht="22.5" customHeight="1">
      <c r="A608" s="20"/>
      <c r="B608" s="21"/>
      <c r="C608" s="21"/>
      <c r="D608" s="22"/>
      <c r="E608" s="22"/>
      <c r="F608" s="22"/>
      <c r="G608" s="23"/>
      <c r="H608" s="20"/>
      <c r="I608" s="20"/>
      <c r="J608" s="22"/>
      <c r="K608" s="22"/>
      <c r="L608" s="22"/>
      <c r="M608" s="22"/>
      <c r="N608" s="22"/>
    </row>
    <row r="609" ht="22.5" customHeight="1">
      <c r="A609" s="20"/>
      <c r="B609" s="21"/>
      <c r="C609" s="21"/>
      <c r="D609" s="22"/>
      <c r="E609" s="22"/>
      <c r="F609" s="22"/>
      <c r="G609" s="23"/>
      <c r="H609" s="20"/>
      <c r="I609" s="20"/>
      <c r="J609" s="22"/>
      <c r="K609" s="22"/>
      <c r="L609" s="22"/>
      <c r="M609" s="22"/>
      <c r="N609" s="22"/>
    </row>
    <row r="610" ht="22.5" customHeight="1">
      <c r="A610" s="20"/>
      <c r="B610" s="21"/>
      <c r="C610" s="21"/>
      <c r="D610" s="22"/>
      <c r="E610" s="22"/>
      <c r="F610" s="22"/>
      <c r="G610" s="23"/>
      <c r="H610" s="20"/>
      <c r="I610" s="20"/>
      <c r="J610" s="22"/>
      <c r="K610" s="22"/>
      <c r="L610" s="22"/>
      <c r="M610" s="22"/>
      <c r="N610" s="22"/>
    </row>
    <row r="611" ht="22.5" customHeight="1">
      <c r="A611" s="20"/>
      <c r="B611" s="21"/>
      <c r="C611" s="21"/>
      <c r="D611" s="22"/>
      <c r="E611" s="22"/>
      <c r="F611" s="22"/>
      <c r="G611" s="23"/>
      <c r="H611" s="20"/>
      <c r="I611" s="20"/>
      <c r="J611" s="22"/>
      <c r="K611" s="22"/>
      <c r="L611" s="22"/>
      <c r="M611" s="22"/>
      <c r="N611" s="22"/>
    </row>
    <row r="612" ht="22.5" customHeight="1">
      <c r="A612" s="20"/>
      <c r="B612" s="21"/>
      <c r="C612" s="21"/>
      <c r="D612" s="22"/>
      <c r="E612" s="22"/>
      <c r="F612" s="22"/>
      <c r="G612" s="23"/>
      <c r="H612" s="20"/>
      <c r="I612" s="20"/>
      <c r="J612" s="22"/>
      <c r="K612" s="22"/>
      <c r="L612" s="22"/>
      <c r="M612" s="22"/>
      <c r="N612" s="22"/>
    </row>
    <row r="613" ht="22.5" customHeight="1">
      <c r="A613" s="20"/>
      <c r="B613" s="21"/>
      <c r="C613" s="21"/>
      <c r="D613" s="22"/>
      <c r="E613" s="22"/>
      <c r="F613" s="22"/>
      <c r="G613" s="23"/>
      <c r="H613" s="20"/>
      <c r="I613" s="20"/>
      <c r="J613" s="22"/>
      <c r="K613" s="22"/>
      <c r="L613" s="22"/>
      <c r="M613" s="22"/>
      <c r="N613" s="22"/>
    </row>
    <row r="614" ht="22.5" customHeight="1">
      <c r="A614" s="20"/>
      <c r="B614" s="21"/>
      <c r="C614" s="21"/>
      <c r="D614" s="22"/>
      <c r="E614" s="22"/>
      <c r="F614" s="22"/>
      <c r="G614" s="23"/>
      <c r="H614" s="20"/>
      <c r="I614" s="20"/>
      <c r="J614" s="22"/>
      <c r="K614" s="22"/>
      <c r="L614" s="22"/>
      <c r="M614" s="22"/>
      <c r="N614" s="22"/>
    </row>
    <row r="615" ht="22.5" customHeight="1">
      <c r="A615" s="20"/>
      <c r="B615" s="21"/>
      <c r="C615" s="21"/>
      <c r="D615" s="22"/>
      <c r="E615" s="22"/>
      <c r="F615" s="22"/>
      <c r="G615" s="23"/>
      <c r="H615" s="20"/>
      <c r="I615" s="20"/>
      <c r="J615" s="22"/>
      <c r="K615" s="22"/>
      <c r="L615" s="22"/>
      <c r="M615" s="22"/>
      <c r="N615" s="22"/>
    </row>
    <row r="616" ht="22.5" customHeight="1">
      <c r="A616" s="20"/>
      <c r="B616" s="21"/>
      <c r="C616" s="21"/>
      <c r="D616" s="22"/>
      <c r="E616" s="22"/>
      <c r="F616" s="22"/>
      <c r="G616" s="23"/>
      <c r="H616" s="20"/>
      <c r="I616" s="20"/>
      <c r="J616" s="22"/>
      <c r="K616" s="22"/>
      <c r="L616" s="22"/>
      <c r="M616" s="22"/>
      <c r="N616" s="22"/>
    </row>
    <row r="617" ht="22.5" customHeight="1">
      <c r="A617" s="20"/>
      <c r="B617" s="21"/>
      <c r="C617" s="21"/>
      <c r="D617" s="22"/>
      <c r="E617" s="22"/>
      <c r="F617" s="22"/>
      <c r="G617" s="23"/>
      <c r="H617" s="20"/>
      <c r="I617" s="20"/>
      <c r="J617" s="22"/>
      <c r="K617" s="22"/>
      <c r="L617" s="22"/>
      <c r="M617" s="22"/>
      <c r="N617" s="22"/>
    </row>
    <row r="618" ht="22.5" customHeight="1">
      <c r="A618" s="20"/>
      <c r="B618" s="21"/>
      <c r="C618" s="21"/>
      <c r="D618" s="22"/>
      <c r="E618" s="22"/>
      <c r="F618" s="22"/>
      <c r="G618" s="23"/>
      <c r="H618" s="20"/>
      <c r="I618" s="20"/>
      <c r="J618" s="22"/>
      <c r="K618" s="22"/>
      <c r="L618" s="22"/>
      <c r="M618" s="22"/>
      <c r="N618" s="22"/>
    </row>
    <row r="619" ht="22.5" customHeight="1">
      <c r="A619" s="20"/>
      <c r="B619" s="21"/>
      <c r="C619" s="21"/>
      <c r="D619" s="22"/>
      <c r="E619" s="22"/>
      <c r="F619" s="22"/>
      <c r="G619" s="23"/>
      <c r="H619" s="20"/>
      <c r="I619" s="20"/>
      <c r="J619" s="22"/>
      <c r="K619" s="22"/>
      <c r="L619" s="22"/>
      <c r="M619" s="22"/>
      <c r="N619" s="22"/>
    </row>
    <row r="620" ht="22.5" customHeight="1">
      <c r="A620" s="20"/>
      <c r="B620" s="21"/>
      <c r="C620" s="21"/>
      <c r="D620" s="22"/>
      <c r="E620" s="22"/>
      <c r="F620" s="22"/>
      <c r="G620" s="23"/>
      <c r="H620" s="20"/>
      <c r="I620" s="20"/>
      <c r="J620" s="22"/>
      <c r="K620" s="22"/>
      <c r="L620" s="22"/>
      <c r="M620" s="22"/>
      <c r="N620" s="22"/>
    </row>
    <row r="621" ht="22.5" customHeight="1">
      <c r="A621" s="20"/>
      <c r="B621" s="21"/>
      <c r="C621" s="21"/>
      <c r="D621" s="22"/>
      <c r="E621" s="22"/>
      <c r="F621" s="22"/>
      <c r="G621" s="23"/>
      <c r="H621" s="20"/>
      <c r="I621" s="20"/>
      <c r="J621" s="22"/>
      <c r="K621" s="22"/>
      <c r="L621" s="22"/>
      <c r="M621" s="22"/>
      <c r="N621" s="22"/>
    </row>
    <row r="622" ht="22.5" customHeight="1">
      <c r="A622" s="20"/>
      <c r="B622" s="21"/>
      <c r="C622" s="21"/>
      <c r="D622" s="22"/>
      <c r="E622" s="22"/>
      <c r="F622" s="22"/>
      <c r="G622" s="23"/>
      <c r="H622" s="20"/>
      <c r="I622" s="20"/>
      <c r="J622" s="22"/>
      <c r="K622" s="22"/>
      <c r="L622" s="22"/>
      <c r="M622" s="22"/>
      <c r="N622" s="22"/>
    </row>
    <row r="623" ht="22.5" customHeight="1">
      <c r="A623" s="20"/>
      <c r="B623" s="21"/>
      <c r="C623" s="21"/>
      <c r="D623" s="22"/>
      <c r="E623" s="22"/>
      <c r="F623" s="22"/>
      <c r="G623" s="23"/>
      <c r="H623" s="20"/>
      <c r="I623" s="20"/>
      <c r="J623" s="22"/>
      <c r="K623" s="22"/>
      <c r="L623" s="22"/>
      <c r="M623" s="22"/>
      <c r="N623" s="22"/>
    </row>
    <row r="624" ht="22.5" customHeight="1">
      <c r="A624" s="20"/>
      <c r="B624" s="21"/>
      <c r="C624" s="21"/>
      <c r="D624" s="22"/>
      <c r="E624" s="22"/>
      <c r="F624" s="22"/>
      <c r="G624" s="23"/>
      <c r="H624" s="20"/>
      <c r="I624" s="20"/>
      <c r="J624" s="22"/>
      <c r="K624" s="22"/>
      <c r="L624" s="22"/>
      <c r="M624" s="22"/>
      <c r="N624" s="22"/>
    </row>
    <row r="625" ht="22.5" customHeight="1">
      <c r="A625" s="20"/>
      <c r="B625" s="21"/>
      <c r="C625" s="21"/>
      <c r="D625" s="22"/>
      <c r="E625" s="22"/>
      <c r="F625" s="22"/>
      <c r="G625" s="23"/>
      <c r="H625" s="20"/>
      <c r="I625" s="20"/>
      <c r="J625" s="22"/>
      <c r="K625" s="22"/>
      <c r="L625" s="22"/>
      <c r="M625" s="22"/>
      <c r="N625" s="22"/>
    </row>
    <row r="626" ht="22.5" customHeight="1">
      <c r="A626" s="20"/>
      <c r="B626" s="21"/>
      <c r="C626" s="21"/>
      <c r="D626" s="22"/>
      <c r="E626" s="22"/>
      <c r="F626" s="22"/>
      <c r="G626" s="23"/>
      <c r="H626" s="20"/>
      <c r="I626" s="20"/>
      <c r="J626" s="22"/>
      <c r="K626" s="22"/>
      <c r="L626" s="22"/>
      <c r="M626" s="22"/>
      <c r="N626" s="22"/>
    </row>
    <row r="627" ht="22.5" customHeight="1">
      <c r="A627" s="20"/>
      <c r="B627" s="21"/>
      <c r="C627" s="21"/>
      <c r="D627" s="22"/>
      <c r="E627" s="22"/>
      <c r="F627" s="22"/>
      <c r="G627" s="23"/>
      <c r="H627" s="20"/>
      <c r="I627" s="20"/>
      <c r="J627" s="22"/>
      <c r="K627" s="22"/>
      <c r="L627" s="22"/>
      <c r="M627" s="22"/>
      <c r="N627" s="22"/>
    </row>
    <row r="628" ht="22.5" customHeight="1">
      <c r="A628" s="20"/>
      <c r="B628" s="21"/>
      <c r="C628" s="21"/>
      <c r="D628" s="22"/>
      <c r="E628" s="22"/>
      <c r="F628" s="22"/>
      <c r="G628" s="23"/>
      <c r="H628" s="20"/>
      <c r="I628" s="20"/>
      <c r="J628" s="22"/>
      <c r="K628" s="22"/>
      <c r="L628" s="22"/>
      <c r="M628" s="22"/>
      <c r="N628" s="22"/>
    </row>
    <row r="629" ht="22.5" customHeight="1">
      <c r="A629" s="20"/>
      <c r="B629" s="21"/>
      <c r="C629" s="21"/>
      <c r="D629" s="22"/>
      <c r="E629" s="22"/>
      <c r="F629" s="22"/>
      <c r="G629" s="23"/>
      <c r="H629" s="20"/>
      <c r="I629" s="20"/>
      <c r="J629" s="22"/>
      <c r="K629" s="22"/>
      <c r="L629" s="22"/>
      <c r="M629" s="22"/>
      <c r="N629" s="22"/>
    </row>
    <row r="630" ht="22.5" customHeight="1">
      <c r="A630" s="20"/>
      <c r="B630" s="21"/>
      <c r="C630" s="21"/>
      <c r="D630" s="22"/>
      <c r="E630" s="22"/>
      <c r="F630" s="22"/>
      <c r="G630" s="23"/>
      <c r="H630" s="20"/>
      <c r="I630" s="20"/>
      <c r="J630" s="22"/>
      <c r="K630" s="22"/>
      <c r="L630" s="22"/>
      <c r="M630" s="22"/>
      <c r="N630" s="22"/>
    </row>
    <row r="631" ht="22.5" customHeight="1">
      <c r="A631" s="20"/>
      <c r="B631" s="21"/>
      <c r="C631" s="21"/>
      <c r="D631" s="22"/>
      <c r="E631" s="22"/>
      <c r="F631" s="22"/>
      <c r="G631" s="23"/>
      <c r="H631" s="20"/>
      <c r="I631" s="20"/>
      <c r="J631" s="22"/>
      <c r="K631" s="22"/>
      <c r="L631" s="22"/>
      <c r="M631" s="22"/>
      <c r="N631" s="22"/>
    </row>
    <row r="632" ht="22.5" customHeight="1">
      <c r="A632" s="20"/>
      <c r="B632" s="21"/>
      <c r="C632" s="21"/>
      <c r="D632" s="22"/>
      <c r="E632" s="22"/>
      <c r="F632" s="22"/>
      <c r="G632" s="23"/>
      <c r="H632" s="20"/>
      <c r="I632" s="20"/>
      <c r="J632" s="22"/>
      <c r="K632" s="22"/>
      <c r="L632" s="22"/>
      <c r="M632" s="22"/>
      <c r="N632" s="22"/>
    </row>
    <row r="633" ht="22.5" customHeight="1">
      <c r="A633" s="20"/>
      <c r="B633" s="21"/>
      <c r="C633" s="21"/>
      <c r="D633" s="22"/>
      <c r="E633" s="22"/>
      <c r="F633" s="22"/>
      <c r="G633" s="23"/>
      <c r="H633" s="20"/>
      <c r="I633" s="20"/>
      <c r="J633" s="22"/>
      <c r="K633" s="22"/>
      <c r="L633" s="22"/>
      <c r="M633" s="22"/>
      <c r="N633" s="22"/>
    </row>
    <row r="634" ht="22.5" customHeight="1">
      <c r="A634" s="20"/>
      <c r="B634" s="21"/>
      <c r="C634" s="21"/>
      <c r="D634" s="22"/>
      <c r="E634" s="22"/>
      <c r="F634" s="22"/>
      <c r="G634" s="23"/>
      <c r="H634" s="20"/>
      <c r="I634" s="20"/>
      <c r="J634" s="22"/>
      <c r="K634" s="22"/>
      <c r="L634" s="22"/>
      <c r="M634" s="22"/>
      <c r="N634" s="22"/>
    </row>
    <row r="635" ht="22.5" customHeight="1">
      <c r="A635" s="20"/>
      <c r="B635" s="21"/>
      <c r="C635" s="21"/>
      <c r="D635" s="22"/>
      <c r="E635" s="22"/>
      <c r="F635" s="22"/>
      <c r="G635" s="23"/>
      <c r="H635" s="20"/>
      <c r="I635" s="20"/>
      <c r="J635" s="22"/>
      <c r="K635" s="22"/>
      <c r="L635" s="22"/>
      <c r="M635" s="22"/>
      <c r="N635" s="22"/>
    </row>
    <row r="636" ht="22.5" customHeight="1">
      <c r="A636" s="20"/>
      <c r="B636" s="21"/>
      <c r="C636" s="21"/>
      <c r="D636" s="22"/>
      <c r="E636" s="22"/>
      <c r="F636" s="22"/>
      <c r="G636" s="23"/>
      <c r="H636" s="20"/>
      <c r="I636" s="20"/>
      <c r="J636" s="22"/>
      <c r="K636" s="22"/>
      <c r="L636" s="22"/>
      <c r="M636" s="22"/>
      <c r="N636" s="22"/>
    </row>
    <row r="637" ht="22.5" customHeight="1">
      <c r="A637" s="20"/>
      <c r="B637" s="21"/>
      <c r="C637" s="21"/>
      <c r="D637" s="22"/>
      <c r="E637" s="22"/>
      <c r="F637" s="22"/>
      <c r="G637" s="23"/>
      <c r="H637" s="20"/>
      <c r="I637" s="20"/>
      <c r="J637" s="22"/>
      <c r="K637" s="22"/>
      <c r="L637" s="22"/>
      <c r="M637" s="22"/>
      <c r="N637" s="22"/>
    </row>
    <row r="638" ht="22.5" customHeight="1">
      <c r="A638" s="20"/>
      <c r="B638" s="21"/>
      <c r="C638" s="21"/>
      <c r="D638" s="22"/>
      <c r="E638" s="22"/>
      <c r="F638" s="22"/>
      <c r="G638" s="23"/>
      <c r="H638" s="20"/>
      <c r="I638" s="20"/>
      <c r="J638" s="22"/>
      <c r="K638" s="22"/>
      <c r="L638" s="22"/>
      <c r="M638" s="22"/>
      <c r="N638" s="22"/>
    </row>
    <row r="639" ht="22.5" customHeight="1">
      <c r="A639" s="20"/>
      <c r="B639" s="21"/>
      <c r="C639" s="21"/>
      <c r="D639" s="22"/>
      <c r="E639" s="22"/>
      <c r="F639" s="22"/>
      <c r="G639" s="23"/>
      <c r="H639" s="20"/>
      <c r="I639" s="20"/>
      <c r="J639" s="22"/>
      <c r="K639" s="22"/>
      <c r="L639" s="22"/>
      <c r="M639" s="22"/>
      <c r="N639" s="22"/>
    </row>
    <row r="640" ht="22.5" customHeight="1">
      <c r="A640" s="20"/>
      <c r="B640" s="21"/>
      <c r="C640" s="21"/>
      <c r="D640" s="22"/>
      <c r="E640" s="22"/>
      <c r="F640" s="22"/>
      <c r="G640" s="23"/>
      <c r="H640" s="20"/>
      <c r="I640" s="20"/>
      <c r="J640" s="22"/>
      <c r="K640" s="22"/>
      <c r="L640" s="22"/>
      <c r="M640" s="22"/>
      <c r="N640" s="22"/>
    </row>
    <row r="641" ht="22.5" customHeight="1">
      <c r="A641" s="20"/>
      <c r="B641" s="21"/>
      <c r="C641" s="21"/>
      <c r="D641" s="22"/>
      <c r="E641" s="22"/>
      <c r="F641" s="22"/>
      <c r="G641" s="23"/>
      <c r="H641" s="20"/>
      <c r="I641" s="20"/>
      <c r="J641" s="22"/>
      <c r="K641" s="22"/>
      <c r="L641" s="22"/>
      <c r="M641" s="22"/>
      <c r="N641" s="22"/>
    </row>
    <row r="642" ht="22.5" customHeight="1">
      <c r="A642" s="20"/>
      <c r="B642" s="21"/>
      <c r="C642" s="21"/>
      <c r="D642" s="22"/>
      <c r="E642" s="22"/>
      <c r="F642" s="22"/>
      <c r="G642" s="23"/>
      <c r="H642" s="20"/>
      <c r="I642" s="20"/>
      <c r="J642" s="22"/>
      <c r="K642" s="22"/>
      <c r="L642" s="22"/>
      <c r="M642" s="22"/>
      <c r="N642" s="22"/>
    </row>
    <row r="643" ht="22.5" customHeight="1">
      <c r="A643" s="20"/>
      <c r="B643" s="21"/>
      <c r="C643" s="21"/>
      <c r="D643" s="22"/>
      <c r="E643" s="22"/>
      <c r="F643" s="22"/>
      <c r="G643" s="23"/>
      <c r="H643" s="20"/>
      <c r="I643" s="20"/>
      <c r="J643" s="22"/>
      <c r="K643" s="22"/>
      <c r="L643" s="22"/>
      <c r="M643" s="22"/>
      <c r="N643" s="22"/>
    </row>
    <row r="644" ht="22.5" customHeight="1">
      <c r="A644" s="20"/>
      <c r="B644" s="21"/>
      <c r="C644" s="21"/>
      <c r="D644" s="22"/>
      <c r="E644" s="22"/>
      <c r="F644" s="22"/>
      <c r="G644" s="23"/>
      <c r="H644" s="20"/>
      <c r="I644" s="20"/>
      <c r="J644" s="22"/>
      <c r="K644" s="22"/>
      <c r="L644" s="22"/>
      <c r="M644" s="22"/>
      <c r="N644" s="22"/>
    </row>
    <row r="645" ht="22.5" customHeight="1">
      <c r="A645" s="20"/>
      <c r="B645" s="21"/>
      <c r="C645" s="21"/>
      <c r="D645" s="22"/>
      <c r="E645" s="22"/>
      <c r="F645" s="22"/>
      <c r="G645" s="23"/>
      <c r="H645" s="20"/>
      <c r="I645" s="20"/>
      <c r="J645" s="22"/>
      <c r="K645" s="22"/>
      <c r="L645" s="22"/>
      <c r="M645" s="22"/>
      <c r="N645" s="22"/>
    </row>
    <row r="646" ht="22.5" customHeight="1">
      <c r="A646" s="20"/>
      <c r="B646" s="21"/>
      <c r="C646" s="21"/>
      <c r="D646" s="22"/>
      <c r="E646" s="22"/>
      <c r="F646" s="22"/>
      <c r="G646" s="23"/>
      <c r="H646" s="20"/>
      <c r="I646" s="20"/>
      <c r="J646" s="22"/>
      <c r="K646" s="22"/>
      <c r="L646" s="22"/>
      <c r="M646" s="22"/>
      <c r="N646" s="22"/>
    </row>
    <row r="647" ht="22.5" customHeight="1">
      <c r="A647" s="20"/>
      <c r="B647" s="21"/>
      <c r="C647" s="21"/>
      <c r="D647" s="22"/>
      <c r="E647" s="22"/>
      <c r="F647" s="22"/>
      <c r="G647" s="23"/>
      <c r="H647" s="20"/>
      <c r="I647" s="20"/>
      <c r="J647" s="22"/>
      <c r="K647" s="22"/>
      <c r="L647" s="22"/>
      <c r="M647" s="22"/>
      <c r="N647" s="22"/>
    </row>
    <row r="648" ht="22.5" customHeight="1">
      <c r="A648" s="20"/>
      <c r="B648" s="21"/>
      <c r="C648" s="21"/>
      <c r="D648" s="22"/>
      <c r="E648" s="22"/>
      <c r="F648" s="22"/>
      <c r="G648" s="23"/>
      <c r="H648" s="20"/>
      <c r="I648" s="20"/>
      <c r="J648" s="22"/>
      <c r="K648" s="22"/>
      <c r="L648" s="22"/>
      <c r="M648" s="22"/>
      <c r="N648" s="22"/>
    </row>
    <row r="649" ht="22.5" customHeight="1">
      <c r="A649" s="20"/>
      <c r="B649" s="21"/>
      <c r="C649" s="21"/>
      <c r="D649" s="22"/>
      <c r="E649" s="22"/>
      <c r="F649" s="22"/>
      <c r="G649" s="23"/>
      <c r="H649" s="20"/>
      <c r="I649" s="20"/>
      <c r="J649" s="22"/>
      <c r="K649" s="22"/>
      <c r="L649" s="22"/>
      <c r="M649" s="22"/>
      <c r="N649" s="22"/>
    </row>
    <row r="650" ht="22.5" customHeight="1">
      <c r="A650" s="20"/>
      <c r="B650" s="21"/>
      <c r="C650" s="21"/>
      <c r="D650" s="22"/>
      <c r="E650" s="22"/>
      <c r="F650" s="22"/>
      <c r="G650" s="23"/>
      <c r="H650" s="20"/>
      <c r="I650" s="20"/>
      <c r="J650" s="22"/>
      <c r="K650" s="22"/>
      <c r="L650" s="22"/>
      <c r="M650" s="22"/>
      <c r="N650" s="22"/>
    </row>
    <row r="651" ht="22.5" customHeight="1">
      <c r="A651" s="20"/>
      <c r="B651" s="21"/>
      <c r="C651" s="21"/>
      <c r="D651" s="22"/>
      <c r="E651" s="22"/>
      <c r="F651" s="22"/>
      <c r="G651" s="23"/>
      <c r="H651" s="20"/>
      <c r="I651" s="20"/>
      <c r="J651" s="22"/>
      <c r="K651" s="22"/>
      <c r="L651" s="22"/>
      <c r="M651" s="22"/>
      <c r="N651" s="22"/>
    </row>
    <row r="652" ht="22.5" customHeight="1">
      <c r="A652" s="20"/>
      <c r="B652" s="21"/>
      <c r="C652" s="21"/>
      <c r="D652" s="22"/>
      <c r="E652" s="22"/>
      <c r="F652" s="22"/>
      <c r="G652" s="23"/>
      <c r="H652" s="20"/>
      <c r="I652" s="20"/>
      <c r="J652" s="22"/>
      <c r="K652" s="22"/>
      <c r="L652" s="22"/>
      <c r="M652" s="22"/>
      <c r="N652" s="22"/>
    </row>
    <row r="653" ht="22.5" customHeight="1">
      <c r="A653" s="20"/>
      <c r="B653" s="21"/>
      <c r="C653" s="21"/>
      <c r="D653" s="22"/>
      <c r="E653" s="22"/>
      <c r="F653" s="22"/>
      <c r="G653" s="23"/>
      <c r="H653" s="20"/>
      <c r="I653" s="20"/>
      <c r="J653" s="22"/>
      <c r="K653" s="22"/>
      <c r="L653" s="22"/>
      <c r="M653" s="22"/>
      <c r="N653" s="22"/>
    </row>
    <row r="654" ht="22.5" customHeight="1">
      <c r="A654" s="20"/>
      <c r="B654" s="21"/>
      <c r="C654" s="21"/>
      <c r="D654" s="22"/>
      <c r="E654" s="22"/>
      <c r="F654" s="22"/>
      <c r="G654" s="23"/>
      <c r="H654" s="20"/>
      <c r="I654" s="20"/>
      <c r="J654" s="22"/>
      <c r="K654" s="22"/>
      <c r="L654" s="22"/>
      <c r="M654" s="22"/>
      <c r="N654" s="22"/>
    </row>
    <row r="655" ht="22.5" customHeight="1">
      <c r="A655" s="20"/>
      <c r="B655" s="21"/>
      <c r="C655" s="21"/>
      <c r="D655" s="22"/>
      <c r="E655" s="22"/>
      <c r="F655" s="22"/>
      <c r="G655" s="23"/>
      <c r="H655" s="20"/>
      <c r="I655" s="20"/>
      <c r="J655" s="22"/>
      <c r="K655" s="22"/>
      <c r="L655" s="22"/>
      <c r="M655" s="22"/>
      <c r="N655" s="22"/>
    </row>
    <row r="656" ht="22.5" customHeight="1">
      <c r="A656" s="20"/>
      <c r="B656" s="21"/>
      <c r="C656" s="21"/>
      <c r="D656" s="22"/>
      <c r="E656" s="22"/>
      <c r="F656" s="22"/>
      <c r="G656" s="23"/>
      <c r="H656" s="20"/>
      <c r="I656" s="20"/>
      <c r="J656" s="22"/>
      <c r="K656" s="22"/>
      <c r="L656" s="22"/>
      <c r="M656" s="22"/>
      <c r="N656" s="22"/>
    </row>
    <row r="657" ht="22.5" customHeight="1">
      <c r="A657" s="20"/>
      <c r="B657" s="21"/>
      <c r="C657" s="21"/>
      <c r="D657" s="22"/>
      <c r="E657" s="22"/>
      <c r="F657" s="22"/>
      <c r="G657" s="23"/>
      <c r="H657" s="20"/>
      <c r="I657" s="20"/>
      <c r="J657" s="22"/>
      <c r="K657" s="22"/>
      <c r="L657" s="22"/>
      <c r="M657" s="22"/>
      <c r="N657" s="22"/>
    </row>
    <row r="658" ht="22.5" customHeight="1">
      <c r="A658" s="20"/>
      <c r="B658" s="21"/>
      <c r="C658" s="21"/>
      <c r="D658" s="22"/>
      <c r="E658" s="22"/>
      <c r="F658" s="22"/>
      <c r="G658" s="23"/>
      <c r="H658" s="20"/>
      <c r="I658" s="20"/>
      <c r="J658" s="22"/>
      <c r="K658" s="22"/>
      <c r="L658" s="22"/>
      <c r="M658" s="22"/>
      <c r="N658" s="22"/>
    </row>
    <row r="659" ht="22.5" customHeight="1">
      <c r="A659" s="20"/>
      <c r="B659" s="21"/>
      <c r="C659" s="21"/>
      <c r="D659" s="22"/>
      <c r="E659" s="22"/>
      <c r="F659" s="22"/>
      <c r="G659" s="23"/>
      <c r="H659" s="20"/>
      <c r="I659" s="20"/>
      <c r="J659" s="22"/>
      <c r="K659" s="22"/>
      <c r="L659" s="22"/>
      <c r="M659" s="22"/>
      <c r="N659" s="22"/>
    </row>
    <row r="660" ht="22.5" customHeight="1">
      <c r="A660" s="20"/>
      <c r="B660" s="21"/>
      <c r="C660" s="21"/>
      <c r="D660" s="22"/>
      <c r="E660" s="22"/>
      <c r="F660" s="22"/>
      <c r="G660" s="23"/>
      <c r="H660" s="20"/>
      <c r="I660" s="20"/>
      <c r="J660" s="22"/>
      <c r="K660" s="22"/>
      <c r="L660" s="22"/>
      <c r="M660" s="22"/>
      <c r="N660" s="22"/>
    </row>
    <row r="661" ht="22.5" customHeight="1">
      <c r="A661" s="20"/>
      <c r="B661" s="21"/>
      <c r="C661" s="21"/>
      <c r="D661" s="22"/>
      <c r="E661" s="22"/>
      <c r="F661" s="22"/>
      <c r="G661" s="23"/>
      <c r="H661" s="20"/>
      <c r="I661" s="20"/>
      <c r="J661" s="22"/>
      <c r="K661" s="22"/>
      <c r="L661" s="22"/>
      <c r="M661" s="22"/>
      <c r="N661" s="22"/>
    </row>
    <row r="662" ht="22.5" customHeight="1">
      <c r="A662" s="20"/>
      <c r="B662" s="21"/>
      <c r="C662" s="21"/>
      <c r="D662" s="22"/>
      <c r="E662" s="22"/>
      <c r="F662" s="22"/>
      <c r="G662" s="23"/>
      <c r="H662" s="20"/>
      <c r="I662" s="20"/>
      <c r="J662" s="22"/>
      <c r="K662" s="22"/>
      <c r="L662" s="22"/>
      <c r="M662" s="22"/>
      <c r="N662" s="22"/>
    </row>
    <row r="663" ht="22.5" customHeight="1">
      <c r="A663" s="20"/>
      <c r="B663" s="21"/>
      <c r="C663" s="21"/>
      <c r="D663" s="22"/>
      <c r="E663" s="22"/>
      <c r="F663" s="22"/>
      <c r="G663" s="23"/>
      <c r="H663" s="20"/>
      <c r="I663" s="20"/>
      <c r="J663" s="22"/>
      <c r="K663" s="22"/>
      <c r="L663" s="22"/>
      <c r="M663" s="22"/>
      <c r="N663" s="22"/>
    </row>
    <row r="664" ht="22.5" customHeight="1">
      <c r="A664" s="20"/>
      <c r="B664" s="21"/>
      <c r="C664" s="21"/>
      <c r="D664" s="22"/>
      <c r="E664" s="22"/>
      <c r="F664" s="22"/>
      <c r="G664" s="23"/>
      <c r="H664" s="20"/>
      <c r="I664" s="20"/>
      <c r="J664" s="22"/>
      <c r="K664" s="22"/>
      <c r="L664" s="22"/>
      <c r="M664" s="22"/>
      <c r="N664" s="22"/>
    </row>
    <row r="665" ht="22.5" customHeight="1">
      <c r="A665" s="20"/>
      <c r="B665" s="21"/>
      <c r="C665" s="21"/>
      <c r="D665" s="22"/>
      <c r="E665" s="22"/>
      <c r="F665" s="22"/>
      <c r="G665" s="23"/>
      <c r="H665" s="20"/>
      <c r="I665" s="20"/>
      <c r="J665" s="22"/>
      <c r="K665" s="22"/>
      <c r="L665" s="22"/>
      <c r="M665" s="22"/>
      <c r="N665" s="22"/>
    </row>
    <row r="666" ht="22.5" customHeight="1">
      <c r="A666" s="20"/>
      <c r="B666" s="21"/>
      <c r="C666" s="21"/>
      <c r="D666" s="22"/>
      <c r="E666" s="22"/>
      <c r="F666" s="22"/>
      <c r="G666" s="23"/>
      <c r="H666" s="20"/>
      <c r="I666" s="20"/>
      <c r="J666" s="22"/>
      <c r="K666" s="22"/>
      <c r="L666" s="22"/>
      <c r="M666" s="22"/>
      <c r="N666" s="22"/>
    </row>
    <row r="667" ht="22.5" customHeight="1">
      <c r="A667" s="20"/>
      <c r="B667" s="21"/>
      <c r="C667" s="21"/>
      <c r="D667" s="22"/>
      <c r="E667" s="22"/>
      <c r="F667" s="22"/>
      <c r="G667" s="23"/>
      <c r="H667" s="20"/>
      <c r="I667" s="20"/>
      <c r="J667" s="22"/>
      <c r="K667" s="22"/>
      <c r="L667" s="22"/>
      <c r="M667" s="22"/>
      <c r="N667" s="22"/>
    </row>
    <row r="668" ht="22.5" customHeight="1">
      <c r="A668" s="20"/>
      <c r="B668" s="21"/>
      <c r="C668" s="21"/>
      <c r="D668" s="22"/>
      <c r="E668" s="22"/>
      <c r="F668" s="22"/>
      <c r="G668" s="23"/>
      <c r="H668" s="20"/>
      <c r="I668" s="20"/>
      <c r="J668" s="22"/>
      <c r="K668" s="22"/>
      <c r="L668" s="22"/>
      <c r="M668" s="22"/>
      <c r="N668" s="22"/>
    </row>
    <row r="669" ht="22.5" customHeight="1">
      <c r="A669" s="20"/>
      <c r="B669" s="21"/>
      <c r="C669" s="21"/>
      <c r="D669" s="22"/>
      <c r="E669" s="22"/>
      <c r="F669" s="22"/>
      <c r="G669" s="23"/>
      <c r="H669" s="20"/>
      <c r="I669" s="20"/>
      <c r="J669" s="22"/>
      <c r="K669" s="22"/>
      <c r="L669" s="22"/>
      <c r="M669" s="22"/>
      <c r="N669" s="22"/>
    </row>
    <row r="670" ht="22.5" customHeight="1">
      <c r="A670" s="20"/>
      <c r="B670" s="21"/>
      <c r="C670" s="21"/>
      <c r="D670" s="22"/>
      <c r="E670" s="22"/>
      <c r="F670" s="22"/>
      <c r="G670" s="23"/>
      <c r="H670" s="20"/>
      <c r="I670" s="20"/>
      <c r="J670" s="22"/>
      <c r="K670" s="22"/>
      <c r="L670" s="22"/>
      <c r="M670" s="22"/>
      <c r="N670" s="22"/>
    </row>
    <row r="671" ht="22.5" customHeight="1">
      <c r="A671" s="20"/>
      <c r="B671" s="21"/>
      <c r="C671" s="21"/>
      <c r="D671" s="22"/>
      <c r="E671" s="22"/>
      <c r="F671" s="22"/>
      <c r="G671" s="23"/>
      <c r="H671" s="20"/>
      <c r="I671" s="20"/>
      <c r="J671" s="22"/>
      <c r="K671" s="22"/>
      <c r="L671" s="22"/>
      <c r="M671" s="22"/>
      <c r="N671" s="22"/>
    </row>
    <row r="672" ht="22.5" customHeight="1">
      <c r="A672" s="20"/>
      <c r="B672" s="21"/>
      <c r="C672" s="21"/>
      <c r="D672" s="22"/>
      <c r="E672" s="22"/>
      <c r="F672" s="22"/>
      <c r="G672" s="23"/>
      <c r="H672" s="20"/>
      <c r="I672" s="20"/>
      <c r="J672" s="22"/>
      <c r="K672" s="22"/>
      <c r="L672" s="22"/>
      <c r="M672" s="22"/>
      <c r="N672" s="22"/>
    </row>
    <row r="673" ht="22.5" customHeight="1">
      <c r="A673" s="20"/>
      <c r="B673" s="21"/>
      <c r="C673" s="21"/>
      <c r="D673" s="22"/>
      <c r="E673" s="22"/>
      <c r="F673" s="22"/>
      <c r="G673" s="23"/>
      <c r="H673" s="20"/>
      <c r="I673" s="20"/>
      <c r="J673" s="22"/>
      <c r="K673" s="22"/>
      <c r="L673" s="22"/>
      <c r="M673" s="22"/>
      <c r="N673" s="22"/>
    </row>
    <row r="674" ht="22.5" customHeight="1">
      <c r="A674" s="20"/>
      <c r="B674" s="21"/>
      <c r="C674" s="21"/>
      <c r="D674" s="22"/>
      <c r="E674" s="22"/>
      <c r="F674" s="22"/>
      <c r="G674" s="23"/>
      <c r="H674" s="20"/>
      <c r="I674" s="20"/>
      <c r="J674" s="22"/>
      <c r="K674" s="22"/>
      <c r="L674" s="22"/>
      <c r="M674" s="22"/>
      <c r="N674" s="22"/>
    </row>
    <row r="675" ht="22.5" customHeight="1">
      <c r="A675" s="20"/>
      <c r="B675" s="21"/>
      <c r="C675" s="21"/>
      <c r="D675" s="22"/>
      <c r="E675" s="22"/>
      <c r="F675" s="22"/>
      <c r="G675" s="23"/>
      <c r="H675" s="20"/>
      <c r="I675" s="20"/>
      <c r="J675" s="22"/>
      <c r="K675" s="22"/>
      <c r="L675" s="22"/>
      <c r="M675" s="22"/>
      <c r="N675" s="22"/>
    </row>
    <row r="676" ht="22.5" customHeight="1">
      <c r="A676" s="20"/>
      <c r="B676" s="21"/>
      <c r="C676" s="21"/>
      <c r="D676" s="22"/>
      <c r="E676" s="22"/>
      <c r="F676" s="22"/>
      <c r="G676" s="23"/>
      <c r="H676" s="20"/>
      <c r="I676" s="20"/>
      <c r="J676" s="22"/>
      <c r="K676" s="22"/>
      <c r="L676" s="22"/>
      <c r="M676" s="22"/>
      <c r="N676" s="22"/>
    </row>
    <row r="677" ht="22.5" customHeight="1">
      <c r="A677" s="20"/>
      <c r="B677" s="21"/>
      <c r="C677" s="21"/>
      <c r="D677" s="22"/>
      <c r="E677" s="22"/>
      <c r="F677" s="22"/>
      <c r="G677" s="23"/>
      <c r="H677" s="20"/>
      <c r="I677" s="20"/>
      <c r="J677" s="22"/>
      <c r="K677" s="22"/>
      <c r="L677" s="22"/>
      <c r="M677" s="22"/>
      <c r="N677" s="22"/>
    </row>
    <row r="678" ht="22.5" customHeight="1">
      <c r="A678" s="20"/>
      <c r="B678" s="21"/>
      <c r="C678" s="21"/>
      <c r="D678" s="22"/>
      <c r="E678" s="22"/>
      <c r="F678" s="22"/>
      <c r="G678" s="23"/>
      <c r="H678" s="20"/>
      <c r="I678" s="20"/>
      <c r="J678" s="22"/>
      <c r="K678" s="22"/>
      <c r="L678" s="22"/>
      <c r="M678" s="22"/>
      <c r="N678" s="22"/>
    </row>
    <row r="679" ht="22.5" customHeight="1">
      <c r="A679" s="20"/>
      <c r="B679" s="21"/>
      <c r="C679" s="21"/>
      <c r="D679" s="22"/>
      <c r="E679" s="22"/>
      <c r="F679" s="22"/>
      <c r="G679" s="23"/>
      <c r="H679" s="20"/>
      <c r="I679" s="20"/>
      <c r="J679" s="22"/>
      <c r="K679" s="22"/>
      <c r="L679" s="22"/>
      <c r="M679" s="22"/>
      <c r="N679" s="22"/>
    </row>
    <row r="680" ht="22.5" customHeight="1">
      <c r="A680" s="20"/>
      <c r="B680" s="21"/>
      <c r="C680" s="21"/>
      <c r="D680" s="22"/>
      <c r="E680" s="22"/>
      <c r="F680" s="22"/>
      <c r="G680" s="23"/>
      <c r="H680" s="20"/>
      <c r="I680" s="20"/>
      <c r="J680" s="22"/>
      <c r="K680" s="22"/>
      <c r="L680" s="22"/>
      <c r="M680" s="22"/>
      <c r="N680" s="22"/>
    </row>
    <row r="681" ht="22.5" customHeight="1">
      <c r="A681" s="20"/>
      <c r="B681" s="21"/>
      <c r="C681" s="21"/>
      <c r="D681" s="22"/>
      <c r="E681" s="22"/>
      <c r="F681" s="22"/>
      <c r="G681" s="23"/>
      <c r="H681" s="20"/>
      <c r="I681" s="20"/>
      <c r="J681" s="22"/>
      <c r="K681" s="22"/>
      <c r="L681" s="22"/>
      <c r="M681" s="22"/>
      <c r="N681" s="22"/>
    </row>
    <row r="682" ht="22.5" customHeight="1">
      <c r="A682" s="20"/>
      <c r="B682" s="21"/>
      <c r="C682" s="21"/>
      <c r="D682" s="22"/>
      <c r="E682" s="22"/>
      <c r="F682" s="22"/>
      <c r="G682" s="23"/>
      <c r="H682" s="20"/>
      <c r="I682" s="20"/>
      <c r="J682" s="22"/>
      <c r="K682" s="22"/>
      <c r="L682" s="22"/>
      <c r="M682" s="22"/>
      <c r="N682" s="22"/>
    </row>
    <row r="683" ht="22.5" customHeight="1">
      <c r="A683" s="20"/>
      <c r="B683" s="21"/>
      <c r="C683" s="21"/>
      <c r="D683" s="22"/>
      <c r="E683" s="22"/>
      <c r="F683" s="22"/>
      <c r="G683" s="23"/>
      <c r="H683" s="20"/>
      <c r="I683" s="20"/>
      <c r="J683" s="22"/>
      <c r="K683" s="22"/>
      <c r="L683" s="22"/>
      <c r="M683" s="22"/>
      <c r="N683" s="22"/>
    </row>
    <row r="684" ht="22.5" customHeight="1">
      <c r="A684" s="20"/>
      <c r="B684" s="21"/>
      <c r="C684" s="21"/>
      <c r="D684" s="22"/>
      <c r="E684" s="22"/>
      <c r="F684" s="22"/>
      <c r="G684" s="23"/>
      <c r="H684" s="20"/>
      <c r="I684" s="20"/>
      <c r="J684" s="22"/>
      <c r="K684" s="22"/>
      <c r="L684" s="22"/>
      <c r="M684" s="22"/>
      <c r="N684" s="22"/>
    </row>
    <row r="685" ht="22.5" customHeight="1">
      <c r="A685" s="20"/>
      <c r="B685" s="21"/>
      <c r="C685" s="21"/>
      <c r="D685" s="22"/>
      <c r="E685" s="22"/>
      <c r="F685" s="22"/>
      <c r="G685" s="23"/>
      <c r="H685" s="20"/>
      <c r="I685" s="20"/>
      <c r="J685" s="22"/>
      <c r="K685" s="22"/>
      <c r="L685" s="22"/>
      <c r="M685" s="22"/>
      <c r="N685" s="22"/>
    </row>
    <row r="686" ht="22.5" customHeight="1">
      <c r="A686" s="20"/>
      <c r="B686" s="21"/>
      <c r="C686" s="21"/>
      <c r="D686" s="22"/>
      <c r="E686" s="22"/>
      <c r="F686" s="22"/>
      <c r="G686" s="23"/>
      <c r="H686" s="20"/>
      <c r="I686" s="20"/>
      <c r="J686" s="22"/>
      <c r="K686" s="22"/>
      <c r="L686" s="22"/>
      <c r="M686" s="22"/>
      <c r="N686" s="22"/>
    </row>
    <row r="687" ht="22.5" customHeight="1">
      <c r="A687" s="20"/>
      <c r="B687" s="21"/>
      <c r="C687" s="21"/>
      <c r="D687" s="22"/>
      <c r="E687" s="22"/>
      <c r="F687" s="22"/>
      <c r="G687" s="23"/>
      <c r="H687" s="20"/>
      <c r="I687" s="20"/>
      <c r="J687" s="22"/>
      <c r="K687" s="22"/>
      <c r="L687" s="22"/>
      <c r="M687" s="22"/>
      <c r="N687" s="22"/>
    </row>
    <row r="688" ht="22.5" customHeight="1">
      <c r="A688" s="20"/>
      <c r="B688" s="21"/>
      <c r="C688" s="21"/>
      <c r="D688" s="22"/>
      <c r="E688" s="22"/>
      <c r="F688" s="22"/>
      <c r="G688" s="23"/>
      <c r="H688" s="20"/>
      <c r="I688" s="20"/>
      <c r="J688" s="22"/>
      <c r="K688" s="22"/>
      <c r="L688" s="22"/>
      <c r="M688" s="22"/>
      <c r="N688" s="22"/>
    </row>
    <row r="689" ht="22.5" customHeight="1">
      <c r="A689" s="20"/>
      <c r="B689" s="21"/>
      <c r="C689" s="21"/>
      <c r="D689" s="22"/>
      <c r="E689" s="22"/>
      <c r="F689" s="22"/>
      <c r="G689" s="23"/>
      <c r="H689" s="20"/>
      <c r="I689" s="20"/>
      <c r="J689" s="22"/>
      <c r="K689" s="22"/>
      <c r="L689" s="22"/>
      <c r="M689" s="22"/>
      <c r="N689" s="22"/>
    </row>
    <row r="690" ht="22.5" customHeight="1">
      <c r="A690" s="20"/>
      <c r="B690" s="21"/>
      <c r="C690" s="21"/>
      <c r="D690" s="22"/>
      <c r="E690" s="22"/>
      <c r="F690" s="22"/>
      <c r="G690" s="23"/>
      <c r="H690" s="20"/>
      <c r="I690" s="20"/>
      <c r="J690" s="22"/>
      <c r="K690" s="22"/>
      <c r="L690" s="22"/>
      <c r="M690" s="22"/>
      <c r="N690" s="22"/>
    </row>
    <row r="691" ht="22.5" customHeight="1">
      <c r="A691" s="20"/>
      <c r="B691" s="21"/>
      <c r="C691" s="21"/>
      <c r="D691" s="22"/>
      <c r="E691" s="22"/>
      <c r="F691" s="22"/>
      <c r="G691" s="23"/>
      <c r="H691" s="20"/>
      <c r="I691" s="20"/>
      <c r="J691" s="22"/>
      <c r="K691" s="22"/>
      <c r="L691" s="22"/>
      <c r="M691" s="22"/>
      <c r="N691" s="22"/>
    </row>
    <row r="692" ht="22.5" customHeight="1">
      <c r="A692" s="20"/>
      <c r="B692" s="21"/>
      <c r="C692" s="21"/>
      <c r="D692" s="22"/>
      <c r="E692" s="22"/>
      <c r="F692" s="22"/>
      <c r="G692" s="23"/>
      <c r="H692" s="20"/>
      <c r="I692" s="20"/>
      <c r="J692" s="22"/>
      <c r="K692" s="22"/>
      <c r="L692" s="22"/>
      <c r="M692" s="22"/>
      <c r="N692" s="22"/>
    </row>
    <row r="693" ht="22.5" customHeight="1">
      <c r="A693" s="20"/>
      <c r="B693" s="21"/>
      <c r="C693" s="21"/>
      <c r="D693" s="22"/>
      <c r="E693" s="22"/>
      <c r="F693" s="22"/>
      <c r="G693" s="23"/>
      <c r="H693" s="20"/>
      <c r="I693" s="20"/>
      <c r="J693" s="22"/>
      <c r="K693" s="22"/>
      <c r="L693" s="22"/>
      <c r="M693" s="22"/>
      <c r="N693" s="22"/>
    </row>
    <row r="694" ht="22.5" customHeight="1">
      <c r="A694" s="20"/>
      <c r="B694" s="21"/>
      <c r="C694" s="21"/>
      <c r="D694" s="22"/>
      <c r="E694" s="22"/>
      <c r="F694" s="22"/>
      <c r="G694" s="23"/>
      <c r="H694" s="20"/>
      <c r="I694" s="20"/>
      <c r="J694" s="22"/>
      <c r="K694" s="22"/>
      <c r="L694" s="22"/>
      <c r="M694" s="22"/>
      <c r="N694" s="22"/>
    </row>
    <row r="695" ht="22.5" customHeight="1">
      <c r="A695" s="20"/>
      <c r="B695" s="21"/>
      <c r="C695" s="21"/>
      <c r="D695" s="22"/>
      <c r="E695" s="22"/>
      <c r="F695" s="22"/>
      <c r="G695" s="23"/>
      <c r="H695" s="20"/>
      <c r="I695" s="20"/>
      <c r="J695" s="22"/>
      <c r="K695" s="22"/>
      <c r="L695" s="22"/>
      <c r="M695" s="22"/>
      <c r="N695" s="22"/>
    </row>
    <row r="696" ht="22.5" customHeight="1">
      <c r="A696" s="20"/>
      <c r="B696" s="21"/>
      <c r="C696" s="21"/>
      <c r="D696" s="22"/>
      <c r="E696" s="22"/>
      <c r="F696" s="22"/>
      <c r="G696" s="23"/>
      <c r="H696" s="20"/>
      <c r="I696" s="20"/>
      <c r="J696" s="22"/>
      <c r="K696" s="22"/>
      <c r="L696" s="22"/>
      <c r="M696" s="22"/>
      <c r="N696" s="22"/>
    </row>
    <row r="697" ht="22.5" customHeight="1">
      <c r="A697" s="20"/>
      <c r="B697" s="21"/>
      <c r="C697" s="21"/>
      <c r="D697" s="22"/>
      <c r="E697" s="22"/>
      <c r="F697" s="22"/>
      <c r="G697" s="23"/>
      <c r="H697" s="20"/>
      <c r="I697" s="20"/>
      <c r="J697" s="22"/>
      <c r="K697" s="22"/>
      <c r="L697" s="22"/>
      <c r="M697" s="22"/>
      <c r="N697" s="22"/>
    </row>
    <row r="698" ht="22.5" customHeight="1">
      <c r="A698" s="20"/>
      <c r="B698" s="21"/>
      <c r="C698" s="21"/>
      <c r="D698" s="22"/>
      <c r="E698" s="22"/>
      <c r="F698" s="22"/>
      <c r="G698" s="23"/>
      <c r="H698" s="20"/>
      <c r="I698" s="20"/>
      <c r="J698" s="22"/>
      <c r="K698" s="22"/>
      <c r="L698" s="22"/>
      <c r="M698" s="22"/>
      <c r="N698" s="22"/>
    </row>
    <row r="699" ht="22.5" customHeight="1">
      <c r="A699" s="20"/>
      <c r="B699" s="21"/>
      <c r="C699" s="21"/>
      <c r="D699" s="22"/>
      <c r="E699" s="22"/>
      <c r="F699" s="22"/>
      <c r="G699" s="23"/>
      <c r="H699" s="20"/>
      <c r="I699" s="20"/>
      <c r="J699" s="22"/>
      <c r="K699" s="22"/>
      <c r="L699" s="22"/>
      <c r="M699" s="22"/>
      <c r="N699" s="22"/>
    </row>
    <row r="700" ht="22.5" customHeight="1">
      <c r="A700" s="20"/>
      <c r="B700" s="21"/>
      <c r="C700" s="21"/>
      <c r="D700" s="22"/>
      <c r="E700" s="22"/>
      <c r="F700" s="22"/>
      <c r="G700" s="23"/>
      <c r="H700" s="20"/>
      <c r="I700" s="20"/>
      <c r="J700" s="22"/>
      <c r="K700" s="22"/>
      <c r="L700" s="22"/>
      <c r="M700" s="22"/>
      <c r="N700" s="22"/>
    </row>
    <row r="701" ht="22.5" customHeight="1">
      <c r="A701" s="20"/>
      <c r="B701" s="21"/>
      <c r="C701" s="21"/>
      <c r="D701" s="22"/>
      <c r="E701" s="22"/>
      <c r="F701" s="22"/>
      <c r="G701" s="23"/>
      <c r="H701" s="20"/>
      <c r="I701" s="20"/>
      <c r="J701" s="22"/>
      <c r="K701" s="22"/>
      <c r="L701" s="22"/>
      <c r="M701" s="22"/>
      <c r="N701" s="22"/>
    </row>
    <row r="702" ht="22.5" customHeight="1">
      <c r="A702" s="20"/>
      <c r="B702" s="21"/>
      <c r="C702" s="21"/>
      <c r="D702" s="22"/>
      <c r="E702" s="22"/>
      <c r="F702" s="22"/>
      <c r="G702" s="23"/>
      <c r="H702" s="20"/>
      <c r="I702" s="20"/>
      <c r="J702" s="22"/>
      <c r="K702" s="22"/>
      <c r="L702" s="22"/>
      <c r="M702" s="22"/>
      <c r="N702" s="22"/>
    </row>
    <row r="703" ht="22.5" customHeight="1">
      <c r="A703" s="20"/>
      <c r="B703" s="21"/>
      <c r="C703" s="21"/>
      <c r="D703" s="22"/>
      <c r="E703" s="22"/>
      <c r="F703" s="22"/>
      <c r="G703" s="23"/>
      <c r="H703" s="20"/>
      <c r="I703" s="20"/>
      <c r="J703" s="22"/>
      <c r="K703" s="22"/>
      <c r="L703" s="22"/>
      <c r="M703" s="22"/>
      <c r="N703" s="22"/>
    </row>
    <row r="704" ht="22.5" customHeight="1">
      <c r="A704" s="20"/>
      <c r="B704" s="21"/>
      <c r="C704" s="21"/>
      <c r="D704" s="22"/>
      <c r="E704" s="22"/>
      <c r="F704" s="22"/>
      <c r="G704" s="23"/>
      <c r="H704" s="20"/>
      <c r="I704" s="20"/>
      <c r="J704" s="22"/>
      <c r="K704" s="22"/>
      <c r="L704" s="22"/>
      <c r="M704" s="22"/>
      <c r="N704" s="22"/>
    </row>
    <row r="705" ht="22.5" customHeight="1">
      <c r="A705" s="20"/>
      <c r="B705" s="21"/>
      <c r="C705" s="21"/>
      <c r="D705" s="22"/>
      <c r="E705" s="22"/>
      <c r="F705" s="22"/>
      <c r="G705" s="23"/>
      <c r="H705" s="20"/>
      <c r="I705" s="20"/>
      <c r="J705" s="22"/>
      <c r="K705" s="22"/>
      <c r="L705" s="22"/>
      <c r="M705" s="22"/>
      <c r="N705" s="22"/>
    </row>
    <row r="706" ht="22.5" customHeight="1">
      <c r="A706" s="20"/>
      <c r="B706" s="21"/>
      <c r="C706" s="21"/>
      <c r="D706" s="22"/>
      <c r="E706" s="22"/>
      <c r="F706" s="22"/>
      <c r="G706" s="23"/>
      <c r="H706" s="20"/>
      <c r="I706" s="20"/>
      <c r="J706" s="22"/>
      <c r="K706" s="22"/>
      <c r="L706" s="22"/>
      <c r="M706" s="22"/>
      <c r="N706" s="22"/>
    </row>
    <row r="707" ht="22.5" customHeight="1">
      <c r="A707" s="20"/>
      <c r="B707" s="21"/>
      <c r="C707" s="21"/>
      <c r="D707" s="22"/>
      <c r="E707" s="22"/>
      <c r="F707" s="22"/>
      <c r="G707" s="23"/>
      <c r="H707" s="20"/>
      <c r="I707" s="20"/>
      <c r="J707" s="22"/>
      <c r="K707" s="22"/>
      <c r="L707" s="22"/>
      <c r="M707" s="22"/>
      <c r="N707" s="22"/>
    </row>
    <row r="708" ht="22.5" customHeight="1">
      <c r="A708" s="20"/>
      <c r="B708" s="21"/>
      <c r="C708" s="21"/>
      <c r="D708" s="22"/>
      <c r="E708" s="22"/>
      <c r="F708" s="22"/>
      <c r="G708" s="23"/>
      <c r="H708" s="20"/>
      <c r="I708" s="20"/>
      <c r="J708" s="22"/>
      <c r="K708" s="22"/>
      <c r="L708" s="22"/>
      <c r="M708" s="22"/>
      <c r="N708" s="22"/>
    </row>
    <row r="709" ht="22.5" customHeight="1">
      <c r="A709" s="20"/>
      <c r="B709" s="21"/>
      <c r="C709" s="21"/>
      <c r="D709" s="22"/>
      <c r="E709" s="22"/>
      <c r="F709" s="22"/>
      <c r="G709" s="23"/>
      <c r="H709" s="20"/>
      <c r="I709" s="20"/>
      <c r="J709" s="22"/>
      <c r="K709" s="22"/>
      <c r="L709" s="22"/>
      <c r="M709" s="22"/>
      <c r="N709" s="22"/>
    </row>
    <row r="710" ht="22.5" customHeight="1">
      <c r="A710" s="20"/>
      <c r="B710" s="21"/>
      <c r="C710" s="21"/>
      <c r="D710" s="22"/>
      <c r="E710" s="22"/>
      <c r="F710" s="22"/>
      <c r="G710" s="23"/>
      <c r="H710" s="20"/>
      <c r="I710" s="20"/>
      <c r="J710" s="22"/>
      <c r="K710" s="22"/>
      <c r="L710" s="22"/>
      <c r="M710" s="22"/>
      <c r="N710" s="22"/>
    </row>
    <row r="711" ht="22.5" customHeight="1">
      <c r="A711" s="20"/>
      <c r="B711" s="21"/>
      <c r="C711" s="21"/>
      <c r="D711" s="22"/>
      <c r="E711" s="22"/>
      <c r="F711" s="22"/>
      <c r="G711" s="23"/>
      <c r="H711" s="20"/>
      <c r="I711" s="20"/>
      <c r="J711" s="22"/>
      <c r="K711" s="22"/>
      <c r="L711" s="22"/>
      <c r="M711" s="22"/>
      <c r="N711" s="22"/>
    </row>
    <row r="712" ht="22.5" customHeight="1">
      <c r="A712" s="20"/>
      <c r="B712" s="21"/>
      <c r="C712" s="21"/>
      <c r="D712" s="22"/>
      <c r="E712" s="22"/>
      <c r="F712" s="22"/>
      <c r="G712" s="23"/>
      <c r="H712" s="20"/>
      <c r="I712" s="20"/>
      <c r="J712" s="22"/>
      <c r="K712" s="22"/>
      <c r="L712" s="22"/>
      <c r="M712" s="22"/>
      <c r="N712" s="22"/>
    </row>
    <row r="713" ht="22.5" customHeight="1">
      <c r="A713" s="20"/>
      <c r="B713" s="21"/>
      <c r="C713" s="21"/>
      <c r="D713" s="22"/>
      <c r="E713" s="22"/>
      <c r="F713" s="22"/>
      <c r="G713" s="23"/>
      <c r="H713" s="20"/>
      <c r="I713" s="20"/>
      <c r="J713" s="22"/>
      <c r="K713" s="22"/>
      <c r="L713" s="22"/>
      <c r="M713" s="22"/>
      <c r="N713" s="22"/>
    </row>
    <row r="714" ht="22.5" customHeight="1">
      <c r="A714" s="20"/>
      <c r="B714" s="21"/>
      <c r="C714" s="21"/>
      <c r="D714" s="22"/>
      <c r="E714" s="22"/>
      <c r="F714" s="22"/>
      <c r="G714" s="23"/>
      <c r="H714" s="20"/>
      <c r="I714" s="20"/>
      <c r="J714" s="22"/>
      <c r="K714" s="22"/>
      <c r="L714" s="22"/>
      <c r="M714" s="22"/>
      <c r="N714" s="22"/>
    </row>
    <row r="715" ht="22.5" customHeight="1">
      <c r="A715" s="20"/>
      <c r="B715" s="21"/>
      <c r="C715" s="21"/>
      <c r="D715" s="22"/>
      <c r="E715" s="22"/>
      <c r="F715" s="22"/>
      <c r="G715" s="23"/>
      <c r="H715" s="20"/>
      <c r="I715" s="20"/>
      <c r="J715" s="22"/>
      <c r="K715" s="22"/>
      <c r="L715" s="22"/>
      <c r="M715" s="22"/>
      <c r="N715" s="22"/>
    </row>
    <row r="716" ht="22.5" customHeight="1">
      <c r="A716" s="20"/>
      <c r="B716" s="21"/>
      <c r="C716" s="21"/>
      <c r="D716" s="22"/>
      <c r="E716" s="22"/>
      <c r="F716" s="22"/>
      <c r="G716" s="23"/>
      <c r="H716" s="20"/>
      <c r="I716" s="20"/>
      <c r="J716" s="22"/>
      <c r="K716" s="22"/>
      <c r="L716" s="22"/>
      <c r="M716" s="22"/>
      <c r="N716" s="22"/>
    </row>
    <row r="717" ht="22.5" customHeight="1">
      <c r="A717" s="20"/>
      <c r="B717" s="21"/>
      <c r="C717" s="21"/>
      <c r="D717" s="22"/>
      <c r="E717" s="22"/>
      <c r="F717" s="22"/>
      <c r="G717" s="23"/>
      <c r="H717" s="20"/>
      <c r="I717" s="20"/>
      <c r="J717" s="22"/>
      <c r="K717" s="22"/>
      <c r="L717" s="22"/>
      <c r="M717" s="22"/>
      <c r="N717" s="22"/>
    </row>
    <row r="718" ht="22.5" customHeight="1">
      <c r="A718" s="20"/>
      <c r="B718" s="21"/>
      <c r="C718" s="21"/>
      <c r="D718" s="22"/>
      <c r="E718" s="22"/>
      <c r="F718" s="22"/>
      <c r="G718" s="23"/>
      <c r="H718" s="20"/>
      <c r="I718" s="20"/>
      <c r="J718" s="22"/>
      <c r="K718" s="22"/>
      <c r="L718" s="22"/>
      <c r="M718" s="22"/>
      <c r="N718" s="22"/>
    </row>
    <row r="719" ht="22.5" customHeight="1">
      <c r="A719" s="20"/>
      <c r="B719" s="21"/>
      <c r="C719" s="21"/>
      <c r="D719" s="22"/>
      <c r="E719" s="22"/>
      <c r="F719" s="22"/>
      <c r="G719" s="23"/>
      <c r="H719" s="20"/>
      <c r="I719" s="20"/>
      <c r="J719" s="22"/>
      <c r="K719" s="22"/>
      <c r="L719" s="22"/>
      <c r="M719" s="22"/>
      <c r="N719" s="22"/>
    </row>
    <row r="720" ht="22.5" customHeight="1">
      <c r="A720" s="20"/>
      <c r="B720" s="21"/>
      <c r="C720" s="21"/>
      <c r="D720" s="22"/>
      <c r="E720" s="22"/>
      <c r="F720" s="22"/>
      <c r="G720" s="23"/>
      <c r="H720" s="20"/>
      <c r="I720" s="20"/>
      <c r="J720" s="22"/>
      <c r="K720" s="22"/>
      <c r="L720" s="22"/>
      <c r="M720" s="22"/>
      <c r="N720" s="22"/>
    </row>
    <row r="721" ht="22.5" customHeight="1">
      <c r="A721" s="20"/>
      <c r="B721" s="21"/>
      <c r="C721" s="21"/>
      <c r="D721" s="22"/>
      <c r="E721" s="22"/>
      <c r="F721" s="22"/>
      <c r="G721" s="23"/>
      <c r="H721" s="20"/>
      <c r="I721" s="20"/>
      <c r="J721" s="22"/>
      <c r="K721" s="22"/>
      <c r="L721" s="22"/>
      <c r="M721" s="22"/>
      <c r="N721" s="22"/>
    </row>
    <row r="722" ht="22.5" customHeight="1">
      <c r="A722" s="20"/>
      <c r="B722" s="21"/>
      <c r="C722" s="21"/>
      <c r="D722" s="22"/>
      <c r="E722" s="22"/>
      <c r="F722" s="22"/>
      <c r="G722" s="23"/>
      <c r="H722" s="20"/>
      <c r="I722" s="20"/>
      <c r="J722" s="22"/>
      <c r="K722" s="22"/>
      <c r="L722" s="22"/>
      <c r="M722" s="22"/>
      <c r="N722" s="22"/>
    </row>
    <row r="723" ht="22.5" customHeight="1">
      <c r="A723" s="20"/>
      <c r="B723" s="21"/>
      <c r="C723" s="21"/>
      <c r="D723" s="22"/>
      <c r="E723" s="22"/>
      <c r="F723" s="22"/>
      <c r="G723" s="23"/>
      <c r="H723" s="20"/>
      <c r="I723" s="20"/>
      <c r="J723" s="22"/>
      <c r="K723" s="22"/>
      <c r="L723" s="22"/>
      <c r="M723" s="22"/>
      <c r="N723" s="22"/>
    </row>
    <row r="724" ht="22.5" customHeight="1">
      <c r="A724" s="20"/>
      <c r="B724" s="21"/>
      <c r="C724" s="21"/>
      <c r="D724" s="22"/>
      <c r="E724" s="22"/>
      <c r="F724" s="22"/>
      <c r="G724" s="23"/>
      <c r="H724" s="20"/>
      <c r="I724" s="20"/>
      <c r="J724" s="22"/>
      <c r="K724" s="22"/>
      <c r="L724" s="22"/>
      <c r="M724" s="22"/>
      <c r="N724" s="22"/>
    </row>
    <row r="725" ht="22.5" customHeight="1">
      <c r="A725" s="20"/>
      <c r="B725" s="21"/>
      <c r="C725" s="21"/>
      <c r="D725" s="22"/>
      <c r="E725" s="22"/>
      <c r="F725" s="22"/>
      <c r="G725" s="23"/>
      <c r="H725" s="20"/>
      <c r="I725" s="20"/>
      <c r="J725" s="22"/>
      <c r="K725" s="22"/>
      <c r="L725" s="22"/>
      <c r="M725" s="22"/>
      <c r="N725" s="22"/>
    </row>
    <row r="726" ht="22.5" customHeight="1">
      <c r="A726" s="20"/>
      <c r="B726" s="21"/>
      <c r="C726" s="21"/>
      <c r="D726" s="22"/>
      <c r="E726" s="22"/>
      <c r="F726" s="22"/>
      <c r="G726" s="23"/>
      <c r="H726" s="20"/>
      <c r="I726" s="20"/>
      <c r="J726" s="22"/>
      <c r="K726" s="22"/>
      <c r="L726" s="22"/>
      <c r="M726" s="22"/>
      <c r="N726" s="22"/>
    </row>
    <row r="727" ht="22.5" customHeight="1">
      <c r="A727" s="20"/>
      <c r="B727" s="21"/>
      <c r="C727" s="21"/>
      <c r="D727" s="22"/>
      <c r="E727" s="22"/>
      <c r="F727" s="22"/>
      <c r="G727" s="23"/>
      <c r="H727" s="20"/>
      <c r="I727" s="20"/>
      <c r="J727" s="22"/>
      <c r="K727" s="22"/>
      <c r="L727" s="22"/>
      <c r="M727" s="22"/>
      <c r="N727" s="22"/>
    </row>
    <row r="728" ht="22.5" customHeight="1">
      <c r="A728" s="20"/>
      <c r="B728" s="21"/>
      <c r="C728" s="21"/>
      <c r="D728" s="22"/>
      <c r="E728" s="22"/>
      <c r="F728" s="22"/>
      <c r="G728" s="23"/>
      <c r="H728" s="20"/>
      <c r="I728" s="20"/>
      <c r="J728" s="22"/>
      <c r="K728" s="22"/>
      <c r="L728" s="22"/>
      <c r="M728" s="22"/>
      <c r="N728" s="22"/>
    </row>
    <row r="729" ht="22.5" customHeight="1">
      <c r="A729" s="20"/>
      <c r="B729" s="21"/>
      <c r="C729" s="21"/>
      <c r="D729" s="22"/>
      <c r="E729" s="22"/>
      <c r="F729" s="22"/>
      <c r="G729" s="23"/>
      <c r="H729" s="20"/>
      <c r="I729" s="20"/>
      <c r="J729" s="22"/>
      <c r="K729" s="22"/>
      <c r="L729" s="22"/>
      <c r="M729" s="22"/>
      <c r="N729" s="22"/>
    </row>
    <row r="730" ht="22.5" customHeight="1">
      <c r="A730" s="20"/>
      <c r="B730" s="21"/>
      <c r="C730" s="21"/>
      <c r="D730" s="22"/>
      <c r="E730" s="22"/>
      <c r="F730" s="22"/>
      <c r="G730" s="23"/>
      <c r="H730" s="20"/>
      <c r="I730" s="20"/>
      <c r="J730" s="22"/>
      <c r="K730" s="22"/>
      <c r="L730" s="22"/>
      <c r="M730" s="22"/>
      <c r="N730" s="22"/>
    </row>
    <row r="731" ht="22.5" customHeight="1">
      <c r="A731" s="20"/>
      <c r="B731" s="21"/>
      <c r="C731" s="21"/>
      <c r="D731" s="22"/>
      <c r="E731" s="22"/>
      <c r="F731" s="22"/>
      <c r="G731" s="23"/>
      <c r="H731" s="20"/>
      <c r="I731" s="20"/>
      <c r="J731" s="22"/>
      <c r="K731" s="22"/>
      <c r="L731" s="22"/>
      <c r="M731" s="22"/>
      <c r="N731" s="22"/>
    </row>
    <row r="732" ht="22.5" customHeight="1">
      <c r="A732" s="20"/>
      <c r="B732" s="21"/>
      <c r="C732" s="21"/>
      <c r="D732" s="22"/>
      <c r="E732" s="22"/>
      <c r="F732" s="22"/>
      <c r="G732" s="23"/>
      <c r="H732" s="20"/>
      <c r="I732" s="20"/>
      <c r="J732" s="22"/>
      <c r="K732" s="22"/>
      <c r="L732" s="22"/>
      <c r="M732" s="22"/>
      <c r="N732" s="22"/>
    </row>
    <row r="733" ht="22.5" customHeight="1">
      <c r="A733" s="20"/>
      <c r="B733" s="21"/>
      <c r="C733" s="21"/>
      <c r="D733" s="22"/>
      <c r="E733" s="22"/>
      <c r="F733" s="22"/>
      <c r="G733" s="23"/>
      <c r="H733" s="20"/>
      <c r="I733" s="20"/>
      <c r="J733" s="22"/>
      <c r="K733" s="22"/>
      <c r="L733" s="22"/>
      <c r="M733" s="22"/>
      <c r="N733" s="22"/>
    </row>
    <row r="734" ht="22.5" customHeight="1">
      <c r="A734" s="20"/>
      <c r="B734" s="21"/>
      <c r="C734" s="21"/>
      <c r="D734" s="22"/>
      <c r="E734" s="22"/>
      <c r="F734" s="22"/>
      <c r="G734" s="23"/>
      <c r="H734" s="20"/>
      <c r="I734" s="20"/>
      <c r="J734" s="22"/>
      <c r="K734" s="22"/>
      <c r="L734" s="22"/>
      <c r="M734" s="22"/>
      <c r="N734" s="22"/>
    </row>
    <row r="735" ht="22.5" customHeight="1">
      <c r="A735" s="20"/>
      <c r="B735" s="21"/>
      <c r="C735" s="21"/>
      <c r="D735" s="22"/>
      <c r="E735" s="22"/>
      <c r="F735" s="22"/>
      <c r="G735" s="23"/>
      <c r="H735" s="20"/>
      <c r="I735" s="20"/>
      <c r="J735" s="22"/>
      <c r="K735" s="22"/>
      <c r="L735" s="22"/>
      <c r="M735" s="22"/>
      <c r="N735" s="22"/>
    </row>
    <row r="736" ht="22.5" customHeight="1">
      <c r="A736" s="20"/>
      <c r="B736" s="21"/>
      <c r="C736" s="21"/>
      <c r="D736" s="22"/>
      <c r="E736" s="22"/>
      <c r="F736" s="22"/>
      <c r="G736" s="23"/>
      <c r="H736" s="20"/>
      <c r="I736" s="20"/>
      <c r="J736" s="22"/>
      <c r="K736" s="22"/>
      <c r="L736" s="22"/>
      <c r="M736" s="22"/>
      <c r="N736" s="22"/>
    </row>
    <row r="737" ht="22.5" customHeight="1">
      <c r="A737" s="20"/>
      <c r="B737" s="21"/>
      <c r="C737" s="21"/>
      <c r="D737" s="22"/>
      <c r="E737" s="22"/>
      <c r="F737" s="22"/>
      <c r="G737" s="23"/>
      <c r="H737" s="20"/>
      <c r="I737" s="20"/>
      <c r="J737" s="22"/>
      <c r="K737" s="22"/>
      <c r="L737" s="22"/>
      <c r="M737" s="22"/>
      <c r="N737" s="22"/>
    </row>
    <row r="738" ht="22.5" customHeight="1">
      <c r="A738" s="20"/>
      <c r="B738" s="21"/>
      <c r="C738" s="21"/>
      <c r="D738" s="22"/>
      <c r="E738" s="22"/>
      <c r="F738" s="22"/>
      <c r="G738" s="23"/>
      <c r="H738" s="20"/>
      <c r="I738" s="20"/>
      <c r="J738" s="22"/>
      <c r="K738" s="22"/>
      <c r="L738" s="22"/>
      <c r="M738" s="22"/>
      <c r="N738" s="22"/>
    </row>
    <row r="739" ht="22.5" customHeight="1">
      <c r="A739" s="20"/>
      <c r="B739" s="21"/>
      <c r="C739" s="21"/>
      <c r="D739" s="22"/>
      <c r="E739" s="22"/>
      <c r="F739" s="22"/>
      <c r="G739" s="23"/>
      <c r="H739" s="20"/>
      <c r="I739" s="20"/>
      <c r="J739" s="22"/>
      <c r="K739" s="22"/>
      <c r="L739" s="22"/>
      <c r="M739" s="22"/>
      <c r="N739" s="22"/>
    </row>
    <row r="740" ht="22.5" customHeight="1">
      <c r="A740" s="20"/>
      <c r="B740" s="21"/>
      <c r="C740" s="21"/>
      <c r="D740" s="22"/>
      <c r="E740" s="22"/>
      <c r="F740" s="22"/>
      <c r="G740" s="23"/>
      <c r="H740" s="20"/>
      <c r="I740" s="20"/>
      <c r="J740" s="22"/>
      <c r="K740" s="22"/>
      <c r="L740" s="22"/>
      <c r="M740" s="22"/>
      <c r="N740" s="22"/>
    </row>
    <row r="741" ht="22.5" customHeight="1">
      <c r="A741" s="20"/>
      <c r="B741" s="21"/>
      <c r="C741" s="21"/>
      <c r="D741" s="22"/>
      <c r="E741" s="22"/>
      <c r="F741" s="22"/>
      <c r="G741" s="23"/>
      <c r="H741" s="20"/>
      <c r="I741" s="20"/>
      <c r="J741" s="22"/>
      <c r="K741" s="22"/>
      <c r="L741" s="22"/>
      <c r="M741" s="22"/>
      <c r="N741" s="22"/>
    </row>
    <row r="742" ht="22.5" customHeight="1">
      <c r="A742" s="20"/>
      <c r="B742" s="21"/>
      <c r="C742" s="21"/>
      <c r="D742" s="22"/>
      <c r="E742" s="22"/>
      <c r="F742" s="22"/>
      <c r="G742" s="23"/>
      <c r="H742" s="20"/>
      <c r="I742" s="20"/>
      <c r="J742" s="22"/>
      <c r="K742" s="22"/>
      <c r="L742" s="22"/>
      <c r="M742" s="22"/>
      <c r="N742" s="22"/>
    </row>
    <row r="743" ht="22.5" customHeight="1">
      <c r="A743" s="20"/>
      <c r="B743" s="21"/>
      <c r="C743" s="21"/>
      <c r="D743" s="22"/>
      <c r="E743" s="22"/>
      <c r="F743" s="22"/>
      <c r="G743" s="23"/>
      <c r="H743" s="20"/>
      <c r="I743" s="20"/>
      <c r="J743" s="22"/>
      <c r="K743" s="22"/>
      <c r="L743" s="22"/>
      <c r="M743" s="22"/>
      <c r="N743" s="22"/>
    </row>
    <row r="744" ht="22.5" customHeight="1">
      <c r="A744" s="20"/>
      <c r="B744" s="21"/>
      <c r="C744" s="21"/>
      <c r="D744" s="22"/>
      <c r="E744" s="22"/>
      <c r="F744" s="22"/>
      <c r="G744" s="23"/>
      <c r="H744" s="20"/>
      <c r="I744" s="20"/>
      <c r="J744" s="22"/>
      <c r="K744" s="22"/>
      <c r="L744" s="22"/>
      <c r="M744" s="22"/>
      <c r="N744" s="22"/>
    </row>
    <row r="745" ht="22.5" customHeight="1">
      <c r="A745" s="20"/>
      <c r="B745" s="21"/>
      <c r="C745" s="21"/>
      <c r="D745" s="22"/>
      <c r="E745" s="22"/>
      <c r="F745" s="22"/>
      <c r="G745" s="23"/>
      <c r="H745" s="20"/>
      <c r="I745" s="20"/>
      <c r="J745" s="22"/>
      <c r="K745" s="22"/>
      <c r="L745" s="22"/>
      <c r="M745" s="22"/>
      <c r="N745" s="22"/>
    </row>
    <row r="746" ht="22.5" customHeight="1">
      <c r="A746" s="20"/>
      <c r="B746" s="21"/>
      <c r="C746" s="21"/>
      <c r="D746" s="22"/>
      <c r="E746" s="22"/>
      <c r="F746" s="22"/>
      <c r="G746" s="23"/>
      <c r="H746" s="20"/>
      <c r="I746" s="20"/>
      <c r="J746" s="22"/>
      <c r="K746" s="22"/>
      <c r="L746" s="22"/>
      <c r="M746" s="22"/>
      <c r="N746" s="22"/>
    </row>
    <row r="747" ht="22.5" customHeight="1">
      <c r="A747" s="20"/>
      <c r="B747" s="21"/>
      <c r="C747" s="21"/>
      <c r="D747" s="22"/>
      <c r="E747" s="22"/>
      <c r="F747" s="22"/>
      <c r="G747" s="23"/>
      <c r="H747" s="20"/>
      <c r="I747" s="20"/>
      <c r="J747" s="22"/>
      <c r="K747" s="22"/>
      <c r="L747" s="22"/>
      <c r="M747" s="22"/>
      <c r="N747" s="22"/>
    </row>
    <row r="748" ht="22.5" customHeight="1">
      <c r="A748" s="20"/>
      <c r="B748" s="21"/>
      <c r="C748" s="21"/>
      <c r="D748" s="22"/>
      <c r="E748" s="22"/>
      <c r="F748" s="22"/>
      <c r="G748" s="23"/>
      <c r="H748" s="20"/>
      <c r="I748" s="20"/>
      <c r="J748" s="22"/>
      <c r="K748" s="22"/>
      <c r="L748" s="22"/>
      <c r="M748" s="22"/>
      <c r="N748" s="22"/>
    </row>
    <row r="749" ht="22.5" customHeight="1">
      <c r="A749" s="20"/>
      <c r="B749" s="21"/>
      <c r="C749" s="21"/>
      <c r="D749" s="22"/>
      <c r="E749" s="22"/>
      <c r="F749" s="22"/>
      <c r="G749" s="23"/>
      <c r="H749" s="20"/>
      <c r="I749" s="20"/>
      <c r="J749" s="22"/>
      <c r="K749" s="22"/>
      <c r="L749" s="22"/>
      <c r="M749" s="22"/>
      <c r="N749" s="22"/>
    </row>
    <row r="750" ht="22.5" customHeight="1">
      <c r="A750" s="20"/>
      <c r="B750" s="21"/>
      <c r="C750" s="21"/>
      <c r="D750" s="22"/>
      <c r="E750" s="22"/>
      <c r="F750" s="22"/>
      <c r="G750" s="23"/>
      <c r="H750" s="20"/>
      <c r="I750" s="20"/>
      <c r="J750" s="22"/>
      <c r="K750" s="22"/>
      <c r="L750" s="22"/>
      <c r="M750" s="22"/>
      <c r="N750" s="22"/>
    </row>
    <row r="751" ht="22.5" customHeight="1">
      <c r="A751" s="20"/>
      <c r="B751" s="21"/>
      <c r="C751" s="21"/>
      <c r="D751" s="22"/>
      <c r="E751" s="22"/>
      <c r="F751" s="22"/>
      <c r="G751" s="23"/>
      <c r="H751" s="20"/>
      <c r="I751" s="20"/>
      <c r="J751" s="22"/>
      <c r="K751" s="22"/>
      <c r="L751" s="22"/>
      <c r="M751" s="22"/>
      <c r="N751" s="22"/>
    </row>
    <row r="752" ht="22.5" customHeight="1">
      <c r="A752" s="20"/>
      <c r="B752" s="21"/>
      <c r="C752" s="21"/>
      <c r="D752" s="22"/>
      <c r="E752" s="22"/>
      <c r="F752" s="22"/>
      <c r="G752" s="23"/>
      <c r="H752" s="20"/>
      <c r="I752" s="20"/>
      <c r="J752" s="22"/>
      <c r="K752" s="22"/>
      <c r="L752" s="22"/>
      <c r="M752" s="22"/>
      <c r="N752" s="22"/>
    </row>
    <row r="753" ht="22.5" customHeight="1">
      <c r="A753" s="20"/>
      <c r="B753" s="21"/>
      <c r="C753" s="21"/>
      <c r="D753" s="22"/>
      <c r="E753" s="22"/>
      <c r="F753" s="22"/>
      <c r="G753" s="23"/>
      <c r="H753" s="20"/>
      <c r="I753" s="20"/>
      <c r="J753" s="22"/>
      <c r="K753" s="22"/>
      <c r="L753" s="22"/>
      <c r="M753" s="22"/>
      <c r="N753" s="22"/>
    </row>
    <row r="754" ht="22.5" customHeight="1">
      <c r="A754" s="20"/>
      <c r="B754" s="21"/>
      <c r="C754" s="21"/>
      <c r="D754" s="22"/>
      <c r="E754" s="22"/>
      <c r="F754" s="22"/>
      <c r="G754" s="23"/>
      <c r="H754" s="20"/>
      <c r="I754" s="20"/>
      <c r="J754" s="22"/>
      <c r="K754" s="22"/>
      <c r="L754" s="22"/>
      <c r="M754" s="22"/>
      <c r="N754" s="22"/>
    </row>
    <row r="755" ht="22.5" customHeight="1">
      <c r="A755" s="20"/>
      <c r="B755" s="21"/>
      <c r="C755" s="21"/>
      <c r="D755" s="22"/>
      <c r="E755" s="22"/>
      <c r="F755" s="22"/>
      <c r="G755" s="23"/>
      <c r="H755" s="20"/>
      <c r="I755" s="20"/>
      <c r="J755" s="22"/>
      <c r="K755" s="22"/>
      <c r="L755" s="22"/>
      <c r="M755" s="22"/>
      <c r="N755" s="22"/>
    </row>
    <row r="756" ht="22.5" customHeight="1">
      <c r="A756" s="20"/>
      <c r="B756" s="21"/>
      <c r="C756" s="21"/>
      <c r="D756" s="22"/>
      <c r="E756" s="22"/>
      <c r="F756" s="22"/>
      <c r="G756" s="23"/>
      <c r="H756" s="20"/>
      <c r="I756" s="20"/>
      <c r="J756" s="22"/>
      <c r="K756" s="22"/>
      <c r="L756" s="22"/>
      <c r="M756" s="22"/>
      <c r="N756" s="22"/>
    </row>
    <row r="757" ht="22.5" customHeight="1">
      <c r="A757" s="20"/>
      <c r="B757" s="21"/>
      <c r="C757" s="21"/>
      <c r="D757" s="22"/>
      <c r="E757" s="22"/>
      <c r="F757" s="22"/>
      <c r="G757" s="23"/>
      <c r="H757" s="20"/>
      <c r="I757" s="20"/>
      <c r="J757" s="22"/>
      <c r="K757" s="22"/>
      <c r="L757" s="22"/>
      <c r="M757" s="22"/>
      <c r="N757" s="22"/>
    </row>
    <row r="758" ht="22.5" customHeight="1">
      <c r="A758" s="20"/>
      <c r="B758" s="21"/>
      <c r="C758" s="21"/>
      <c r="D758" s="22"/>
      <c r="E758" s="22"/>
      <c r="F758" s="22"/>
      <c r="G758" s="23"/>
      <c r="H758" s="20"/>
      <c r="I758" s="20"/>
      <c r="J758" s="22"/>
      <c r="K758" s="22"/>
      <c r="L758" s="22"/>
      <c r="M758" s="22"/>
      <c r="N758" s="22"/>
    </row>
    <row r="759" ht="22.5" customHeight="1">
      <c r="A759" s="20"/>
      <c r="B759" s="21"/>
      <c r="C759" s="21"/>
      <c r="D759" s="22"/>
      <c r="E759" s="22"/>
      <c r="F759" s="22"/>
      <c r="G759" s="23"/>
      <c r="H759" s="20"/>
      <c r="I759" s="20"/>
      <c r="J759" s="22"/>
      <c r="K759" s="22"/>
      <c r="L759" s="22"/>
      <c r="M759" s="22"/>
      <c r="N759" s="22"/>
    </row>
    <row r="760" ht="22.5" customHeight="1">
      <c r="A760" s="20"/>
      <c r="B760" s="21"/>
      <c r="C760" s="21"/>
      <c r="D760" s="22"/>
      <c r="E760" s="22"/>
      <c r="F760" s="22"/>
      <c r="G760" s="23"/>
      <c r="H760" s="20"/>
      <c r="I760" s="20"/>
      <c r="J760" s="22"/>
      <c r="K760" s="22"/>
      <c r="L760" s="22"/>
      <c r="M760" s="22"/>
      <c r="N760" s="22"/>
    </row>
    <row r="761" ht="22.5" customHeight="1">
      <c r="A761" s="20"/>
      <c r="B761" s="21"/>
      <c r="C761" s="21"/>
      <c r="D761" s="22"/>
      <c r="E761" s="22"/>
      <c r="F761" s="22"/>
      <c r="G761" s="23"/>
      <c r="H761" s="20"/>
      <c r="I761" s="20"/>
      <c r="J761" s="22"/>
      <c r="K761" s="22"/>
      <c r="L761" s="22"/>
      <c r="M761" s="22"/>
      <c r="N761" s="22"/>
    </row>
    <row r="762" ht="22.5" customHeight="1">
      <c r="A762" s="20"/>
      <c r="B762" s="21"/>
      <c r="C762" s="21"/>
      <c r="D762" s="22"/>
      <c r="E762" s="22"/>
      <c r="F762" s="22"/>
      <c r="G762" s="23"/>
      <c r="H762" s="20"/>
      <c r="I762" s="20"/>
      <c r="J762" s="22"/>
      <c r="K762" s="22"/>
      <c r="L762" s="22"/>
      <c r="M762" s="22"/>
      <c r="N762" s="22"/>
    </row>
    <row r="763" ht="22.5" customHeight="1">
      <c r="A763" s="20"/>
      <c r="B763" s="21"/>
      <c r="C763" s="21"/>
      <c r="D763" s="22"/>
      <c r="E763" s="22"/>
      <c r="F763" s="22"/>
      <c r="G763" s="23"/>
      <c r="H763" s="20"/>
      <c r="I763" s="20"/>
      <c r="J763" s="22"/>
      <c r="K763" s="22"/>
      <c r="L763" s="22"/>
      <c r="M763" s="22"/>
      <c r="N763" s="22"/>
    </row>
    <row r="764" ht="22.5" customHeight="1">
      <c r="A764" s="20"/>
      <c r="B764" s="21"/>
      <c r="C764" s="21"/>
      <c r="D764" s="22"/>
      <c r="E764" s="22"/>
      <c r="F764" s="22"/>
      <c r="G764" s="23"/>
      <c r="H764" s="20"/>
      <c r="I764" s="20"/>
      <c r="J764" s="22"/>
      <c r="K764" s="22"/>
      <c r="L764" s="22"/>
      <c r="M764" s="22"/>
      <c r="N764" s="22"/>
    </row>
    <row r="765" ht="22.5" customHeight="1">
      <c r="A765" s="20"/>
      <c r="B765" s="21"/>
      <c r="C765" s="21"/>
      <c r="D765" s="22"/>
      <c r="E765" s="22"/>
      <c r="F765" s="22"/>
      <c r="G765" s="23"/>
      <c r="H765" s="20"/>
      <c r="I765" s="20"/>
      <c r="J765" s="22"/>
      <c r="K765" s="22"/>
      <c r="L765" s="22"/>
      <c r="M765" s="22"/>
      <c r="N765" s="22"/>
    </row>
    <row r="766" ht="22.5" customHeight="1">
      <c r="A766" s="20"/>
      <c r="B766" s="21"/>
      <c r="C766" s="21"/>
      <c r="D766" s="22"/>
      <c r="E766" s="22"/>
      <c r="F766" s="22"/>
      <c r="G766" s="23"/>
      <c r="H766" s="20"/>
      <c r="I766" s="20"/>
      <c r="J766" s="22"/>
      <c r="K766" s="22"/>
      <c r="L766" s="22"/>
      <c r="M766" s="22"/>
      <c r="N766" s="22"/>
    </row>
    <row r="767" ht="22.5" customHeight="1">
      <c r="A767" s="20"/>
      <c r="B767" s="21"/>
      <c r="C767" s="21"/>
      <c r="D767" s="22"/>
      <c r="E767" s="22"/>
      <c r="F767" s="22"/>
      <c r="G767" s="23"/>
      <c r="H767" s="20"/>
      <c r="I767" s="20"/>
      <c r="J767" s="22"/>
      <c r="K767" s="22"/>
      <c r="L767" s="22"/>
      <c r="M767" s="22"/>
      <c r="N767" s="22"/>
    </row>
    <row r="768" ht="22.5" customHeight="1">
      <c r="A768" s="20"/>
      <c r="B768" s="21"/>
      <c r="C768" s="21"/>
      <c r="D768" s="22"/>
      <c r="E768" s="22"/>
      <c r="F768" s="22"/>
      <c r="G768" s="23"/>
      <c r="H768" s="20"/>
      <c r="I768" s="20"/>
      <c r="J768" s="22"/>
      <c r="K768" s="22"/>
      <c r="L768" s="22"/>
      <c r="M768" s="22"/>
      <c r="N768" s="22"/>
    </row>
    <row r="769" ht="22.5" customHeight="1">
      <c r="A769" s="20"/>
      <c r="B769" s="21"/>
      <c r="C769" s="21"/>
      <c r="D769" s="22"/>
      <c r="E769" s="22"/>
      <c r="F769" s="22"/>
      <c r="G769" s="23"/>
      <c r="H769" s="20"/>
      <c r="I769" s="20"/>
      <c r="J769" s="22"/>
      <c r="K769" s="22"/>
      <c r="L769" s="22"/>
      <c r="M769" s="22"/>
      <c r="N769" s="22"/>
    </row>
    <row r="770" ht="22.5" customHeight="1">
      <c r="A770" s="20"/>
      <c r="B770" s="21"/>
      <c r="C770" s="21"/>
      <c r="D770" s="22"/>
      <c r="E770" s="22"/>
      <c r="F770" s="22"/>
      <c r="G770" s="23"/>
      <c r="H770" s="20"/>
      <c r="I770" s="20"/>
      <c r="J770" s="22"/>
      <c r="K770" s="22"/>
      <c r="L770" s="22"/>
      <c r="M770" s="22"/>
      <c r="N770" s="22"/>
    </row>
    <row r="771" ht="22.5" customHeight="1">
      <c r="A771" s="20"/>
      <c r="B771" s="21"/>
      <c r="C771" s="21"/>
      <c r="D771" s="22"/>
      <c r="E771" s="22"/>
      <c r="F771" s="22"/>
      <c r="G771" s="23"/>
      <c r="H771" s="20"/>
      <c r="I771" s="20"/>
      <c r="J771" s="22"/>
      <c r="K771" s="22"/>
      <c r="L771" s="22"/>
      <c r="M771" s="22"/>
      <c r="N771" s="22"/>
    </row>
    <row r="772" ht="22.5" customHeight="1">
      <c r="A772" s="20"/>
      <c r="B772" s="21"/>
      <c r="C772" s="21"/>
      <c r="D772" s="22"/>
      <c r="E772" s="22"/>
      <c r="F772" s="22"/>
      <c r="G772" s="23"/>
      <c r="H772" s="20"/>
      <c r="I772" s="20"/>
      <c r="J772" s="22"/>
      <c r="K772" s="22"/>
      <c r="L772" s="22"/>
      <c r="M772" s="22"/>
      <c r="N772" s="22"/>
    </row>
    <row r="773" ht="22.5" customHeight="1">
      <c r="A773" s="20"/>
      <c r="B773" s="21"/>
      <c r="C773" s="21"/>
      <c r="D773" s="22"/>
      <c r="E773" s="22"/>
      <c r="F773" s="22"/>
      <c r="G773" s="23"/>
      <c r="H773" s="20"/>
      <c r="I773" s="20"/>
      <c r="J773" s="22"/>
      <c r="K773" s="22"/>
      <c r="L773" s="22"/>
      <c r="M773" s="22"/>
      <c r="N773" s="22"/>
    </row>
    <row r="774" ht="22.5" customHeight="1">
      <c r="A774" s="20"/>
      <c r="B774" s="21"/>
      <c r="C774" s="21"/>
      <c r="D774" s="22"/>
      <c r="E774" s="22"/>
      <c r="F774" s="22"/>
      <c r="G774" s="23"/>
      <c r="H774" s="20"/>
      <c r="I774" s="20"/>
      <c r="J774" s="22"/>
      <c r="K774" s="22"/>
      <c r="L774" s="22"/>
      <c r="M774" s="22"/>
      <c r="N774" s="22"/>
    </row>
    <row r="775" ht="22.5" customHeight="1">
      <c r="A775" s="20"/>
      <c r="B775" s="21"/>
      <c r="C775" s="21"/>
      <c r="D775" s="22"/>
      <c r="E775" s="22"/>
      <c r="F775" s="22"/>
      <c r="G775" s="23"/>
      <c r="H775" s="20"/>
      <c r="I775" s="20"/>
      <c r="J775" s="22"/>
      <c r="K775" s="22"/>
      <c r="L775" s="22"/>
      <c r="M775" s="22"/>
      <c r="N775" s="22"/>
    </row>
    <row r="776" ht="22.5" customHeight="1">
      <c r="A776" s="20"/>
      <c r="B776" s="21"/>
      <c r="C776" s="21"/>
      <c r="D776" s="22"/>
      <c r="E776" s="22"/>
      <c r="F776" s="22"/>
      <c r="G776" s="23"/>
      <c r="H776" s="20"/>
      <c r="I776" s="20"/>
      <c r="J776" s="22"/>
      <c r="K776" s="22"/>
      <c r="L776" s="22"/>
      <c r="M776" s="22"/>
      <c r="N776" s="22"/>
    </row>
    <row r="777" ht="22.5" customHeight="1">
      <c r="A777" s="20"/>
      <c r="B777" s="21"/>
      <c r="C777" s="21"/>
      <c r="D777" s="22"/>
      <c r="E777" s="22"/>
      <c r="F777" s="22"/>
      <c r="G777" s="23"/>
      <c r="H777" s="20"/>
      <c r="I777" s="20"/>
      <c r="J777" s="22"/>
      <c r="K777" s="22"/>
      <c r="L777" s="22"/>
      <c r="M777" s="22"/>
      <c r="N777" s="22"/>
    </row>
    <row r="778" ht="22.5" customHeight="1">
      <c r="A778" s="20"/>
      <c r="B778" s="21"/>
      <c r="C778" s="21"/>
      <c r="D778" s="22"/>
      <c r="E778" s="22"/>
      <c r="F778" s="22"/>
      <c r="G778" s="23"/>
      <c r="H778" s="20"/>
      <c r="I778" s="20"/>
      <c r="J778" s="22"/>
      <c r="K778" s="22"/>
      <c r="L778" s="22"/>
      <c r="M778" s="22"/>
      <c r="N778" s="22"/>
    </row>
    <row r="779" ht="22.5" customHeight="1">
      <c r="A779" s="20"/>
      <c r="B779" s="21"/>
      <c r="C779" s="21"/>
      <c r="D779" s="22"/>
      <c r="E779" s="22"/>
      <c r="F779" s="22"/>
      <c r="G779" s="23"/>
      <c r="H779" s="20"/>
      <c r="I779" s="20"/>
      <c r="J779" s="22"/>
      <c r="K779" s="22"/>
      <c r="L779" s="22"/>
      <c r="M779" s="22"/>
      <c r="N779" s="22"/>
    </row>
    <row r="780" ht="22.5" customHeight="1">
      <c r="A780" s="20"/>
      <c r="B780" s="21"/>
      <c r="C780" s="21"/>
      <c r="D780" s="22"/>
      <c r="E780" s="22"/>
      <c r="F780" s="22"/>
      <c r="G780" s="23"/>
      <c r="H780" s="20"/>
      <c r="I780" s="20"/>
      <c r="J780" s="22"/>
      <c r="K780" s="22"/>
      <c r="L780" s="22"/>
      <c r="M780" s="22"/>
      <c r="N780" s="22"/>
    </row>
    <row r="781" ht="22.5" customHeight="1">
      <c r="A781" s="20"/>
      <c r="B781" s="21"/>
      <c r="C781" s="21"/>
      <c r="D781" s="22"/>
      <c r="E781" s="22"/>
      <c r="F781" s="22"/>
      <c r="G781" s="23"/>
      <c r="H781" s="20"/>
      <c r="I781" s="20"/>
      <c r="J781" s="22"/>
      <c r="K781" s="22"/>
      <c r="L781" s="22"/>
      <c r="M781" s="22"/>
      <c r="N781" s="22"/>
    </row>
    <row r="782" ht="22.5" customHeight="1">
      <c r="A782" s="20"/>
      <c r="B782" s="21"/>
      <c r="C782" s="21"/>
      <c r="D782" s="22"/>
      <c r="E782" s="22"/>
      <c r="F782" s="22"/>
      <c r="G782" s="23"/>
      <c r="H782" s="20"/>
      <c r="I782" s="20"/>
      <c r="J782" s="22"/>
      <c r="K782" s="22"/>
      <c r="L782" s="22"/>
      <c r="M782" s="22"/>
      <c r="N782" s="22"/>
    </row>
    <row r="783" ht="22.5" customHeight="1">
      <c r="A783" s="20"/>
      <c r="B783" s="21"/>
      <c r="C783" s="21"/>
      <c r="D783" s="22"/>
      <c r="E783" s="22"/>
      <c r="F783" s="22"/>
      <c r="G783" s="23"/>
      <c r="H783" s="20"/>
      <c r="I783" s="20"/>
      <c r="J783" s="22"/>
      <c r="K783" s="22"/>
      <c r="L783" s="22"/>
      <c r="M783" s="22"/>
      <c r="N783" s="22"/>
    </row>
    <row r="784" ht="22.5" customHeight="1">
      <c r="A784" s="20"/>
      <c r="B784" s="21"/>
      <c r="C784" s="21"/>
      <c r="D784" s="22"/>
      <c r="E784" s="22"/>
      <c r="F784" s="22"/>
      <c r="G784" s="23"/>
      <c r="H784" s="20"/>
      <c r="I784" s="20"/>
      <c r="J784" s="22"/>
      <c r="K784" s="22"/>
      <c r="L784" s="22"/>
      <c r="M784" s="22"/>
      <c r="N784" s="22"/>
    </row>
    <row r="785" ht="22.5" customHeight="1">
      <c r="A785" s="20"/>
      <c r="B785" s="21"/>
      <c r="C785" s="21"/>
      <c r="D785" s="22"/>
      <c r="E785" s="22"/>
      <c r="F785" s="22"/>
      <c r="G785" s="23"/>
      <c r="H785" s="20"/>
      <c r="I785" s="20"/>
      <c r="J785" s="22"/>
      <c r="K785" s="22"/>
      <c r="L785" s="22"/>
      <c r="M785" s="22"/>
      <c r="N785" s="22"/>
    </row>
    <row r="786" ht="22.5" customHeight="1">
      <c r="A786" s="20"/>
      <c r="B786" s="21"/>
      <c r="C786" s="21"/>
      <c r="D786" s="22"/>
      <c r="E786" s="22"/>
      <c r="F786" s="22"/>
      <c r="G786" s="23"/>
      <c r="H786" s="20"/>
      <c r="I786" s="20"/>
      <c r="J786" s="22"/>
      <c r="K786" s="22"/>
      <c r="L786" s="22"/>
      <c r="M786" s="22"/>
      <c r="N786" s="22"/>
    </row>
    <row r="787" ht="22.5" customHeight="1">
      <c r="A787" s="20"/>
      <c r="B787" s="21"/>
      <c r="C787" s="21"/>
      <c r="D787" s="22"/>
      <c r="E787" s="22"/>
      <c r="F787" s="22"/>
      <c r="G787" s="23"/>
      <c r="H787" s="20"/>
      <c r="I787" s="20"/>
      <c r="J787" s="22"/>
      <c r="K787" s="22"/>
      <c r="L787" s="22"/>
      <c r="M787" s="22"/>
      <c r="N787" s="22"/>
    </row>
    <row r="788" ht="22.5" customHeight="1">
      <c r="A788" s="20"/>
      <c r="B788" s="21"/>
      <c r="C788" s="21"/>
      <c r="D788" s="22"/>
      <c r="E788" s="22"/>
      <c r="F788" s="22"/>
      <c r="G788" s="23"/>
      <c r="H788" s="20"/>
      <c r="I788" s="20"/>
      <c r="J788" s="22"/>
      <c r="K788" s="22"/>
      <c r="L788" s="22"/>
      <c r="M788" s="22"/>
      <c r="N788" s="22"/>
    </row>
    <row r="789" ht="22.5" customHeight="1">
      <c r="A789" s="20"/>
      <c r="B789" s="21"/>
      <c r="C789" s="21"/>
      <c r="D789" s="22"/>
      <c r="E789" s="22"/>
      <c r="F789" s="22"/>
      <c r="G789" s="23"/>
      <c r="H789" s="20"/>
      <c r="I789" s="20"/>
      <c r="J789" s="22"/>
      <c r="K789" s="22"/>
      <c r="L789" s="22"/>
      <c r="M789" s="22"/>
      <c r="N789" s="22"/>
    </row>
    <row r="790" ht="22.5" customHeight="1">
      <c r="A790" s="20"/>
      <c r="B790" s="21"/>
      <c r="C790" s="21"/>
      <c r="D790" s="22"/>
      <c r="E790" s="22"/>
      <c r="F790" s="22"/>
      <c r="G790" s="23"/>
      <c r="H790" s="20"/>
      <c r="I790" s="20"/>
      <c r="J790" s="22"/>
      <c r="K790" s="22"/>
      <c r="L790" s="22"/>
      <c r="M790" s="22"/>
      <c r="N790" s="22"/>
    </row>
    <row r="791" ht="22.5" customHeight="1">
      <c r="A791" s="20"/>
      <c r="B791" s="21"/>
      <c r="C791" s="21"/>
      <c r="D791" s="22"/>
      <c r="E791" s="22"/>
      <c r="F791" s="22"/>
      <c r="G791" s="23"/>
      <c r="H791" s="20"/>
      <c r="I791" s="20"/>
      <c r="J791" s="22"/>
      <c r="K791" s="22"/>
      <c r="L791" s="22"/>
      <c r="M791" s="22"/>
      <c r="N791" s="22"/>
    </row>
    <row r="792" ht="22.5" customHeight="1">
      <c r="A792" s="20"/>
      <c r="B792" s="21"/>
      <c r="C792" s="21"/>
      <c r="D792" s="22"/>
      <c r="E792" s="22"/>
      <c r="F792" s="22"/>
      <c r="G792" s="23"/>
      <c r="H792" s="20"/>
      <c r="I792" s="20"/>
      <c r="J792" s="22"/>
      <c r="K792" s="22"/>
      <c r="L792" s="22"/>
      <c r="M792" s="22"/>
      <c r="N792" s="22"/>
    </row>
    <row r="793" ht="22.5" customHeight="1">
      <c r="A793" s="20"/>
      <c r="B793" s="21"/>
      <c r="C793" s="21"/>
      <c r="D793" s="22"/>
      <c r="E793" s="22"/>
      <c r="F793" s="22"/>
      <c r="G793" s="23"/>
      <c r="H793" s="20"/>
      <c r="I793" s="20"/>
      <c r="J793" s="22"/>
      <c r="K793" s="22"/>
      <c r="L793" s="22"/>
      <c r="M793" s="22"/>
      <c r="N793" s="22"/>
    </row>
    <row r="794" ht="22.5" customHeight="1">
      <c r="A794" s="20"/>
      <c r="B794" s="21"/>
      <c r="C794" s="21"/>
      <c r="D794" s="22"/>
      <c r="E794" s="22"/>
      <c r="F794" s="22"/>
      <c r="G794" s="23"/>
      <c r="H794" s="20"/>
      <c r="I794" s="20"/>
      <c r="J794" s="22"/>
      <c r="K794" s="22"/>
      <c r="L794" s="22"/>
      <c r="M794" s="22"/>
      <c r="N794" s="22"/>
    </row>
    <row r="795" ht="22.5" customHeight="1">
      <c r="A795" s="20"/>
      <c r="B795" s="21"/>
      <c r="C795" s="21"/>
      <c r="D795" s="22"/>
      <c r="E795" s="22"/>
      <c r="F795" s="22"/>
      <c r="G795" s="23"/>
      <c r="H795" s="20"/>
      <c r="I795" s="20"/>
      <c r="J795" s="22"/>
      <c r="K795" s="22"/>
      <c r="L795" s="22"/>
      <c r="M795" s="22"/>
      <c r="N795" s="22"/>
    </row>
    <row r="796" ht="22.5" customHeight="1">
      <c r="A796" s="20"/>
      <c r="B796" s="21"/>
      <c r="C796" s="21"/>
      <c r="D796" s="22"/>
      <c r="E796" s="22"/>
      <c r="F796" s="22"/>
      <c r="G796" s="23"/>
      <c r="H796" s="20"/>
      <c r="I796" s="20"/>
      <c r="J796" s="22"/>
      <c r="K796" s="22"/>
      <c r="L796" s="22"/>
      <c r="M796" s="22"/>
      <c r="N796" s="22"/>
    </row>
    <row r="797" ht="22.5" customHeight="1">
      <c r="A797" s="20"/>
      <c r="B797" s="21"/>
      <c r="C797" s="21"/>
      <c r="D797" s="22"/>
      <c r="E797" s="22"/>
      <c r="F797" s="22"/>
      <c r="G797" s="23"/>
      <c r="H797" s="20"/>
      <c r="I797" s="20"/>
      <c r="J797" s="22"/>
      <c r="K797" s="22"/>
      <c r="L797" s="22"/>
      <c r="M797" s="22"/>
      <c r="N797" s="22"/>
    </row>
    <row r="798" ht="22.5" customHeight="1">
      <c r="A798" s="20"/>
      <c r="B798" s="21"/>
      <c r="C798" s="21"/>
      <c r="D798" s="22"/>
      <c r="E798" s="22"/>
      <c r="F798" s="22"/>
      <c r="G798" s="23"/>
      <c r="H798" s="20"/>
      <c r="I798" s="20"/>
      <c r="J798" s="22"/>
      <c r="K798" s="22"/>
      <c r="L798" s="22"/>
      <c r="M798" s="22"/>
      <c r="N798" s="22"/>
    </row>
    <row r="799" ht="22.5" customHeight="1">
      <c r="A799" s="20"/>
      <c r="B799" s="21"/>
      <c r="C799" s="21"/>
      <c r="D799" s="22"/>
      <c r="E799" s="22"/>
      <c r="F799" s="22"/>
      <c r="G799" s="23"/>
      <c r="H799" s="20"/>
      <c r="I799" s="20"/>
      <c r="J799" s="22"/>
      <c r="K799" s="22"/>
      <c r="L799" s="22"/>
      <c r="M799" s="22"/>
      <c r="N799" s="22"/>
    </row>
    <row r="800" ht="22.5" customHeight="1">
      <c r="A800" s="20"/>
      <c r="B800" s="21"/>
      <c r="C800" s="21"/>
      <c r="D800" s="22"/>
      <c r="E800" s="22"/>
      <c r="F800" s="22"/>
      <c r="G800" s="23"/>
      <c r="H800" s="20"/>
      <c r="I800" s="20"/>
      <c r="J800" s="22"/>
      <c r="K800" s="22"/>
      <c r="L800" s="22"/>
      <c r="M800" s="22"/>
      <c r="N800" s="22"/>
    </row>
    <row r="801" ht="22.5" customHeight="1">
      <c r="A801" s="20"/>
      <c r="B801" s="21"/>
      <c r="C801" s="21"/>
      <c r="D801" s="22"/>
      <c r="E801" s="22"/>
      <c r="F801" s="22"/>
      <c r="G801" s="23"/>
      <c r="H801" s="20"/>
      <c r="I801" s="20"/>
      <c r="J801" s="22"/>
      <c r="K801" s="22"/>
      <c r="L801" s="22"/>
      <c r="M801" s="22"/>
      <c r="N801" s="22"/>
    </row>
    <row r="802" ht="22.5" customHeight="1">
      <c r="A802" s="20"/>
      <c r="B802" s="21"/>
      <c r="C802" s="21"/>
      <c r="D802" s="22"/>
      <c r="E802" s="22"/>
      <c r="F802" s="22"/>
      <c r="G802" s="23"/>
      <c r="H802" s="20"/>
      <c r="I802" s="20"/>
      <c r="J802" s="22"/>
      <c r="K802" s="22"/>
      <c r="L802" s="22"/>
      <c r="M802" s="22"/>
      <c r="N802" s="22"/>
    </row>
    <row r="803" ht="22.5" customHeight="1">
      <c r="A803" s="20"/>
      <c r="B803" s="21"/>
      <c r="C803" s="21"/>
      <c r="D803" s="22"/>
      <c r="E803" s="22"/>
      <c r="F803" s="22"/>
      <c r="G803" s="23"/>
      <c r="H803" s="20"/>
      <c r="I803" s="20"/>
      <c r="J803" s="22"/>
      <c r="K803" s="22"/>
      <c r="L803" s="22"/>
      <c r="M803" s="22"/>
      <c r="N803" s="22"/>
    </row>
    <row r="804" ht="22.5" customHeight="1">
      <c r="A804" s="20"/>
      <c r="B804" s="21"/>
      <c r="C804" s="21"/>
      <c r="D804" s="22"/>
      <c r="E804" s="22"/>
      <c r="F804" s="22"/>
      <c r="G804" s="23"/>
      <c r="H804" s="20"/>
      <c r="I804" s="20"/>
      <c r="J804" s="22"/>
      <c r="K804" s="22"/>
      <c r="L804" s="22"/>
      <c r="M804" s="22"/>
      <c r="N804" s="22"/>
    </row>
    <row r="805" ht="22.5" customHeight="1">
      <c r="A805" s="20"/>
      <c r="B805" s="21"/>
      <c r="C805" s="21"/>
      <c r="D805" s="22"/>
      <c r="E805" s="22"/>
      <c r="F805" s="22"/>
      <c r="G805" s="23"/>
      <c r="H805" s="20"/>
      <c r="I805" s="20"/>
      <c r="J805" s="22"/>
      <c r="K805" s="22"/>
      <c r="L805" s="22"/>
      <c r="M805" s="22"/>
      <c r="N805" s="22"/>
    </row>
    <row r="806" ht="22.5" customHeight="1">
      <c r="A806" s="20"/>
      <c r="B806" s="21"/>
      <c r="C806" s="21"/>
      <c r="D806" s="22"/>
      <c r="E806" s="22"/>
      <c r="F806" s="22"/>
      <c r="G806" s="23"/>
      <c r="H806" s="20"/>
      <c r="I806" s="20"/>
      <c r="J806" s="22"/>
      <c r="K806" s="22"/>
      <c r="L806" s="22"/>
      <c r="M806" s="22"/>
      <c r="N806" s="22"/>
    </row>
    <row r="807" ht="22.5" customHeight="1">
      <c r="A807" s="20"/>
      <c r="B807" s="21"/>
      <c r="C807" s="21"/>
      <c r="D807" s="22"/>
      <c r="E807" s="22"/>
      <c r="F807" s="22"/>
      <c r="G807" s="23"/>
      <c r="H807" s="20"/>
      <c r="I807" s="20"/>
      <c r="J807" s="22"/>
      <c r="K807" s="22"/>
      <c r="L807" s="22"/>
      <c r="M807" s="22"/>
      <c r="N807" s="22"/>
    </row>
    <row r="808" ht="22.5" customHeight="1">
      <c r="A808" s="20"/>
      <c r="B808" s="21"/>
      <c r="C808" s="21"/>
      <c r="D808" s="22"/>
      <c r="E808" s="22"/>
      <c r="F808" s="22"/>
      <c r="G808" s="23"/>
      <c r="H808" s="20"/>
      <c r="I808" s="20"/>
      <c r="J808" s="22"/>
      <c r="K808" s="22"/>
      <c r="L808" s="22"/>
      <c r="M808" s="22"/>
      <c r="N808" s="22"/>
    </row>
    <row r="809" ht="22.5" customHeight="1">
      <c r="A809" s="20"/>
      <c r="B809" s="21"/>
      <c r="C809" s="21"/>
      <c r="D809" s="22"/>
      <c r="E809" s="22"/>
      <c r="F809" s="22"/>
      <c r="G809" s="23"/>
      <c r="H809" s="20"/>
      <c r="I809" s="20"/>
      <c r="J809" s="22"/>
      <c r="K809" s="22"/>
      <c r="L809" s="22"/>
      <c r="M809" s="22"/>
      <c r="N809" s="22"/>
    </row>
    <row r="810" ht="22.5" customHeight="1">
      <c r="A810" s="20"/>
      <c r="B810" s="21"/>
      <c r="C810" s="21"/>
      <c r="D810" s="22"/>
      <c r="E810" s="22"/>
      <c r="F810" s="22"/>
      <c r="G810" s="23"/>
      <c r="H810" s="20"/>
      <c r="I810" s="20"/>
      <c r="J810" s="22"/>
      <c r="K810" s="22"/>
      <c r="L810" s="22"/>
      <c r="M810" s="22"/>
      <c r="N810" s="22"/>
    </row>
    <row r="811" ht="22.5" customHeight="1">
      <c r="A811" s="20"/>
      <c r="B811" s="21"/>
      <c r="C811" s="21"/>
      <c r="D811" s="22"/>
      <c r="E811" s="22"/>
      <c r="F811" s="22"/>
      <c r="G811" s="23"/>
      <c r="H811" s="20"/>
      <c r="I811" s="20"/>
      <c r="J811" s="22"/>
      <c r="K811" s="22"/>
      <c r="L811" s="22"/>
      <c r="M811" s="22"/>
      <c r="N811" s="22"/>
    </row>
    <row r="812" ht="22.5" customHeight="1">
      <c r="A812" s="20"/>
      <c r="B812" s="21"/>
      <c r="C812" s="21"/>
      <c r="D812" s="22"/>
      <c r="E812" s="22"/>
      <c r="F812" s="22"/>
      <c r="G812" s="23"/>
      <c r="H812" s="20"/>
      <c r="I812" s="20"/>
      <c r="J812" s="22"/>
      <c r="K812" s="22"/>
      <c r="L812" s="22"/>
      <c r="M812" s="22"/>
      <c r="N812" s="22"/>
    </row>
    <row r="813" ht="22.5" customHeight="1">
      <c r="A813" s="20"/>
      <c r="B813" s="21"/>
      <c r="C813" s="21"/>
      <c r="D813" s="22"/>
      <c r="E813" s="22"/>
      <c r="F813" s="22"/>
      <c r="G813" s="23"/>
      <c r="H813" s="20"/>
      <c r="I813" s="20"/>
      <c r="J813" s="22"/>
      <c r="K813" s="22"/>
      <c r="L813" s="22"/>
      <c r="M813" s="22"/>
      <c r="N813" s="22"/>
    </row>
    <row r="814" ht="22.5" customHeight="1">
      <c r="A814" s="20"/>
      <c r="B814" s="21"/>
      <c r="C814" s="21"/>
      <c r="D814" s="22"/>
      <c r="E814" s="22"/>
      <c r="F814" s="22"/>
      <c r="G814" s="23"/>
      <c r="H814" s="20"/>
      <c r="I814" s="20"/>
      <c r="J814" s="22"/>
      <c r="K814" s="22"/>
      <c r="L814" s="22"/>
      <c r="M814" s="22"/>
      <c r="N814" s="22"/>
    </row>
    <row r="815" ht="22.5" customHeight="1">
      <c r="A815" s="20"/>
      <c r="B815" s="21"/>
      <c r="C815" s="21"/>
      <c r="D815" s="22"/>
      <c r="E815" s="22"/>
      <c r="F815" s="22"/>
      <c r="G815" s="23"/>
      <c r="H815" s="20"/>
      <c r="I815" s="20"/>
      <c r="J815" s="22"/>
      <c r="K815" s="22"/>
      <c r="L815" s="22"/>
      <c r="M815" s="22"/>
      <c r="N815" s="22"/>
    </row>
    <row r="816" ht="22.5" customHeight="1">
      <c r="A816" s="20"/>
      <c r="B816" s="21"/>
      <c r="C816" s="21"/>
      <c r="D816" s="22"/>
      <c r="E816" s="22"/>
      <c r="F816" s="22"/>
      <c r="G816" s="23"/>
      <c r="H816" s="20"/>
      <c r="I816" s="20"/>
      <c r="J816" s="22"/>
      <c r="K816" s="22"/>
      <c r="L816" s="22"/>
      <c r="M816" s="22"/>
      <c r="N816" s="22"/>
    </row>
    <row r="817" ht="22.5" customHeight="1">
      <c r="A817" s="20"/>
      <c r="B817" s="21"/>
      <c r="C817" s="21"/>
      <c r="D817" s="22"/>
      <c r="E817" s="22"/>
      <c r="F817" s="22"/>
      <c r="G817" s="23"/>
      <c r="H817" s="20"/>
      <c r="I817" s="20"/>
      <c r="J817" s="22"/>
      <c r="K817" s="22"/>
      <c r="L817" s="22"/>
      <c r="M817" s="22"/>
      <c r="N817" s="22"/>
    </row>
    <row r="818" ht="22.5" customHeight="1">
      <c r="A818" s="20"/>
      <c r="B818" s="21"/>
      <c r="C818" s="21"/>
      <c r="D818" s="22"/>
      <c r="E818" s="22"/>
      <c r="F818" s="22"/>
      <c r="G818" s="23"/>
      <c r="H818" s="20"/>
      <c r="I818" s="20"/>
      <c r="J818" s="22"/>
      <c r="K818" s="22"/>
      <c r="L818" s="22"/>
      <c r="M818" s="22"/>
      <c r="N818" s="22"/>
    </row>
    <row r="819" ht="22.5" customHeight="1">
      <c r="A819" s="20"/>
      <c r="B819" s="21"/>
      <c r="C819" s="21"/>
      <c r="D819" s="22"/>
      <c r="E819" s="22"/>
      <c r="F819" s="22"/>
      <c r="G819" s="23"/>
      <c r="H819" s="20"/>
      <c r="I819" s="20"/>
      <c r="J819" s="22"/>
      <c r="K819" s="22"/>
      <c r="L819" s="22"/>
      <c r="M819" s="22"/>
      <c r="N819" s="22"/>
    </row>
    <row r="820" ht="22.5" customHeight="1">
      <c r="A820" s="20"/>
      <c r="B820" s="21"/>
      <c r="C820" s="21"/>
      <c r="D820" s="22"/>
      <c r="E820" s="22"/>
      <c r="F820" s="22"/>
      <c r="G820" s="23"/>
      <c r="H820" s="20"/>
      <c r="I820" s="20"/>
      <c r="J820" s="22"/>
      <c r="K820" s="22"/>
      <c r="L820" s="22"/>
      <c r="M820" s="22"/>
      <c r="N820" s="22"/>
    </row>
    <row r="821" ht="22.5" customHeight="1">
      <c r="A821" s="20"/>
      <c r="B821" s="21"/>
      <c r="C821" s="21"/>
      <c r="D821" s="22"/>
      <c r="E821" s="22"/>
      <c r="F821" s="22"/>
      <c r="G821" s="23"/>
      <c r="H821" s="20"/>
      <c r="I821" s="20"/>
      <c r="J821" s="22"/>
      <c r="K821" s="22"/>
      <c r="L821" s="22"/>
      <c r="M821" s="22"/>
      <c r="N821" s="22"/>
    </row>
    <row r="822" ht="22.5" customHeight="1">
      <c r="A822" s="20"/>
      <c r="B822" s="21"/>
      <c r="C822" s="21"/>
      <c r="D822" s="22"/>
      <c r="E822" s="22"/>
      <c r="F822" s="22"/>
      <c r="G822" s="23"/>
      <c r="H822" s="20"/>
      <c r="I822" s="20"/>
      <c r="J822" s="22"/>
      <c r="K822" s="22"/>
      <c r="L822" s="22"/>
      <c r="M822" s="22"/>
      <c r="N822" s="22"/>
    </row>
    <row r="823" ht="22.5" customHeight="1">
      <c r="A823" s="20"/>
      <c r="B823" s="21"/>
      <c r="C823" s="21"/>
      <c r="D823" s="22"/>
      <c r="E823" s="22"/>
      <c r="F823" s="22"/>
      <c r="G823" s="23"/>
      <c r="H823" s="20"/>
      <c r="I823" s="20"/>
      <c r="J823" s="22"/>
      <c r="K823" s="22"/>
      <c r="L823" s="22"/>
      <c r="M823" s="22"/>
      <c r="N823" s="22"/>
    </row>
    <row r="824" ht="22.5" customHeight="1">
      <c r="A824" s="20"/>
      <c r="B824" s="21"/>
      <c r="C824" s="21"/>
      <c r="D824" s="22"/>
      <c r="E824" s="22"/>
      <c r="F824" s="22"/>
      <c r="G824" s="23"/>
      <c r="H824" s="20"/>
      <c r="I824" s="20"/>
      <c r="J824" s="22"/>
      <c r="K824" s="22"/>
      <c r="L824" s="22"/>
      <c r="M824" s="22"/>
      <c r="N824" s="22"/>
    </row>
    <row r="825" ht="22.5" customHeight="1">
      <c r="A825" s="20"/>
      <c r="B825" s="21"/>
      <c r="C825" s="21"/>
      <c r="D825" s="22"/>
      <c r="E825" s="22"/>
      <c r="F825" s="22"/>
      <c r="G825" s="23"/>
      <c r="H825" s="20"/>
      <c r="I825" s="20"/>
      <c r="J825" s="22"/>
      <c r="K825" s="22"/>
      <c r="L825" s="22"/>
      <c r="M825" s="22"/>
      <c r="N825" s="22"/>
    </row>
    <row r="826" ht="22.5" customHeight="1">
      <c r="A826" s="20"/>
      <c r="B826" s="21"/>
      <c r="C826" s="21"/>
      <c r="D826" s="22"/>
      <c r="E826" s="22"/>
      <c r="F826" s="22"/>
      <c r="G826" s="23"/>
      <c r="H826" s="20"/>
      <c r="I826" s="20"/>
      <c r="J826" s="22"/>
      <c r="K826" s="22"/>
      <c r="L826" s="22"/>
      <c r="M826" s="22"/>
      <c r="N826" s="22"/>
    </row>
    <row r="827" ht="22.5" customHeight="1">
      <c r="A827" s="20"/>
      <c r="B827" s="21"/>
      <c r="C827" s="21"/>
      <c r="D827" s="22"/>
      <c r="E827" s="22"/>
      <c r="F827" s="22"/>
      <c r="G827" s="23"/>
      <c r="H827" s="20"/>
      <c r="I827" s="20"/>
      <c r="J827" s="22"/>
      <c r="K827" s="22"/>
      <c r="L827" s="22"/>
      <c r="M827" s="22"/>
      <c r="N827" s="22"/>
    </row>
    <row r="828" ht="22.5" customHeight="1">
      <c r="A828" s="20"/>
      <c r="B828" s="21"/>
      <c r="C828" s="21"/>
      <c r="D828" s="22"/>
      <c r="E828" s="22"/>
      <c r="F828" s="22"/>
      <c r="G828" s="23"/>
      <c r="H828" s="20"/>
      <c r="I828" s="20"/>
      <c r="J828" s="22"/>
      <c r="K828" s="22"/>
      <c r="L828" s="22"/>
      <c r="M828" s="22"/>
      <c r="N828" s="22"/>
    </row>
    <row r="829" ht="22.5" customHeight="1">
      <c r="A829" s="20"/>
      <c r="B829" s="21"/>
      <c r="C829" s="21"/>
      <c r="D829" s="22"/>
      <c r="E829" s="22"/>
      <c r="F829" s="22"/>
      <c r="G829" s="23"/>
      <c r="H829" s="20"/>
      <c r="I829" s="20"/>
      <c r="J829" s="22"/>
      <c r="K829" s="22"/>
      <c r="L829" s="22"/>
      <c r="M829" s="22"/>
      <c r="N829" s="22"/>
    </row>
    <row r="830" ht="22.5" customHeight="1">
      <c r="A830" s="20"/>
      <c r="B830" s="21"/>
      <c r="C830" s="21"/>
      <c r="D830" s="22"/>
      <c r="E830" s="22"/>
      <c r="F830" s="22"/>
      <c r="G830" s="23"/>
      <c r="H830" s="20"/>
      <c r="I830" s="20"/>
      <c r="J830" s="22"/>
      <c r="K830" s="22"/>
      <c r="L830" s="22"/>
      <c r="M830" s="22"/>
      <c r="N830" s="22"/>
    </row>
    <row r="831" ht="22.5" customHeight="1">
      <c r="A831" s="20"/>
      <c r="B831" s="21"/>
      <c r="C831" s="21"/>
      <c r="D831" s="22"/>
      <c r="E831" s="22"/>
      <c r="F831" s="22"/>
      <c r="G831" s="23"/>
      <c r="H831" s="20"/>
      <c r="I831" s="20"/>
      <c r="J831" s="22"/>
      <c r="K831" s="22"/>
      <c r="L831" s="22"/>
      <c r="M831" s="22"/>
      <c r="N831" s="22"/>
    </row>
    <row r="832" ht="22.5" customHeight="1">
      <c r="A832" s="20"/>
      <c r="B832" s="21"/>
      <c r="C832" s="21"/>
      <c r="D832" s="22"/>
      <c r="E832" s="22"/>
      <c r="F832" s="22"/>
      <c r="G832" s="23"/>
      <c r="H832" s="20"/>
      <c r="I832" s="20"/>
      <c r="J832" s="22"/>
      <c r="K832" s="22"/>
      <c r="L832" s="22"/>
      <c r="M832" s="22"/>
      <c r="N832" s="22"/>
    </row>
    <row r="833" ht="22.5" customHeight="1">
      <c r="A833" s="20"/>
      <c r="B833" s="21"/>
      <c r="C833" s="21"/>
      <c r="D833" s="22"/>
      <c r="E833" s="22"/>
      <c r="F833" s="22"/>
      <c r="G833" s="23"/>
      <c r="H833" s="20"/>
      <c r="I833" s="20"/>
      <c r="J833" s="22"/>
      <c r="K833" s="22"/>
      <c r="L833" s="22"/>
      <c r="M833" s="22"/>
      <c r="N833" s="22"/>
    </row>
    <row r="834" ht="22.5" customHeight="1">
      <c r="A834" s="20"/>
      <c r="B834" s="21"/>
      <c r="C834" s="21"/>
      <c r="D834" s="22"/>
      <c r="E834" s="22"/>
      <c r="F834" s="22"/>
      <c r="G834" s="23"/>
      <c r="H834" s="20"/>
      <c r="I834" s="20"/>
      <c r="J834" s="22"/>
      <c r="K834" s="22"/>
      <c r="L834" s="22"/>
      <c r="M834" s="22"/>
      <c r="N834" s="22"/>
    </row>
    <row r="835" ht="22.5" customHeight="1">
      <c r="A835" s="20"/>
      <c r="B835" s="21"/>
      <c r="C835" s="21"/>
      <c r="D835" s="22"/>
      <c r="E835" s="22"/>
      <c r="F835" s="22"/>
      <c r="G835" s="23"/>
      <c r="H835" s="20"/>
      <c r="I835" s="20"/>
      <c r="J835" s="22"/>
      <c r="K835" s="22"/>
      <c r="L835" s="22"/>
      <c r="M835" s="22"/>
      <c r="N835" s="22"/>
    </row>
    <row r="836" ht="22.5" customHeight="1">
      <c r="A836" s="20"/>
      <c r="B836" s="21"/>
      <c r="C836" s="21"/>
      <c r="D836" s="22"/>
      <c r="E836" s="22"/>
      <c r="F836" s="22"/>
      <c r="G836" s="23"/>
      <c r="H836" s="20"/>
      <c r="I836" s="20"/>
      <c r="J836" s="22"/>
      <c r="K836" s="22"/>
      <c r="L836" s="22"/>
      <c r="M836" s="22"/>
      <c r="N836" s="22"/>
    </row>
    <row r="837" ht="22.5" customHeight="1">
      <c r="A837" s="20"/>
      <c r="B837" s="21"/>
      <c r="C837" s="21"/>
      <c r="D837" s="22"/>
      <c r="E837" s="22"/>
      <c r="F837" s="22"/>
      <c r="G837" s="23"/>
      <c r="H837" s="20"/>
      <c r="I837" s="20"/>
      <c r="J837" s="22"/>
      <c r="K837" s="22"/>
      <c r="L837" s="22"/>
      <c r="M837" s="22"/>
      <c r="N837" s="22"/>
    </row>
    <row r="838" ht="22.5" customHeight="1">
      <c r="A838" s="20"/>
      <c r="B838" s="21"/>
      <c r="C838" s="21"/>
      <c r="D838" s="22"/>
      <c r="E838" s="22"/>
      <c r="F838" s="22"/>
      <c r="G838" s="23"/>
      <c r="H838" s="20"/>
      <c r="I838" s="20"/>
      <c r="J838" s="22"/>
      <c r="K838" s="22"/>
      <c r="L838" s="22"/>
      <c r="M838" s="22"/>
      <c r="N838" s="22"/>
    </row>
    <row r="839" ht="22.5" customHeight="1">
      <c r="A839" s="20"/>
      <c r="B839" s="21"/>
      <c r="C839" s="21"/>
      <c r="D839" s="22"/>
      <c r="E839" s="22"/>
      <c r="F839" s="22"/>
      <c r="G839" s="23"/>
      <c r="H839" s="20"/>
      <c r="I839" s="20"/>
      <c r="J839" s="22"/>
      <c r="K839" s="22"/>
      <c r="L839" s="22"/>
      <c r="M839" s="22"/>
      <c r="N839" s="22"/>
    </row>
    <row r="840" ht="22.5" customHeight="1">
      <c r="A840" s="20"/>
      <c r="B840" s="21"/>
      <c r="C840" s="21"/>
      <c r="D840" s="22"/>
      <c r="E840" s="22"/>
      <c r="F840" s="22"/>
      <c r="G840" s="23"/>
      <c r="H840" s="20"/>
      <c r="I840" s="20"/>
      <c r="J840" s="22"/>
      <c r="K840" s="22"/>
      <c r="L840" s="22"/>
      <c r="M840" s="22"/>
      <c r="N840" s="22"/>
    </row>
    <row r="841" ht="22.5" customHeight="1">
      <c r="A841" s="20"/>
      <c r="B841" s="21"/>
      <c r="C841" s="21"/>
      <c r="D841" s="22"/>
      <c r="E841" s="22"/>
      <c r="F841" s="22"/>
      <c r="G841" s="23"/>
      <c r="H841" s="20"/>
      <c r="I841" s="20"/>
      <c r="J841" s="22"/>
      <c r="K841" s="22"/>
      <c r="L841" s="22"/>
      <c r="M841" s="22"/>
      <c r="N841" s="22"/>
    </row>
    <row r="842" ht="22.5" customHeight="1">
      <c r="A842" s="20"/>
      <c r="B842" s="21"/>
      <c r="C842" s="21"/>
      <c r="D842" s="22"/>
      <c r="E842" s="22"/>
      <c r="F842" s="22"/>
      <c r="G842" s="23"/>
      <c r="H842" s="20"/>
      <c r="I842" s="20"/>
      <c r="J842" s="22"/>
      <c r="K842" s="22"/>
      <c r="L842" s="22"/>
      <c r="M842" s="22"/>
      <c r="N842" s="22"/>
    </row>
    <row r="843" ht="22.5" customHeight="1">
      <c r="A843" s="20"/>
      <c r="B843" s="21"/>
      <c r="C843" s="21"/>
      <c r="D843" s="22"/>
      <c r="E843" s="22"/>
      <c r="F843" s="22"/>
      <c r="G843" s="23"/>
      <c r="H843" s="20"/>
      <c r="I843" s="20"/>
      <c r="J843" s="22"/>
      <c r="K843" s="22"/>
      <c r="L843" s="22"/>
      <c r="M843" s="22"/>
      <c r="N843" s="22"/>
    </row>
    <row r="844" ht="22.5" customHeight="1">
      <c r="A844" s="20"/>
      <c r="B844" s="21"/>
      <c r="C844" s="21"/>
      <c r="D844" s="22"/>
      <c r="E844" s="22"/>
      <c r="F844" s="22"/>
      <c r="G844" s="23"/>
      <c r="H844" s="20"/>
      <c r="I844" s="20"/>
      <c r="J844" s="22"/>
      <c r="K844" s="22"/>
      <c r="L844" s="22"/>
      <c r="M844" s="22"/>
      <c r="N844" s="22"/>
    </row>
    <row r="845" ht="22.5" customHeight="1">
      <c r="A845" s="20"/>
      <c r="B845" s="21"/>
      <c r="C845" s="21"/>
      <c r="D845" s="22"/>
      <c r="E845" s="22"/>
      <c r="F845" s="22"/>
      <c r="G845" s="23"/>
      <c r="H845" s="20"/>
      <c r="I845" s="20"/>
      <c r="J845" s="22"/>
      <c r="K845" s="22"/>
      <c r="L845" s="22"/>
      <c r="M845" s="22"/>
      <c r="N845" s="22"/>
    </row>
    <row r="846" ht="22.5" customHeight="1">
      <c r="A846" s="20"/>
      <c r="B846" s="21"/>
      <c r="C846" s="21"/>
      <c r="D846" s="22"/>
      <c r="E846" s="22"/>
      <c r="F846" s="22"/>
      <c r="G846" s="23"/>
      <c r="H846" s="20"/>
      <c r="I846" s="20"/>
      <c r="J846" s="22"/>
      <c r="K846" s="22"/>
      <c r="L846" s="22"/>
      <c r="M846" s="22"/>
      <c r="N846" s="22"/>
    </row>
    <row r="847" ht="22.5" customHeight="1">
      <c r="A847" s="20"/>
      <c r="B847" s="21"/>
      <c r="C847" s="21"/>
      <c r="D847" s="22"/>
      <c r="E847" s="22"/>
      <c r="F847" s="22"/>
      <c r="G847" s="23"/>
      <c r="H847" s="20"/>
      <c r="I847" s="20"/>
      <c r="J847" s="22"/>
      <c r="K847" s="22"/>
      <c r="L847" s="22"/>
      <c r="M847" s="22"/>
      <c r="N847" s="22"/>
    </row>
    <row r="848" ht="22.5" customHeight="1">
      <c r="A848" s="20"/>
      <c r="B848" s="21"/>
      <c r="C848" s="21"/>
      <c r="D848" s="22"/>
      <c r="E848" s="22"/>
      <c r="F848" s="22"/>
      <c r="G848" s="23"/>
      <c r="H848" s="20"/>
      <c r="I848" s="20"/>
      <c r="J848" s="22"/>
      <c r="K848" s="22"/>
      <c r="L848" s="22"/>
      <c r="M848" s="22"/>
      <c r="N848" s="22"/>
    </row>
    <row r="849" ht="22.5" customHeight="1">
      <c r="A849" s="20"/>
      <c r="B849" s="21"/>
      <c r="C849" s="21"/>
      <c r="D849" s="22"/>
      <c r="E849" s="22"/>
      <c r="F849" s="22"/>
      <c r="G849" s="23"/>
      <c r="H849" s="20"/>
      <c r="I849" s="20"/>
      <c r="J849" s="22"/>
      <c r="K849" s="22"/>
      <c r="L849" s="22"/>
      <c r="M849" s="22"/>
      <c r="N849" s="22"/>
    </row>
    <row r="850" ht="22.5" customHeight="1">
      <c r="A850" s="20"/>
      <c r="B850" s="21"/>
      <c r="C850" s="21"/>
      <c r="D850" s="22"/>
      <c r="E850" s="22"/>
      <c r="F850" s="22"/>
      <c r="G850" s="23"/>
      <c r="H850" s="20"/>
      <c r="I850" s="20"/>
      <c r="J850" s="22"/>
      <c r="K850" s="22"/>
      <c r="L850" s="22"/>
      <c r="M850" s="22"/>
      <c r="N850" s="22"/>
    </row>
    <row r="851" ht="22.5" customHeight="1">
      <c r="A851" s="20"/>
      <c r="B851" s="21"/>
      <c r="C851" s="21"/>
      <c r="D851" s="22"/>
      <c r="E851" s="22"/>
      <c r="F851" s="22"/>
      <c r="G851" s="23"/>
      <c r="H851" s="20"/>
      <c r="I851" s="20"/>
      <c r="J851" s="22"/>
      <c r="K851" s="22"/>
      <c r="L851" s="22"/>
      <c r="M851" s="22"/>
      <c r="N851" s="22"/>
    </row>
    <row r="852" ht="22.5" customHeight="1">
      <c r="A852" s="20"/>
      <c r="B852" s="21"/>
      <c r="C852" s="21"/>
      <c r="D852" s="22"/>
      <c r="E852" s="22"/>
      <c r="F852" s="22"/>
      <c r="G852" s="23"/>
      <c r="H852" s="20"/>
      <c r="I852" s="20"/>
      <c r="J852" s="22"/>
      <c r="K852" s="22"/>
      <c r="L852" s="22"/>
      <c r="M852" s="22"/>
      <c r="N852" s="22"/>
    </row>
    <row r="853" ht="22.5" customHeight="1">
      <c r="A853" s="20"/>
      <c r="B853" s="21"/>
      <c r="C853" s="21"/>
      <c r="D853" s="22"/>
      <c r="E853" s="22"/>
      <c r="F853" s="22"/>
      <c r="G853" s="23"/>
      <c r="H853" s="20"/>
      <c r="I853" s="20"/>
      <c r="J853" s="22"/>
      <c r="K853" s="22"/>
      <c r="L853" s="22"/>
      <c r="M853" s="22"/>
      <c r="N853" s="22"/>
    </row>
    <row r="854" ht="22.5" customHeight="1">
      <c r="A854" s="20"/>
      <c r="B854" s="21"/>
      <c r="C854" s="21"/>
      <c r="D854" s="22"/>
      <c r="E854" s="22"/>
      <c r="F854" s="22"/>
      <c r="G854" s="23"/>
      <c r="H854" s="20"/>
      <c r="I854" s="20"/>
      <c r="J854" s="22"/>
      <c r="K854" s="22"/>
      <c r="L854" s="22"/>
      <c r="M854" s="22"/>
      <c r="N854" s="22"/>
    </row>
    <row r="855" ht="22.5" customHeight="1">
      <c r="A855" s="20"/>
      <c r="B855" s="21"/>
      <c r="C855" s="21"/>
      <c r="D855" s="22"/>
      <c r="E855" s="22"/>
      <c r="F855" s="22"/>
      <c r="G855" s="23"/>
      <c r="H855" s="20"/>
      <c r="I855" s="20"/>
      <c r="J855" s="22"/>
      <c r="K855" s="22"/>
      <c r="L855" s="22"/>
      <c r="M855" s="22"/>
      <c r="N855" s="22"/>
    </row>
    <row r="856" ht="22.5" customHeight="1">
      <c r="A856" s="20"/>
      <c r="B856" s="21"/>
      <c r="C856" s="21"/>
      <c r="D856" s="22"/>
      <c r="E856" s="22"/>
      <c r="F856" s="22"/>
      <c r="G856" s="23"/>
      <c r="H856" s="20"/>
      <c r="I856" s="20"/>
      <c r="J856" s="22"/>
      <c r="K856" s="22"/>
      <c r="L856" s="22"/>
      <c r="M856" s="22"/>
      <c r="N856" s="22"/>
    </row>
    <row r="857" ht="22.5" customHeight="1">
      <c r="A857" s="20"/>
      <c r="B857" s="21"/>
      <c r="C857" s="21"/>
      <c r="D857" s="22"/>
      <c r="E857" s="22"/>
      <c r="F857" s="22"/>
      <c r="G857" s="23"/>
      <c r="H857" s="20"/>
      <c r="I857" s="20"/>
      <c r="J857" s="22"/>
      <c r="K857" s="22"/>
      <c r="L857" s="22"/>
      <c r="M857" s="22"/>
      <c r="N857" s="22"/>
    </row>
    <row r="858" ht="22.5" customHeight="1">
      <c r="A858" s="20"/>
      <c r="B858" s="21"/>
      <c r="C858" s="21"/>
      <c r="D858" s="22"/>
      <c r="E858" s="22"/>
      <c r="F858" s="22"/>
      <c r="G858" s="23"/>
      <c r="H858" s="20"/>
      <c r="I858" s="20"/>
      <c r="J858" s="22"/>
      <c r="K858" s="22"/>
      <c r="L858" s="22"/>
      <c r="M858" s="22"/>
      <c r="N858" s="22"/>
    </row>
    <row r="859" ht="22.5" customHeight="1">
      <c r="A859" s="20"/>
      <c r="B859" s="21"/>
      <c r="C859" s="21"/>
      <c r="D859" s="22"/>
      <c r="E859" s="22"/>
      <c r="F859" s="22"/>
      <c r="G859" s="23"/>
      <c r="H859" s="20"/>
      <c r="I859" s="20"/>
      <c r="J859" s="22"/>
      <c r="K859" s="22"/>
      <c r="L859" s="22"/>
      <c r="M859" s="22"/>
      <c r="N859" s="22"/>
    </row>
    <row r="860" ht="22.5" customHeight="1">
      <c r="A860" s="20"/>
      <c r="B860" s="21"/>
      <c r="C860" s="21"/>
      <c r="D860" s="22"/>
      <c r="E860" s="22"/>
      <c r="F860" s="22"/>
      <c r="G860" s="23"/>
      <c r="H860" s="20"/>
      <c r="I860" s="20"/>
      <c r="J860" s="22"/>
      <c r="K860" s="22"/>
      <c r="L860" s="22"/>
      <c r="M860" s="22"/>
      <c r="N860" s="22"/>
    </row>
    <row r="861" ht="22.5" customHeight="1">
      <c r="A861" s="20"/>
      <c r="B861" s="21"/>
      <c r="C861" s="21"/>
      <c r="D861" s="22"/>
      <c r="E861" s="22"/>
      <c r="F861" s="22"/>
      <c r="G861" s="23"/>
      <c r="H861" s="20"/>
      <c r="I861" s="20"/>
      <c r="J861" s="22"/>
      <c r="K861" s="22"/>
      <c r="L861" s="22"/>
      <c r="M861" s="22"/>
      <c r="N861" s="22"/>
    </row>
    <row r="862" ht="22.5" customHeight="1">
      <c r="A862" s="20"/>
      <c r="B862" s="21"/>
      <c r="C862" s="21"/>
      <c r="D862" s="22"/>
      <c r="E862" s="22"/>
      <c r="F862" s="22"/>
      <c r="G862" s="23"/>
      <c r="H862" s="20"/>
      <c r="I862" s="20"/>
      <c r="J862" s="22"/>
      <c r="K862" s="22"/>
      <c r="L862" s="22"/>
      <c r="M862" s="22"/>
      <c r="N862" s="22"/>
    </row>
    <row r="863" ht="22.5" customHeight="1">
      <c r="A863" s="20"/>
      <c r="B863" s="21"/>
      <c r="C863" s="21"/>
      <c r="D863" s="22"/>
      <c r="E863" s="22"/>
      <c r="F863" s="22"/>
      <c r="G863" s="23"/>
      <c r="H863" s="20"/>
      <c r="I863" s="20"/>
      <c r="J863" s="22"/>
      <c r="K863" s="22"/>
      <c r="L863" s="22"/>
      <c r="M863" s="22"/>
      <c r="N863" s="22"/>
    </row>
    <row r="864" ht="22.5" customHeight="1">
      <c r="A864" s="20"/>
      <c r="B864" s="21"/>
      <c r="C864" s="21"/>
      <c r="D864" s="22"/>
      <c r="E864" s="22"/>
      <c r="F864" s="22"/>
      <c r="G864" s="23"/>
      <c r="H864" s="20"/>
      <c r="I864" s="20"/>
      <c r="J864" s="22"/>
      <c r="K864" s="22"/>
      <c r="L864" s="22"/>
      <c r="M864" s="22"/>
      <c r="N864" s="22"/>
    </row>
    <row r="865" ht="22.5" customHeight="1">
      <c r="A865" s="20"/>
      <c r="B865" s="21"/>
      <c r="C865" s="21"/>
      <c r="D865" s="22"/>
      <c r="E865" s="22"/>
      <c r="F865" s="22"/>
      <c r="G865" s="23"/>
      <c r="H865" s="20"/>
      <c r="I865" s="20"/>
      <c r="J865" s="22"/>
      <c r="K865" s="22"/>
      <c r="L865" s="22"/>
      <c r="M865" s="22"/>
      <c r="N865" s="22"/>
    </row>
    <row r="866" ht="22.5" customHeight="1">
      <c r="A866" s="20"/>
      <c r="B866" s="21"/>
      <c r="C866" s="21"/>
      <c r="D866" s="22"/>
      <c r="E866" s="22"/>
      <c r="F866" s="22"/>
      <c r="G866" s="23"/>
      <c r="H866" s="20"/>
      <c r="I866" s="20"/>
      <c r="J866" s="22"/>
      <c r="K866" s="22"/>
      <c r="L866" s="22"/>
      <c r="M866" s="22"/>
      <c r="N866" s="22"/>
    </row>
    <row r="867" ht="22.5" customHeight="1">
      <c r="A867" s="20"/>
      <c r="B867" s="21"/>
      <c r="C867" s="21"/>
      <c r="D867" s="22"/>
      <c r="E867" s="22"/>
      <c r="F867" s="22"/>
      <c r="G867" s="23"/>
      <c r="H867" s="20"/>
      <c r="I867" s="20"/>
      <c r="J867" s="22"/>
      <c r="K867" s="22"/>
      <c r="L867" s="22"/>
      <c r="M867" s="22"/>
      <c r="N867" s="22"/>
    </row>
    <row r="868" ht="22.5" customHeight="1">
      <c r="A868" s="20"/>
      <c r="B868" s="21"/>
      <c r="C868" s="21"/>
      <c r="D868" s="22"/>
      <c r="E868" s="22"/>
      <c r="F868" s="22"/>
      <c r="G868" s="23"/>
      <c r="H868" s="20"/>
      <c r="I868" s="20"/>
      <c r="J868" s="22"/>
      <c r="K868" s="22"/>
      <c r="L868" s="22"/>
      <c r="M868" s="22"/>
      <c r="N868" s="22"/>
    </row>
    <row r="869" ht="22.5" customHeight="1">
      <c r="A869" s="20"/>
      <c r="B869" s="21"/>
      <c r="C869" s="21"/>
      <c r="D869" s="22"/>
      <c r="E869" s="22"/>
      <c r="F869" s="22"/>
      <c r="G869" s="23"/>
      <c r="H869" s="20"/>
      <c r="I869" s="20"/>
      <c r="J869" s="22"/>
      <c r="K869" s="22"/>
      <c r="L869" s="22"/>
      <c r="M869" s="22"/>
      <c r="N869" s="22"/>
    </row>
    <row r="870" ht="22.5" customHeight="1">
      <c r="A870" s="20"/>
      <c r="B870" s="21"/>
      <c r="C870" s="21"/>
      <c r="D870" s="22"/>
      <c r="E870" s="22"/>
      <c r="F870" s="22"/>
      <c r="G870" s="23"/>
      <c r="H870" s="20"/>
      <c r="I870" s="20"/>
      <c r="J870" s="22"/>
      <c r="K870" s="22"/>
      <c r="L870" s="22"/>
      <c r="M870" s="22"/>
      <c r="N870" s="22"/>
    </row>
    <row r="871" ht="22.5" customHeight="1">
      <c r="A871" s="20"/>
      <c r="B871" s="21"/>
      <c r="C871" s="21"/>
      <c r="D871" s="22"/>
      <c r="E871" s="22"/>
      <c r="F871" s="22"/>
      <c r="G871" s="23"/>
      <c r="H871" s="20"/>
      <c r="I871" s="20"/>
      <c r="J871" s="22"/>
      <c r="K871" s="22"/>
      <c r="L871" s="22"/>
      <c r="M871" s="22"/>
      <c r="N871" s="22"/>
    </row>
    <row r="872" ht="22.5" customHeight="1">
      <c r="A872" s="20"/>
      <c r="B872" s="21"/>
      <c r="C872" s="21"/>
      <c r="D872" s="22"/>
      <c r="E872" s="22"/>
      <c r="F872" s="22"/>
      <c r="G872" s="23"/>
      <c r="H872" s="20"/>
      <c r="I872" s="20"/>
      <c r="J872" s="22"/>
      <c r="K872" s="22"/>
      <c r="L872" s="22"/>
      <c r="M872" s="22"/>
      <c r="N872" s="22"/>
    </row>
    <row r="873" ht="22.5" customHeight="1">
      <c r="A873" s="20"/>
      <c r="B873" s="21"/>
      <c r="C873" s="21"/>
      <c r="D873" s="22"/>
      <c r="E873" s="22"/>
      <c r="F873" s="22"/>
      <c r="G873" s="23"/>
      <c r="H873" s="20"/>
      <c r="I873" s="20"/>
      <c r="J873" s="22"/>
      <c r="K873" s="22"/>
      <c r="L873" s="22"/>
      <c r="M873" s="22"/>
      <c r="N873" s="22"/>
    </row>
    <row r="874" ht="22.5" customHeight="1">
      <c r="A874" s="20"/>
      <c r="B874" s="21"/>
      <c r="C874" s="21"/>
      <c r="D874" s="22"/>
      <c r="E874" s="22"/>
      <c r="F874" s="22"/>
      <c r="G874" s="23"/>
      <c r="H874" s="20"/>
      <c r="I874" s="20"/>
      <c r="J874" s="22"/>
      <c r="K874" s="22"/>
      <c r="L874" s="22"/>
      <c r="M874" s="22"/>
      <c r="N874" s="22"/>
    </row>
    <row r="875" ht="22.5" customHeight="1">
      <c r="A875" s="20"/>
      <c r="B875" s="21"/>
      <c r="C875" s="21"/>
      <c r="D875" s="22"/>
      <c r="E875" s="22"/>
      <c r="F875" s="22"/>
      <c r="G875" s="23"/>
      <c r="H875" s="20"/>
      <c r="I875" s="20"/>
      <c r="J875" s="22"/>
      <c r="K875" s="22"/>
      <c r="L875" s="22"/>
      <c r="M875" s="22"/>
      <c r="N875" s="22"/>
    </row>
    <row r="876" ht="22.5" customHeight="1">
      <c r="A876" s="20"/>
      <c r="B876" s="21"/>
      <c r="C876" s="21"/>
      <c r="D876" s="22"/>
      <c r="E876" s="22"/>
      <c r="F876" s="22"/>
      <c r="G876" s="23"/>
      <c r="H876" s="20"/>
      <c r="I876" s="20"/>
      <c r="J876" s="22"/>
      <c r="K876" s="22"/>
      <c r="L876" s="22"/>
      <c r="M876" s="22"/>
      <c r="N876" s="22"/>
    </row>
    <row r="877" ht="22.5" customHeight="1">
      <c r="A877" s="20"/>
      <c r="B877" s="21"/>
      <c r="C877" s="21"/>
      <c r="D877" s="22"/>
      <c r="E877" s="22"/>
      <c r="F877" s="22"/>
      <c r="G877" s="23"/>
      <c r="H877" s="20"/>
      <c r="I877" s="20"/>
      <c r="J877" s="22"/>
      <c r="K877" s="22"/>
      <c r="L877" s="22"/>
      <c r="M877" s="22"/>
      <c r="N877" s="22"/>
    </row>
    <row r="878" ht="22.5" customHeight="1">
      <c r="A878" s="20"/>
      <c r="B878" s="21"/>
      <c r="C878" s="21"/>
      <c r="D878" s="22"/>
      <c r="E878" s="22"/>
      <c r="F878" s="22"/>
      <c r="G878" s="23"/>
      <c r="H878" s="20"/>
      <c r="I878" s="20"/>
      <c r="J878" s="22"/>
      <c r="K878" s="22"/>
      <c r="L878" s="22"/>
      <c r="M878" s="22"/>
      <c r="N878" s="22"/>
    </row>
    <row r="879" ht="22.5" customHeight="1">
      <c r="A879" s="20"/>
      <c r="B879" s="21"/>
      <c r="C879" s="21"/>
      <c r="D879" s="22"/>
      <c r="E879" s="22"/>
      <c r="F879" s="22"/>
      <c r="G879" s="23"/>
      <c r="H879" s="20"/>
      <c r="I879" s="20"/>
      <c r="J879" s="22"/>
      <c r="K879" s="22"/>
      <c r="L879" s="22"/>
      <c r="M879" s="22"/>
      <c r="N879" s="22"/>
    </row>
    <row r="880" ht="22.5" customHeight="1">
      <c r="A880" s="20"/>
      <c r="B880" s="21"/>
      <c r="C880" s="21"/>
      <c r="D880" s="22"/>
      <c r="E880" s="22"/>
      <c r="F880" s="22"/>
      <c r="G880" s="23"/>
      <c r="H880" s="20"/>
      <c r="I880" s="20"/>
      <c r="J880" s="22"/>
      <c r="K880" s="22"/>
      <c r="L880" s="22"/>
      <c r="M880" s="22"/>
      <c r="N880" s="22"/>
    </row>
    <row r="881" ht="22.5" customHeight="1">
      <c r="A881" s="20"/>
      <c r="B881" s="21"/>
      <c r="C881" s="21"/>
      <c r="D881" s="22"/>
      <c r="E881" s="22"/>
      <c r="F881" s="22"/>
      <c r="G881" s="23"/>
      <c r="H881" s="20"/>
      <c r="I881" s="20"/>
      <c r="J881" s="22"/>
      <c r="K881" s="22"/>
      <c r="L881" s="22"/>
      <c r="M881" s="22"/>
      <c r="N881" s="22"/>
    </row>
    <row r="882" ht="22.5" customHeight="1">
      <c r="A882" s="20"/>
      <c r="B882" s="21"/>
      <c r="C882" s="21"/>
      <c r="D882" s="22"/>
      <c r="E882" s="22"/>
      <c r="F882" s="22"/>
      <c r="G882" s="23"/>
      <c r="H882" s="20"/>
      <c r="I882" s="20"/>
      <c r="J882" s="22"/>
      <c r="K882" s="22"/>
      <c r="L882" s="22"/>
      <c r="M882" s="22"/>
      <c r="N882" s="22"/>
    </row>
    <row r="883" ht="22.5" customHeight="1">
      <c r="A883" s="20"/>
      <c r="B883" s="21"/>
      <c r="C883" s="21"/>
      <c r="D883" s="22"/>
      <c r="E883" s="22"/>
      <c r="F883" s="22"/>
      <c r="G883" s="23"/>
      <c r="H883" s="20"/>
      <c r="I883" s="20"/>
      <c r="J883" s="22"/>
      <c r="K883" s="22"/>
      <c r="L883" s="22"/>
      <c r="M883" s="22"/>
      <c r="N883" s="22"/>
    </row>
    <row r="884" ht="22.5" customHeight="1">
      <c r="A884" s="20"/>
      <c r="B884" s="21"/>
      <c r="C884" s="21"/>
      <c r="D884" s="22"/>
      <c r="E884" s="22"/>
      <c r="F884" s="22"/>
      <c r="G884" s="23"/>
      <c r="H884" s="20"/>
      <c r="I884" s="20"/>
      <c r="J884" s="22"/>
      <c r="K884" s="22"/>
      <c r="L884" s="22"/>
      <c r="M884" s="22"/>
      <c r="N884" s="22"/>
    </row>
    <row r="885" ht="22.5" customHeight="1">
      <c r="A885" s="20"/>
      <c r="B885" s="21"/>
      <c r="C885" s="21"/>
      <c r="D885" s="22"/>
      <c r="E885" s="22"/>
      <c r="F885" s="22"/>
      <c r="G885" s="23"/>
      <c r="H885" s="20"/>
      <c r="I885" s="20"/>
      <c r="J885" s="22"/>
      <c r="K885" s="22"/>
      <c r="L885" s="22"/>
      <c r="M885" s="22"/>
      <c r="N885" s="22"/>
    </row>
    <row r="886" ht="22.5" customHeight="1">
      <c r="A886" s="20"/>
      <c r="B886" s="21"/>
      <c r="C886" s="21"/>
      <c r="D886" s="22"/>
      <c r="E886" s="22"/>
      <c r="F886" s="22"/>
      <c r="G886" s="23"/>
      <c r="H886" s="20"/>
      <c r="I886" s="20"/>
      <c r="J886" s="22"/>
      <c r="K886" s="22"/>
      <c r="L886" s="22"/>
      <c r="M886" s="22"/>
      <c r="N886" s="22"/>
    </row>
    <row r="887" ht="22.5" customHeight="1">
      <c r="A887" s="20"/>
      <c r="B887" s="21"/>
      <c r="C887" s="21"/>
      <c r="D887" s="22"/>
      <c r="E887" s="22"/>
      <c r="F887" s="22"/>
      <c r="G887" s="23"/>
      <c r="H887" s="20"/>
      <c r="I887" s="20"/>
      <c r="J887" s="22"/>
      <c r="K887" s="22"/>
      <c r="L887" s="22"/>
      <c r="M887" s="22"/>
      <c r="N887" s="22"/>
    </row>
    <row r="888" ht="22.5" customHeight="1">
      <c r="A888" s="20"/>
      <c r="B888" s="21"/>
      <c r="C888" s="21"/>
      <c r="D888" s="22"/>
      <c r="E888" s="22"/>
      <c r="F888" s="22"/>
      <c r="G888" s="23"/>
      <c r="H888" s="20"/>
      <c r="I888" s="20"/>
      <c r="J888" s="22"/>
      <c r="K888" s="22"/>
      <c r="L888" s="22"/>
      <c r="M888" s="22"/>
      <c r="N888" s="22"/>
    </row>
    <row r="889" ht="22.5" customHeight="1">
      <c r="A889" s="20"/>
      <c r="B889" s="21"/>
      <c r="C889" s="21"/>
      <c r="D889" s="22"/>
      <c r="E889" s="22"/>
      <c r="F889" s="22"/>
      <c r="G889" s="23"/>
      <c r="H889" s="20"/>
      <c r="I889" s="20"/>
      <c r="J889" s="22"/>
      <c r="K889" s="22"/>
      <c r="L889" s="22"/>
      <c r="M889" s="22"/>
      <c r="N889" s="22"/>
    </row>
    <row r="890" ht="22.5" customHeight="1">
      <c r="A890" s="20"/>
      <c r="B890" s="21"/>
      <c r="C890" s="21"/>
      <c r="D890" s="22"/>
      <c r="E890" s="22"/>
      <c r="F890" s="22"/>
      <c r="G890" s="23"/>
      <c r="H890" s="20"/>
      <c r="I890" s="20"/>
      <c r="J890" s="22"/>
      <c r="K890" s="22"/>
      <c r="L890" s="22"/>
      <c r="M890" s="22"/>
      <c r="N890" s="22"/>
    </row>
    <row r="891" ht="22.5" customHeight="1">
      <c r="A891" s="20"/>
      <c r="B891" s="21"/>
      <c r="C891" s="21"/>
      <c r="D891" s="22"/>
      <c r="E891" s="22"/>
      <c r="F891" s="22"/>
      <c r="G891" s="23"/>
      <c r="H891" s="20"/>
      <c r="I891" s="20"/>
      <c r="J891" s="22"/>
      <c r="K891" s="22"/>
      <c r="L891" s="22"/>
      <c r="M891" s="22"/>
      <c r="N891" s="22"/>
    </row>
    <row r="892" ht="22.5" customHeight="1">
      <c r="A892" s="20"/>
      <c r="B892" s="21"/>
      <c r="C892" s="21"/>
      <c r="D892" s="22"/>
      <c r="E892" s="22"/>
      <c r="F892" s="22"/>
      <c r="G892" s="23"/>
      <c r="H892" s="20"/>
      <c r="I892" s="20"/>
      <c r="J892" s="22"/>
      <c r="K892" s="22"/>
      <c r="L892" s="22"/>
      <c r="M892" s="22"/>
      <c r="N892" s="22"/>
    </row>
    <row r="893" ht="22.5" customHeight="1">
      <c r="A893" s="20"/>
      <c r="B893" s="21"/>
      <c r="C893" s="21"/>
      <c r="D893" s="22"/>
      <c r="E893" s="22"/>
      <c r="F893" s="22"/>
      <c r="G893" s="23"/>
      <c r="H893" s="20"/>
      <c r="I893" s="20"/>
      <c r="J893" s="22"/>
      <c r="K893" s="22"/>
      <c r="L893" s="22"/>
      <c r="M893" s="22"/>
      <c r="N893" s="22"/>
    </row>
    <row r="894" ht="22.5" customHeight="1">
      <c r="A894" s="20"/>
      <c r="B894" s="21"/>
      <c r="C894" s="21"/>
      <c r="D894" s="22"/>
      <c r="E894" s="22"/>
      <c r="F894" s="22"/>
      <c r="G894" s="23"/>
      <c r="H894" s="20"/>
      <c r="I894" s="20"/>
      <c r="J894" s="22"/>
      <c r="K894" s="22"/>
      <c r="L894" s="22"/>
      <c r="M894" s="22"/>
      <c r="N894" s="22"/>
    </row>
    <row r="895" ht="22.5" customHeight="1">
      <c r="A895" s="20"/>
      <c r="B895" s="21"/>
      <c r="C895" s="21"/>
      <c r="D895" s="22"/>
      <c r="E895" s="22"/>
      <c r="F895" s="22"/>
      <c r="G895" s="23"/>
      <c r="H895" s="20"/>
      <c r="I895" s="20"/>
      <c r="J895" s="22"/>
      <c r="K895" s="22"/>
      <c r="L895" s="22"/>
      <c r="M895" s="22"/>
      <c r="N895" s="22"/>
    </row>
    <row r="896" ht="22.5" customHeight="1">
      <c r="A896" s="20"/>
      <c r="B896" s="21"/>
      <c r="C896" s="21"/>
      <c r="D896" s="22"/>
      <c r="E896" s="22"/>
      <c r="F896" s="22"/>
      <c r="G896" s="23"/>
      <c r="H896" s="20"/>
      <c r="I896" s="20"/>
      <c r="J896" s="22"/>
      <c r="K896" s="22"/>
      <c r="L896" s="22"/>
      <c r="M896" s="22"/>
      <c r="N896" s="22"/>
    </row>
    <row r="897" ht="22.5" customHeight="1">
      <c r="A897" s="20"/>
      <c r="B897" s="21"/>
      <c r="C897" s="21"/>
      <c r="D897" s="22"/>
      <c r="E897" s="22"/>
      <c r="F897" s="22"/>
      <c r="G897" s="23"/>
      <c r="H897" s="20"/>
      <c r="I897" s="20"/>
      <c r="J897" s="22"/>
      <c r="K897" s="22"/>
      <c r="L897" s="22"/>
      <c r="M897" s="22"/>
      <c r="N897" s="22"/>
    </row>
    <row r="898" ht="22.5" customHeight="1">
      <c r="A898" s="20"/>
      <c r="B898" s="21"/>
      <c r="C898" s="21"/>
      <c r="D898" s="22"/>
      <c r="E898" s="22"/>
      <c r="F898" s="22"/>
      <c r="G898" s="23"/>
      <c r="H898" s="20"/>
      <c r="I898" s="20"/>
      <c r="J898" s="22"/>
      <c r="K898" s="22"/>
      <c r="L898" s="22"/>
      <c r="M898" s="22"/>
      <c r="N898" s="22"/>
    </row>
    <row r="899" ht="22.5" customHeight="1">
      <c r="A899" s="20"/>
      <c r="B899" s="21"/>
      <c r="C899" s="21"/>
      <c r="D899" s="22"/>
      <c r="E899" s="22"/>
      <c r="F899" s="22"/>
      <c r="G899" s="23"/>
      <c r="H899" s="20"/>
      <c r="I899" s="20"/>
      <c r="J899" s="22"/>
      <c r="K899" s="22"/>
      <c r="L899" s="22"/>
      <c r="M899" s="22"/>
      <c r="N899" s="22"/>
    </row>
    <row r="900" ht="22.5" customHeight="1">
      <c r="A900" s="20"/>
      <c r="B900" s="21"/>
      <c r="C900" s="21"/>
      <c r="D900" s="22"/>
      <c r="E900" s="22"/>
      <c r="F900" s="22"/>
      <c r="G900" s="23"/>
      <c r="H900" s="20"/>
      <c r="I900" s="20"/>
      <c r="J900" s="22"/>
      <c r="K900" s="22"/>
      <c r="L900" s="22"/>
      <c r="M900" s="22"/>
      <c r="N900" s="22"/>
    </row>
    <row r="901" ht="22.5" customHeight="1">
      <c r="A901" s="20"/>
      <c r="B901" s="21"/>
      <c r="C901" s="21"/>
      <c r="D901" s="22"/>
      <c r="E901" s="22"/>
      <c r="F901" s="22"/>
      <c r="G901" s="23"/>
      <c r="H901" s="20"/>
      <c r="I901" s="20"/>
      <c r="J901" s="22"/>
      <c r="K901" s="22"/>
      <c r="L901" s="22"/>
      <c r="M901" s="22"/>
      <c r="N901" s="22"/>
    </row>
    <row r="902" ht="22.5" customHeight="1">
      <c r="A902" s="20"/>
      <c r="B902" s="21"/>
      <c r="C902" s="21"/>
      <c r="D902" s="22"/>
      <c r="E902" s="22"/>
      <c r="F902" s="22"/>
      <c r="G902" s="23"/>
      <c r="H902" s="20"/>
      <c r="I902" s="20"/>
      <c r="J902" s="22"/>
      <c r="K902" s="22"/>
      <c r="L902" s="22"/>
      <c r="M902" s="22"/>
      <c r="N902" s="22"/>
    </row>
    <row r="903" ht="22.5" customHeight="1">
      <c r="A903" s="20"/>
      <c r="B903" s="21"/>
      <c r="C903" s="21"/>
      <c r="D903" s="22"/>
      <c r="E903" s="22"/>
      <c r="F903" s="22"/>
      <c r="G903" s="23"/>
      <c r="H903" s="20"/>
      <c r="I903" s="20"/>
      <c r="J903" s="22"/>
      <c r="K903" s="22"/>
      <c r="L903" s="22"/>
      <c r="M903" s="22"/>
      <c r="N903" s="22"/>
    </row>
    <row r="904" ht="22.5" customHeight="1">
      <c r="A904" s="20"/>
      <c r="B904" s="21"/>
      <c r="C904" s="21"/>
      <c r="D904" s="22"/>
      <c r="E904" s="22"/>
      <c r="F904" s="22"/>
      <c r="G904" s="23"/>
      <c r="H904" s="20"/>
      <c r="I904" s="20"/>
      <c r="J904" s="22"/>
      <c r="K904" s="22"/>
      <c r="L904" s="22"/>
      <c r="M904" s="22"/>
      <c r="N904" s="22"/>
    </row>
    <row r="905" ht="22.5" customHeight="1">
      <c r="A905" s="20"/>
      <c r="B905" s="21"/>
      <c r="C905" s="21"/>
      <c r="D905" s="22"/>
      <c r="E905" s="22"/>
      <c r="F905" s="22"/>
      <c r="G905" s="23"/>
      <c r="H905" s="20"/>
      <c r="I905" s="20"/>
      <c r="J905" s="22"/>
      <c r="K905" s="22"/>
      <c r="L905" s="22"/>
      <c r="M905" s="22"/>
      <c r="N905" s="22"/>
    </row>
    <row r="906" ht="22.5" customHeight="1">
      <c r="A906" s="20"/>
      <c r="B906" s="21"/>
      <c r="C906" s="21"/>
      <c r="D906" s="22"/>
      <c r="E906" s="22"/>
      <c r="F906" s="22"/>
      <c r="G906" s="23"/>
      <c r="H906" s="20"/>
      <c r="I906" s="20"/>
      <c r="J906" s="22"/>
      <c r="K906" s="22"/>
      <c r="L906" s="22"/>
      <c r="M906" s="22"/>
      <c r="N906" s="22"/>
    </row>
    <row r="907" ht="22.5" customHeight="1">
      <c r="A907" s="20"/>
      <c r="B907" s="21"/>
      <c r="C907" s="21"/>
      <c r="D907" s="22"/>
      <c r="E907" s="22"/>
      <c r="F907" s="22"/>
      <c r="G907" s="23"/>
      <c r="H907" s="20"/>
      <c r="I907" s="20"/>
      <c r="J907" s="22"/>
      <c r="K907" s="22"/>
      <c r="L907" s="22"/>
      <c r="M907" s="22"/>
      <c r="N907" s="22"/>
    </row>
    <row r="908" ht="22.5" customHeight="1">
      <c r="A908" s="20"/>
      <c r="B908" s="21"/>
      <c r="C908" s="21"/>
      <c r="D908" s="22"/>
      <c r="E908" s="22"/>
      <c r="F908" s="22"/>
      <c r="G908" s="23"/>
      <c r="H908" s="20"/>
      <c r="I908" s="20"/>
      <c r="J908" s="22"/>
      <c r="K908" s="22"/>
      <c r="L908" s="22"/>
      <c r="M908" s="22"/>
      <c r="N908" s="22"/>
    </row>
    <row r="909" ht="22.5" customHeight="1">
      <c r="A909" s="20"/>
      <c r="B909" s="21"/>
      <c r="C909" s="21"/>
      <c r="D909" s="22"/>
      <c r="E909" s="22"/>
      <c r="F909" s="22"/>
      <c r="G909" s="23"/>
      <c r="H909" s="20"/>
      <c r="I909" s="20"/>
      <c r="J909" s="22"/>
      <c r="K909" s="22"/>
      <c r="L909" s="22"/>
      <c r="M909" s="22"/>
      <c r="N909" s="22"/>
    </row>
    <row r="910" ht="22.5" customHeight="1">
      <c r="A910" s="20"/>
      <c r="B910" s="21"/>
      <c r="C910" s="21"/>
      <c r="D910" s="22"/>
      <c r="E910" s="22"/>
      <c r="F910" s="22"/>
      <c r="G910" s="23"/>
      <c r="H910" s="20"/>
      <c r="I910" s="20"/>
      <c r="J910" s="22"/>
      <c r="K910" s="22"/>
      <c r="L910" s="22"/>
      <c r="M910" s="22"/>
      <c r="N910" s="22"/>
    </row>
    <row r="911" ht="22.5" customHeight="1">
      <c r="A911" s="20"/>
      <c r="B911" s="21"/>
      <c r="C911" s="21"/>
      <c r="D911" s="22"/>
      <c r="E911" s="22"/>
      <c r="F911" s="22"/>
      <c r="G911" s="23"/>
      <c r="H911" s="20"/>
      <c r="I911" s="20"/>
      <c r="J911" s="22"/>
      <c r="K911" s="22"/>
      <c r="L911" s="22"/>
      <c r="M911" s="22"/>
      <c r="N911" s="22"/>
    </row>
    <row r="912" ht="22.5" customHeight="1">
      <c r="A912" s="20"/>
      <c r="B912" s="21"/>
      <c r="C912" s="21"/>
      <c r="D912" s="22"/>
      <c r="E912" s="22"/>
      <c r="F912" s="22"/>
      <c r="G912" s="23"/>
      <c r="H912" s="20"/>
      <c r="I912" s="20"/>
      <c r="J912" s="22"/>
      <c r="K912" s="22"/>
      <c r="L912" s="22"/>
      <c r="M912" s="22"/>
      <c r="N912" s="22"/>
    </row>
    <row r="913" ht="22.5" customHeight="1">
      <c r="A913" s="20"/>
      <c r="B913" s="21"/>
      <c r="C913" s="21"/>
      <c r="D913" s="22"/>
      <c r="E913" s="22"/>
      <c r="F913" s="22"/>
      <c r="G913" s="23"/>
      <c r="H913" s="20"/>
      <c r="I913" s="20"/>
      <c r="J913" s="22"/>
      <c r="K913" s="22"/>
      <c r="L913" s="22"/>
      <c r="M913" s="22"/>
      <c r="N913" s="22"/>
    </row>
    <row r="914" ht="22.5" customHeight="1">
      <c r="A914" s="20"/>
      <c r="B914" s="21"/>
      <c r="C914" s="21"/>
      <c r="D914" s="22"/>
      <c r="E914" s="22"/>
      <c r="F914" s="22"/>
      <c r="G914" s="23"/>
      <c r="H914" s="20"/>
      <c r="I914" s="20"/>
      <c r="J914" s="22"/>
      <c r="K914" s="22"/>
      <c r="L914" s="22"/>
      <c r="M914" s="22"/>
      <c r="N914" s="22"/>
    </row>
    <row r="915" ht="22.5" customHeight="1">
      <c r="A915" s="20"/>
      <c r="B915" s="21"/>
      <c r="C915" s="21"/>
      <c r="D915" s="22"/>
      <c r="E915" s="22"/>
      <c r="F915" s="22"/>
      <c r="G915" s="23"/>
      <c r="H915" s="20"/>
      <c r="I915" s="20"/>
      <c r="J915" s="22"/>
      <c r="K915" s="22"/>
      <c r="L915" s="22"/>
      <c r="M915" s="22"/>
      <c r="N915" s="22"/>
    </row>
    <row r="916" ht="22.5" customHeight="1">
      <c r="A916" s="20"/>
      <c r="B916" s="21"/>
      <c r="C916" s="21"/>
      <c r="D916" s="22"/>
      <c r="E916" s="22"/>
      <c r="F916" s="22"/>
      <c r="G916" s="23"/>
      <c r="H916" s="20"/>
      <c r="I916" s="20"/>
      <c r="J916" s="22"/>
      <c r="K916" s="22"/>
      <c r="L916" s="22"/>
      <c r="M916" s="22"/>
      <c r="N916" s="22"/>
    </row>
    <row r="917" ht="22.5" customHeight="1">
      <c r="A917" s="20"/>
      <c r="B917" s="21"/>
      <c r="C917" s="21"/>
      <c r="D917" s="22"/>
      <c r="E917" s="22"/>
      <c r="F917" s="22"/>
      <c r="G917" s="23"/>
      <c r="H917" s="20"/>
      <c r="I917" s="20"/>
      <c r="J917" s="22"/>
      <c r="K917" s="22"/>
      <c r="L917" s="22"/>
      <c r="M917" s="22"/>
      <c r="N917" s="22"/>
    </row>
    <row r="918" ht="22.5" customHeight="1">
      <c r="A918" s="20"/>
      <c r="B918" s="21"/>
      <c r="C918" s="21"/>
      <c r="D918" s="22"/>
      <c r="E918" s="22"/>
      <c r="F918" s="22"/>
      <c r="G918" s="23"/>
      <c r="H918" s="20"/>
      <c r="I918" s="20"/>
      <c r="J918" s="22"/>
      <c r="K918" s="22"/>
      <c r="L918" s="22"/>
      <c r="M918" s="22"/>
      <c r="N918" s="22"/>
    </row>
    <row r="919" ht="22.5" customHeight="1">
      <c r="A919" s="20"/>
      <c r="B919" s="21"/>
      <c r="C919" s="21"/>
      <c r="D919" s="22"/>
      <c r="E919" s="22"/>
      <c r="F919" s="22"/>
      <c r="G919" s="23"/>
      <c r="H919" s="20"/>
      <c r="I919" s="20"/>
      <c r="J919" s="22"/>
      <c r="K919" s="22"/>
      <c r="L919" s="22"/>
      <c r="M919" s="22"/>
      <c r="N919" s="22"/>
    </row>
    <row r="920" ht="22.5" customHeight="1">
      <c r="A920" s="20"/>
      <c r="B920" s="21"/>
      <c r="C920" s="21"/>
      <c r="D920" s="22"/>
      <c r="E920" s="22"/>
      <c r="F920" s="22"/>
      <c r="G920" s="23"/>
      <c r="H920" s="20"/>
      <c r="I920" s="20"/>
      <c r="J920" s="22"/>
      <c r="K920" s="22"/>
      <c r="L920" s="22"/>
      <c r="M920" s="22"/>
      <c r="N920" s="22"/>
    </row>
    <row r="921" ht="22.5" customHeight="1">
      <c r="A921" s="20"/>
      <c r="B921" s="21"/>
      <c r="C921" s="21"/>
      <c r="D921" s="22"/>
      <c r="E921" s="22"/>
      <c r="F921" s="22"/>
      <c r="G921" s="23"/>
      <c r="H921" s="20"/>
      <c r="I921" s="20"/>
      <c r="J921" s="22"/>
      <c r="K921" s="22"/>
      <c r="L921" s="22"/>
      <c r="M921" s="22"/>
      <c r="N921" s="22"/>
    </row>
    <row r="922" ht="22.5" customHeight="1">
      <c r="A922" s="20"/>
      <c r="B922" s="21"/>
      <c r="C922" s="21"/>
      <c r="D922" s="22"/>
      <c r="E922" s="22"/>
      <c r="F922" s="22"/>
      <c r="G922" s="23"/>
      <c r="H922" s="20"/>
      <c r="I922" s="20"/>
      <c r="J922" s="22"/>
      <c r="K922" s="22"/>
      <c r="L922" s="22"/>
      <c r="M922" s="22"/>
      <c r="N922" s="22"/>
    </row>
    <row r="923" ht="22.5" customHeight="1">
      <c r="A923" s="20"/>
      <c r="B923" s="21"/>
      <c r="C923" s="21"/>
      <c r="D923" s="22"/>
      <c r="E923" s="22"/>
      <c r="F923" s="22"/>
      <c r="G923" s="23"/>
      <c r="H923" s="20"/>
      <c r="I923" s="20"/>
      <c r="J923" s="22"/>
      <c r="K923" s="22"/>
      <c r="L923" s="22"/>
      <c r="M923" s="22"/>
      <c r="N923" s="22"/>
    </row>
    <row r="924" ht="22.5" customHeight="1">
      <c r="A924" s="20"/>
      <c r="B924" s="21"/>
      <c r="C924" s="21"/>
      <c r="D924" s="22"/>
      <c r="E924" s="22"/>
      <c r="F924" s="22"/>
      <c r="G924" s="23"/>
      <c r="H924" s="20"/>
      <c r="I924" s="20"/>
      <c r="J924" s="22"/>
      <c r="K924" s="22"/>
      <c r="L924" s="22"/>
      <c r="M924" s="22"/>
      <c r="N924" s="22"/>
    </row>
    <row r="925" ht="22.5" customHeight="1">
      <c r="A925" s="20"/>
      <c r="B925" s="21"/>
      <c r="C925" s="21"/>
      <c r="D925" s="22"/>
      <c r="E925" s="22"/>
      <c r="F925" s="22"/>
      <c r="G925" s="23"/>
      <c r="H925" s="20"/>
      <c r="I925" s="20"/>
      <c r="J925" s="22"/>
      <c r="K925" s="22"/>
      <c r="L925" s="22"/>
      <c r="M925" s="22"/>
      <c r="N925" s="22"/>
    </row>
    <row r="926" ht="22.5" customHeight="1">
      <c r="A926" s="20"/>
      <c r="B926" s="21"/>
      <c r="C926" s="21"/>
      <c r="D926" s="22"/>
      <c r="E926" s="22"/>
      <c r="F926" s="22"/>
      <c r="G926" s="23"/>
      <c r="H926" s="20"/>
      <c r="I926" s="20"/>
      <c r="J926" s="22"/>
      <c r="K926" s="22"/>
      <c r="L926" s="22"/>
      <c r="M926" s="22"/>
      <c r="N926" s="22"/>
    </row>
    <row r="927" ht="22.5" customHeight="1">
      <c r="A927" s="20"/>
      <c r="B927" s="21"/>
      <c r="C927" s="21"/>
      <c r="D927" s="22"/>
      <c r="E927" s="22"/>
      <c r="F927" s="22"/>
      <c r="G927" s="23"/>
      <c r="H927" s="20"/>
      <c r="I927" s="20"/>
      <c r="J927" s="22"/>
      <c r="K927" s="22"/>
      <c r="L927" s="22"/>
      <c r="M927" s="22"/>
      <c r="N927" s="22"/>
    </row>
    <row r="928" ht="22.5" customHeight="1">
      <c r="A928" s="20"/>
      <c r="B928" s="21"/>
      <c r="C928" s="21"/>
      <c r="D928" s="22"/>
      <c r="E928" s="22"/>
      <c r="F928" s="22"/>
      <c r="G928" s="23"/>
      <c r="H928" s="20"/>
      <c r="I928" s="20"/>
      <c r="J928" s="22"/>
      <c r="K928" s="22"/>
      <c r="L928" s="22"/>
      <c r="M928" s="22"/>
      <c r="N928" s="22"/>
    </row>
    <row r="929" ht="22.5" customHeight="1">
      <c r="A929" s="20"/>
      <c r="B929" s="21"/>
      <c r="C929" s="21"/>
      <c r="D929" s="22"/>
      <c r="E929" s="22"/>
      <c r="F929" s="22"/>
      <c r="G929" s="23"/>
      <c r="H929" s="20"/>
      <c r="I929" s="20"/>
      <c r="J929" s="22"/>
      <c r="K929" s="22"/>
      <c r="L929" s="22"/>
      <c r="M929" s="22"/>
      <c r="N929" s="22"/>
    </row>
    <row r="930" ht="22.5" customHeight="1">
      <c r="A930" s="20"/>
      <c r="B930" s="21"/>
      <c r="C930" s="21"/>
      <c r="D930" s="22"/>
      <c r="E930" s="22"/>
      <c r="F930" s="22"/>
      <c r="G930" s="23"/>
      <c r="H930" s="20"/>
      <c r="I930" s="20"/>
      <c r="J930" s="22"/>
      <c r="K930" s="22"/>
      <c r="L930" s="22"/>
      <c r="M930" s="22"/>
      <c r="N930" s="22"/>
    </row>
    <row r="931" ht="22.5" customHeight="1">
      <c r="A931" s="20"/>
      <c r="B931" s="21"/>
      <c r="C931" s="21"/>
      <c r="D931" s="22"/>
      <c r="E931" s="22"/>
      <c r="F931" s="22"/>
      <c r="G931" s="23"/>
      <c r="H931" s="20"/>
      <c r="I931" s="20"/>
      <c r="J931" s="22"/>
      <c r="K931" s="22"/>
      <c r="L931" s="22"/>
      <c r="M931" s="22"/>
      <c r="N931" s="22"/>
    </row>
    <row r="932" ht="22.5" customHeight="1">
      <c r="A932" s="20"/>
      <c r="B932" s="21"/>
      <c r="C932" s="21"/>
      <c r="D932" s="22"/>
      <c r="E932" s="22"/>
      <c r="F932" s="22"/>
      <c r="G932" s="23"/>
      <c r="H932" s="20"/>
      <c r="I932" s="20"/>
      <c r="J932" s="22"/>
      <c r="K932" s="22"/>
      <c r="L932" s="22"/>
      <c r="M932" s="22"/>
      <c r="N932" s="22"/>
    </row>
    <row r="933" ht="22.5" customHeight="1">
      <c r="A933" s="20"/>
      <c r="B933" s="21"/>
      <c r="C933" s="21"/>
      <c r="D933" s="22"/>
      <c r="E933" s="22"/>
      <c r="F933" s="22"/>
      <c r="G933" s="23"/>
      <c r="H933" s="20"/>
      <c r="I933" s="20"/>
      <c r="J933" s="22"/>
      <c r="K933" s="22"/>
      <c r="L933" s="22"/>
      <c r="M933" s="22"/>
      <c r="N933" s="22"/>
    </row>
    <row r="934" ht="22.5" customHeight="1">
      <c r="A934" s="20"/>
      <c r="B934" s="21"/>
      <c r="C934" s="21"/>
      <c r="D934" s="22"/>
      <c r="E934" s="22"/>
      <c r="F934" s="22"/>
      <c r="G934" s="23"/>
      <c r="H934" s="20"/>
      <c r="I934" s="20"/>
      <c r="J934" s="22"/>
      <c r="K934" s="22"/>
      <c r="L934" s="22"/>
      <c r="M934" s="22"/>
      <c r="N934" s="22"/>
    </row>
    <row r="935" ht="22.5" customHeight="1">
      <c r="A935" s="20"/>
      <c r="B935" s="21"/>
      <c r="C935" s="21"/>
      <c r="D935" s="22"/>
      <c r="E935" s="22"/>
      <c r="F935" s="22"/>
      <c r="G935" s="23"/>
      <c r="H935" s="20"/>
      <c r="I935" s="20"/>
      <c r="J935" s="22"/>
      <c r="K935" s="22"/>
      <c r="L935" s="22"/>
      <c r="M935" s="22"/>
      <c r="N935" s="22"/>
    </row>
    <row r="936" ht="22.5" customHeight="1">
      <c r="A936" s="20"/>
      <c r="B936" s="21"/>
      <c r="C936" s="21"/>
      <c r="D936" s="22"/>
      <c r="E936" s="22"/>
      <c r="F936" s="22"/>
      <c r="G936" s="23"/>
      <c r="H936" s="20"/>
      <c r="I936" s="20"/>
      <c r="J936" s="22"/>
      <c r="K936" s="22"/>
      <c r="L936" s="22"/>
      <c r="M936" s="22"/>
      <c r="N936" s="22"/>
    </row>
    <row r="937" ht="22.5" customHeight="1">
      <c r="A937" s="20"/>
      <c r="B937" s="21"/>
      <c r="C937" s="21"/>
      <c r="D937" s="22"/>
      <c r="E937" s="22"/>
      <c r="F937" s="22"/>
      <c r="G937" s="23"/>
      <c r="H937" s="20"/>
      <c r="I937" s="20"/>
      <c r="J937" s="22"/>
      <c r="K937" s="22"/>
      <c r="L937" s="22"/>
      <c r="M937" s="22"/>
      <c r="N937" s="22"/>
    </row>
    <row r="938" ht="22.5" customHeight="1">
      <c r="A938" s="20"/>
      <c r="B938" s="21"/>
      <c r="C938" s="21"/>
      <c r="D938" s="22"/>
      <c r="E938" s="22"/>
      <c r="F938" s="22"/>
      <c r="G938" s="23"/>
      <c r="H938" s="20"/>
      <c r="I938" s="20"/>
      <c r="J938" s="22"/>
      <c r="K938" s="22"/>
      <c r="L938" s="22"/>
      <c r="M938" s="22"/>
      <c r="N938" s="22"/>
    </row>
    <row r="939" ht="22.5" customHeight="1">
      <c r="A939" s="20"/>
      <c r="B939" s="21"/>
      <c r="C939" s="21"/>
      <c r="D939" s="22"/>
      <c r="E939" s="22"/>
      <c r="F939" s="22"/>
      <c r="G939" s="23"/>
      <c r="H939" s="20"/>
      <c r="I939" s="20"/>
      <c r="J939" s="22"/>
      <c r="K939" s="22"/>
      <c r="L939" s="22"/>
      <c r="M939" s="22"/>
      <c r="N939" s="22"/>
    </row>
    <row r="940" ht="22.5" customHeight="1">
      <c r="A940" s="20"/>
      <c r="B940" s="21"/>
      <c r="C940" s="21"/>
      <c r="D940" s="22"/>
      <c r="E940" s="22"/>
      <c r="F940" s="22"/>
      <c r="G940" s="23"/>
      <c r="H940" s="20"/>
      <c r="I940" s="20"/>
      <c r="J940" s="22"/>
      <c r="K940" s="22"/>
      <c r="L940" s="22"/>
      <c r="M940" s="22"/>
      <c r="N940" s="22"/>
    </row>
    <row r="941" ht="22.5" customHeight="1">
      <c r="A941" s="20"/>
      <c r="B941" s="21"/>
      <c r="C941" s="21"/>
      <c r="D941" s="22"/>
      <c r="E941" s="22"/>
      <c r="F941" s="22"/>
      <c r="G941" s="23"/>
      <c r="H941" s="20"/>
      <c r="I941" s="20"/>
      <c r="J941" s="22"/>
      <c r="K941" s="22"/>
      <c r="L941" s="22"/>
      <c r="M941" s="22"/>
      <c r="N941" s="22"/>
    </row>
    <row r="942" ht="22.5" customHeight="1">
      <c r="A942" s="20"/>
      <c r="B942" s="21"/>
      <c r="C942" s="21"/>
      <c r="D942" s="22"/>
      <c r="E942" s="22"/>
      <c r="F942" s="22"/>
      <c r="G942" s="23"/>
      <c r="H942" s="20"/>
      <c r="I942" s="20"/>
      <c r="J942" s="22"/>
      <c r="K942" s="22"/>
      <c r="L942" s="22"/>
      <c r="M942" s="22"/>
      <c r="N942" s="22"/>
    </row>
    <row r="943" ht="22.5" customHeight="1">
      <c r="A943" s="20"/>
      <c r="B943" s="21"/>
      <c r="C943" s="21"/>
      <c r="D943" s="22"/>
      <c r="E943" s="22"/>
      <c r="F943" s="22"/>
      <c r="G943" s="23"/>
      <c r="H943" s="20"/>
      <c r="I943" s="20"/>
      <c r="J943" s="22"/>
      <c r="K943" s="22"/>
      <c r="L943" s="22"/>
      <c r="M943" s="22"/>
      <c r="N943" s="22"/>
    </row>
    <row r="944" ht="22.5" customHeight="1">
      <c r="A944" s="20"/>
      <c r="B944" s="21"/>
      <c r="C944" s="21"/>
      <c r="D944" s="22"/>
      <c r="E944" s="22"/>
      <c r="F944" s="22"/>
      <c r="G944" s="23"/>
      <c r="H944" s="20"/>
      <c r="I944" s="20"/>
      <c r="J944" s="22"/>
      <c r="K944" s="22"/>
      <c r="L944" s="22"/>
      <c r="M944" s="22"/>
      <c r="N944" s="22"/>
    </row>
    <row r="945" ht="22.5" customHeight="1">
      <c r="A945" s="20"/>
      <c r="B945" s="21"/>
      <c r="C945" s="21"/>
      <c r="D945" s="22"/>
      <c r="E945" s="22"/>
      <c r="F945" s="22"/>
      <c r="G945" s="23"/>
      <c r="H945" s="20"/>
      <c r="I945" s="20"/>
      <c r="J945" s="22"/>
      <c r="K945" s="22"/>
      <c r="L945" s="22"/>
      <c r="M945" s="22"/>
      <c r="N945" s="22"/>
    </row>
    <row r="946" ht="22.5" customHeight="1">
      <c r="A946" s="20"/>
      <c r="B946" s="21"/>
      <c r="C946" s="21"/>
      <c r="D946" s="22"/>
      <c r="E946" s="22"/>
      <c r="F946" s="22"/>
      <c r="G946" s="23"/>
      <c r="H946" s="20"/>
      <c r="I946" s="20"/>
      <c r="J946" s="22"/>
      <c r="K946" s="22"/>
      <c r="L946" s="22"/>
      <c r="M946" s="22"/>
      <c r="N946" s="22"/>
    </row>
    <row r="947" ht="22.5" customHeight="1">
      <c r="A947" s="20"/>
      <c r="B947" s="21"/>
      <c r="C947" s="21"/>
      <c r="D947" s="22"/>
      <c r="E947" s="22"/>
      <c r="F947" s="22"/>
      <c r="G947" s="23"/>
      <c r="H947" s="20"/>
      <c r="I947" s="20"/>
      <c r="J947" s="22"/>
      <c r="K947" s="22"/>
      <c r="L947" s="22"/>
      <c r="M947" s="22"/>
      <c r="N947" s="22"/>
    </row>
    <row r="948" ht="22.5" customHeight="1">
      <c r="A948" s="20"/>
      <c r="B948" s="21"/>
      <c r="C948" s="21"/>
      <c r="D948" s="22"/>
      <c r="E948" s="22"/>
      <c r="F948" s="22"/>
      <c r="G948" s="23"/>
      <c r="H948" s="20"/>
      <c r="I948" s="20"/>
      <c r="J948" s="22"/>
      <c r="K948" s="22"/>
      <c r="L948" s="22"/>
      <c r="M948" s="22"/>
      <c r="N948" s="22"/>
    </row>
    <row r="949" ht="22.5" customHeight="1">
      <c r="A949" s="20"/>
      <c r="B949" s="21"/>
      <c r="C949" s="21"/>
      <c r="D949" s="22"/>
      <c r="E949" s="22"/>
      <c r="F949" s="22"/>
      <c r="G949" s="23"/>
      <c r="H949" s="20"/>
      <c r="I949" s="20"/>
      <c r="J949" s="22"/>
      <c r="K949" s="22"/>
      <c r="L949" s="22"/>
      <c r="M949" s="22"/>
      <c r="N949" s="22"/>
    </row>
    <row r="950" ht="22.5" customHeight="1">
      <c r="A950" s="20"/>
      <c r="B950" s="21"/>
      <c r="C950" s="21"/>
      <c r="D950" s="22"/>
      <c r="E950" s="22"/>
      <c r="F950" s="22"/>
      <c r="G950" s="23"/>
      <c r="H950" s="20"/>
      <c r="I950" s="20"/>
      <c r="J950" s="22"/>
      <c r="K950" s="22"/>
      <c r="L950" s="22"/>
      <c r="M950" s="22"/>
      <c r="N950" s="22"/>
    </row>
    <row r="951" ht="22.5" customHeight="1">
      <c r="A951" s="20"/>
      <c r="B951" s="21"/>
      <c r="C951" s="21"/>
      <c r="D951" s="22"/>
      <c r="E951" s="22"/>
      <c r="F951" s="22"/>
      <c r="G951" s="23"/>
      <c r="H951" s="20"/>
      <c r="I951" s="20"/>
      <c r="J951" s="22"/>
      <c r="K951" s="22"/>
      <c r="L951" s="22"/>
      <c r="M951" s="22"/>
      <c r="N951" s="22"/>
    </row>
    <row r="952" ht="22.5" customHeight="1">
      <c r="A952" s="20"/>
      <c r="B952" s="21"/>
      <c r="C952" s="21"/>
      <c r="D952" s="22"/>
      <c r="E952" s="22"/>
      <c r="F952" s="22"/>
      <c r="G952" s="23"/>
      <c r="H952" s="20"/>
      <c r="I952" s="20"/>
      <c r="J952" s="22"/>
      <c r="K952" s="22"/>
      <c r="L952" s="22"/>
      <c r="M952" s="22"/>
      <c r="N952" s="22"/>
    </row>
    <row r="953" ht="22.5" customHeight="1">
      <c r="A953" s="20"/>
      <c r="B953" s="21"/>
      <c r="C953" s="21"/>
      <c r="D953" s="22"/>
      <c r="E953" s="22"/>
      <c r="F953" s="22"/>
      <c r="G953" s="23"/>
      <c r="H953" s="20"/>
      <c r="I953" s="20"/>
      <c r="J953" s="22"/>
      <c r="K953" s="22"/>
      <c r="L953" s="22"/>
      <c r="M953" s="22"/>
      <c r="N953" s="22"/>
    </row>
    <row r="954" ht="22.5" customHeight="1">
      <c r="A954" s="20"/>
      <c r="B954" s="21"/>
      <c r="C954" s="21"/>
      <c r="D954" s="22"/>
      <c r="E954" s="22"/>
      <c r="F954" s="22"/>
      <c r="G954" s="23"/>
      <c r="H954" s="20"/>
      <c r="I954" s="20"/>
      <c r="J954" s="22"/>
      <c r="K954" s="22"/>
      <c r="L954" s="22"/>
      <c r="M954" s="22"/>
      <c r="N954" s="22"/>
    </row>
    <row r="955" ht="22.5" customHeight="1">
      <c r="A955" s="20"/>
      <c r="B955" s="21"/>
      <c r="C955" s="21"/>
      <c r="D955" s="22"/>
      <c r="E955" s="22"/>
      <c r="F955" s="22"/>
      <c r="G955" s="23"/>
      <c r="H955" s="20"/>
      <c r="I955" s="20"/>
      <c r="J955" s="22"/>
      <c r="K955" s="22"/>
      <c r="L955" s="22"/>
      <c r="M955" s="22"/>
      <c r="N955" s="22"/>
    </row>
    <row r="956" ht="22.5" customHeight="1">
      <c r="A956" s="20"/>
      <c r="B956" s="21"/>
      <c r="C956" s="21"/>
      <c r="D956" s="22"/>
      <c r="E956" s="22"/>
      <c r="F956" s="22"/>
      <c r="G956" s="23"/>
      <c r="H956" s="20"/>
      <c r="I956" s="20"/>
      <c r="J956" s="22"/>
      <c r="K956" s="22"/>
      <c r="L956" s="22"/>
      <c r="M956" s="22"/>
      <c r="N956" s="22"/>
    </row>
    <row r="957" ht="22.5" customHeight="1">
      <c r="A957" s="20"/>
      <c r="B957" s="21"/>
      <c r="C957" s="21"/>
      <c r="D957" s="22"/>
      <c r="E957" s="22"/>
      <c r="F957" s="22"/>
      <c r="G957" s="23"/>
      <c r="H957" s="20"/>
      <c r="I957" s="20"/>
      <c r="J957" s="22"/>
      <c r="K957" s="22"/>
      <c r="L957" s="22"/>
      <c r="M957" s="22"/>
      <c r="N957" s="22"/>
    </row>
    <row r="958" ht="22.5" customHeight="1">
      <c r="A958" s="20"/>
      <c r="B958" s="21"/>
      <c r="C958" s="21"/>
      <c r="D958" s="22"/>
      <c r="E958" s="22"/>
      <c r="F958" s="22"/>
      <c r="G958" s="23"/>
      <c r="H958" s="20"/>
      <c r="I958" s="20"/>
      <c r="J958" s="22"/>
      <c r="K958" s="22"/>
      <c r="L958" s="22"/>
      <c r="M958" s="22"/>
      <c r="N958" s="22"/>
    </row>
    <row r="959" ht="22.5" customHeight="1">
      <c r="A959" s="20"/>
      <c r="B959" s="21"/>
      <c r="C959" s="21"/>
      <c r="D959" s="22"/>
      <c r="E959" s="22"/>
      <c r="F959" s="22"/>
      <c r="G959" s="23"/>
      <c r="H959" s="20"/>
      <c r="I959" s="20"/>
      <c r="J959" s="22"/>
      <c r="K959" s="22"/>
      <c r="L959" s="22"/>
      <c r="M959" s="22"/>
      <c r="N959" s="22"/>
    </row>
    <row r="960" ht="22.5" customHeight="1">
      <c r="A960" s="20"/>
      <c r="B960" s="21"/>
      <c r="C960" s="21"/>
      <c r="D960" s="22"/>
      <c r="E960" s="22"/>
      <c r="F960" s="22"/>
      <c r="G960" s="23"/>
      <c r="H960" s="20"/>
      <c r="I960" s="20"/>
      <c r="J960" s="22"/>
      <c r="K960" s="22"/>
      <c r="L960" s="22"/>
      <c r="M960" s="22"/>
      <c r="N960" s="22"/>
    </row>
    <row r="961" ht="22.5" customHeight="1">
      <c r="A961" s="20"/>
      <c r="B961" s="21"/>
      <c r="C961" s="21"/>
      <c r="D961" s="22"/>
      <c r="E961" s="22"/>
      <c r="F961" s="22"/>
      <c r="G961" s="23"/>
      <c r="H961" s="20"/>
      <c r="I961" s="20"/>
      <c r="J961" s="22"/>
      <c r="K961" s="22"/>
      <c r="L961" s="22"/>
      <c r="M961" s="22"/>
      <c r="N961" s="22"/>
    </row>
    <row r="962" ht="22.5" customHeight="1">
      <c r="A962" s="20"/>
      <c r="B962" s="21"/>
      <c r="C962" s="21"/>
      <c r="D962" s="22"/>
      <c r="E962" s="22"/>
      <c r="F962" s="22"/>
      <c r="G962" s="23"/>
      <c r="H962" s="20"/>
      <c r="I962" s="20"/>
      <c r="J962" s="22"/>
      <c r="K962" s="22"/>
      <c r="L962" s="22"/>
      <c r="M962" s="22"/>
      <c r="N962" s="22"/>
    </row>
    <row r="963" ht="22.5" customHeight="1">
      <c r="A963" s="20"/>
      <c r="B963" s="21"/>
      <c r="C963" s="21"/>
      <c r="D963" s="22"/>
      <c r="E963" s="22"/>
      <c r="F963" s="22"/>
      <c r="G963" s="23"/>
      <c r="H963" s="20"/>
      <c r="I963" s="20"/>
      <c r="J963" s="22"/>
      <c r="K963" s="22"/>
      <c r="L963" s="22"/>
      <c r="M963" s="22"/>
      <c r="N963" s="22"/>
    </row>
    <row r="964" ht="22.5" customHeight="1">
      <c r="A964" s="20"/>
      <c r="B964" s="21"/>
      <c r="C964" s="21"/>
      <c r="D964" s="22"/>
      <c r="E964" s="22"/>
      <c r="F964" s="22"/>
      <c r="G964" s="23"/>
      <c r="H964" s="20"/>
      <c r="I964" s="20"/>
      <c r="J964" s="22"/>
      <c r="K964" s="22"/>
      <c r="L964" s="22"/>
      <c r="M964" s="22"/>
      <c r="N964" s="22"/>
    </row>
    <row r="965" ht="22.5" customHeight="1">
      <c r="A965" s="20"/>
      <c r="B965" s="21"/>
      <c r="C965" s="21"/>
      <c r="D965" s="22"/>
      <c r="E965" s="22"/>
      <c r="F965" s="22"/>
      <c r="G965" s="23"/>
      <c r="H965" s="20"/>
      <c r="I965" s="20"/>
      <c r="J965" s="22"/>
      <c r="K965" s="22"/>
      <c r="L965" s="22"/>
      <c r="M965" s="22"/>
      <c r="N965" s="22"/>
    </row>
    <row r="966" ht="22.5" customHeight="1">
      <c r="A966" s="20"/>
      <c r="B966" s="21"/>
      <c r="C966" s="21"/>
      <c r="D966" s="22"/>
      <c r="E966" s="22"/>
      <c r="F966" s="22"/>
      <c r="G966" s="23"/>
      <c r="H966" s="20"/>
      <c r="I966" s="20"/>
      <c r="J966" s="22"/>
      <c r="K966" s="22"/>
      <c r="L966" s="22"/>
      <c r="M966" s="22"/>
      <c r="N966" s="22"/>
    </row>
    <row r="967" ht="22.5" customHeight="1">
      <c r="A967" s="20"/>
      <c r="B967" s="21"/>
      <c r="C967" s="21"/>
      <c r="D967" s="22"/>
      <c r="E967" s="22"/>
      <c r="F967" s="22"/>
      <c r="G967" s="23"/>
      <c r="H967" s="20"/>
      <c r="I967" s="20"/>
      <c r="J967" s="22"/>
      <c r="K967" s="22"/>
      <c r="L967" s="22"/>
      <c r="M967" s="22"/>
      <c r="N967" s="22"/>
    </row>
    <row r="968" ht="22.5" customHeight="1">
      <c r="A968" s="20"/>
      <c r="B968" s="21"/>
      <c r="C968" s="21"/>
      <c r="D968" s="22"/>
      <c r="E968" s="22"/>
      <c r="F968" s="22"/>
      <c r="G968" s="23"/>
      <c r="H968" s="20"/>
      <c r="I968" s="20"/>
      <c r="J968" s="22"/>
      <c r="K968" s="22"/>
      <c r="L968" s="22"/>
      <c r="M968" s="22"/>
      <c r="N968" s="22"/>
    </row>
    <row r="969" ht="22.5" customHeight="1">
      <c r="A969" s="20"/>
      <c r="B969" s="21"/>
      <c r="C969" s="21"/>
      <c r="D969" s="22"/>
      <c r="E969" s="22"/>
      <c r="F969" s="22"/>
      <c r="G969" s="23"/>
      <c r="H969" s="20"/>
      <c r="I969" s="20"/>
      <c r="J969" s="22"/>
      <c r="K969" s="22"/>
      <c r="L969" s="22"/>
      <c r="M969" s="22"/>
      <c r="N969" s="22"/>
    </row>
    <row r="970" ht="22.5" customHeight="1">
      <c r="A970" s="20"/>
      <c r="B970" s="21"/>
      <c r="C970" s="21"/>
      <c r="D970" s="22"/>
      <c r="E970" s="22"/>
      <c r="F970" s="22"/>
      <c r="G970" s="23"/>
      <c r="H970" s="20"/>
      <c r="I970" s="20"/>
      <c r="J970" s="22"/>
      <c r="K970" s="22"/>
      <c r="L970" s="22"/>
      <c r="M970" s="22"/>
      <c r="N970" s="22"/>
    </row>
    <row r="971" ht="22.5" customHeight="1">
      <c r="A971" s="20"/>
      <c r="B971" s="21"/>
      <c r="C971" s="21"/>
      <c r="D971" s="22"/>
      <c r="E971" s="22"/>
      <c r="F971" s="22"/>
      <c r="G971" s="23"/>
      <c r="H971" s="20"/>
      <c r="I971" s="20"/>
      <c r="J971" s="22"/>
      <c r="K971" s="22"/>
      <c r="L971" s="22"/>
      <c r="M971" s="22"/>
      <c r="N971" s="22"/>
    </row>
    <row r="972" ht="22.5" customHeight="1">
      <c r="A972" s="20"/>
      <c r="B972" s="21"/>
      <c r="C972" s="21"/>
      <c r="D972" s="22"/>
      <c r="E972" s="22"/>
      <c r="F972" s="22"/>
      <c r="G972" s="23"/>
      <c r="H972" s="20"/>
      <c r="I972" s="20"/>
      <c r="J972" s="22"/>
      <c r="K972" s="22"/>
      <c r="L972" s="22"/>
      <c r="M972" s="22"/>
      <c r="N972" s="22"/>
    </row>
    <row r="973" ht="22.5" customHeight="1">
      <c r="A973" s="20"/>
      <c r="B973" s="21"/>
      <c r="C973" s="21"/>
      <c r="D973" s="22"/>
      <c r="E973" s="22"/>
      <c r="F973" s="22"/>
      <c r="G973" s="23"/>
      <c r="H973" s="20"/>
      <c r="I973" s="20"/>
      <c r="J973" s="22"/>
      <c r="K973" s="22"/>
      <c r="L973" s="22"/>
      <c r="M973" s="22"/>
      <c r="N973" s="22"/>
    </row>
    <row r="974" ht="22.5" customHeight="1">
      <c r="A974" s="20"/>
      <c r="B974" s="21"/>
      <c r="C974" s="21"/>
      <c r="D974" s="22"/>
      <c r="E974" s="22"/>
      <c r="F974" s="22"/>
      <c r="G974" s="23"/>
      <c r="H974" s="20"/>
      <c r="I974" s="20"/>
      <c r="J974" s="22"/>
      <c r="K974" s="22"/>
      <c r="L974" s="22"/>
      <c r="M974" s="22"/>
      <c r="N974" s="22"/>
    </row>
    <row r="975" ht="22.5" customHeight="1">
      <c r="A975" s="20"/>
      <c r="B975" s="21"/>
      <c r="C975" s="21"/>
      <c r="D975" s="22"/>
      <c r="E975" s="22"/>
      <c r="F975" s="22"/>
      <c r="G975" s="23"/>
      <c r="H975" s="20"/>
      <c r="I975" s="20"/>
      <c r="J975" s="22"/>
      <c r="K975" s="22"/>
      <c r="L975" s="22"/>
      <c r="M975" s="22"/>
      <c r="N975" s="22"/>
    </row>
    <row r="976" ht="22.5" customHeight="1">
      <c r="A976" s="20"/>
      <c r="B976" s="21"/>
      <c r="C976" s="21"/>
      <c r="D976" s="22"/>
      <c r="E976" s="22"/>
      <c r="F976" s="22"/>
      <c r="G976" s="23"/>
      <c r="H976" s="20"/>
      <c r="I976" s="20"/>
      <c r="J976" s="22"/>
      <c r="K976" s="22"/>
      <c r="L976" s="22"/>
      <c r="M976" s="22"/>
      <c r="N976" s="22"/>
    </row>
    <row r="977" ht="22.5" customHeight="1">
      <c r="A977" s="20"/>
      <c r="B977" s="21"/>
      <c r="C977" s="21"/>
      <c r="D977" s="22"/>
      <c r="E977" s="22"/>
      <c r="F977" s="22"/>
      <c r="G977" s="23"/>
      <c r="H977" s="20"/>
      <c r="I977" s="20"/>
      <c r="J977" s="22"/>
      <c r="K977" s="22"/>
      <c r="L977" s="22"/>
      <c r="M977" s="22"/>
      <c r="N977" s="22"/>
    </row>
    <row r="978" ht="22.5" customHeight="1">
      <c r="A978" s="20"/>
      <c r="B978" s="21"/>
      <c r="C978" s="21"/>
      <c r="D978" s="22"/>
      <c r="E978" s="22"/>
      <c r="F978" s="22"/>
      <c r="G978" s="23"/>
      <c r="H978" s="20"/>
      <c r="I978" s="20"/>
      <c r="J978" s="22"/>
      <c r="K978" s="22"/>
      <c r="L978" s="22"/>
      <c r="M978" s="22"/>
      <c r="N978" s="22"/>
    </row>
    <row r="979" ht="22.5" customHeight="1">
      <c r="A979" s="20"/>
      <c r="B979" s="21"/>
      <c r="C979" s="21"/>
      <c r="D979" s="22"/>
      <c r="E979" s="22"/>
      <c r="F979" s="22"/>
      <c r="G979" s="23"/>
      <c r="H979" s="20"/>
      <c r="I979" s="20"/>
      <c r="J979" s="22"/>
      <c r="K979" s="22"/>
      <c r="L979" s="22"/>
      <c r="M979" s="22"/>
      <c r="N979" s="22"/>
    </row>
    <row r="980" ht="22.5" customHeight="1">
      <c r="A980" s="20"/>
      <c r="B980" s="21"/>
      <c r="C980" s="21"/>
      <c r="D980" s="22"/>
      <c r="E980" s="22"/>
      <c r="F980" s="22"/>
      <c r="G980" s="23"/>
      <c r="H980" s="20"/>
      <c r="I980" s="20"/>
      <c r="J980" s="22"/>
      <c r="K980" s="22"/>
      <c r="L980" s="22"/>
      <c r="M980" s="22"/>
      <c r="N980" s="22"/>
    </row>
    <row r="981" ht="22.5" customHeight="1">
      <c r="A981" s="20"/>
      <c r="B981" s="21"/>
      <c r="C981" s="21"/>
      <c r="D981" s="22"/>
      <c r="E981" s="22"/>
      <c r="F981" s="22"/>
      <c r="G981" s="23"/>
      <c r="H981" s="20"/>
      <c r="I981" s="20"/>
      <c r="J981" s="22"/>
      <c r="K981" s="22"/>
      <c r="L981" s="22"/>
      <c r="M981" s="22"/>
      <c r="N981" s="22"/>
    </row>
    <row r="982" ht="22.5" customHeight="1">
      <c r="A982" s="20"/>
      <c r="B982" s="21"/>
      <c r="C982" s="21"/>
      <c r="D982" s="22"/>
      <c r="E982" s="22"/>
      <c r="F982" s="22"/>
      <c r="G982" s="23"/>
      <c r="H982" s="20"/>
      <c r="I982" s="20"/>
      <c r="J982" s="22"/>
      <c r="K982" s="22"/>
      <c r="L982" s="22"/>
      <c r="M982" s="22"/>
      <c r="N982" s="22"/>
    </row>
    <row r="983" ht="22.5" customHeight="1">
      <c r="A983" s="20"/>
      <c r="B983" s="21"/>
      <c r="C983" s="21"/>
      <c r="D983" s="22"/>
      <c r="E983" s="22"/>
      <c r="F983" s="22"/>
      <c r="G983" s="23"/>
      <c r="H983" s="20"/>
      <c r="I983" s="20"/>
      <c r="J983" s="22"/>
      <c r="K983" s="22"/>
      <c r="L983" s="22"/>
      <c r="M983" s="22"/>
      <c r="N983" s="22"/>
    </row>
    <row r="984" ht="22.5" customHeight="1">
      <c r="A984" s="20"/>
      <c r="B984" s="21"/>
      <c r="C984" s="21"/>
      <c r="D984" s="22"/>
      <c r="E984" s="22"/>
      <c r="F984" s="22"/>
      <c r="G984" s="23"/>
      <c r="H984" s="20"/>
      <c r="I984" s="20"/>
      <c r="J984" s="22"/>
      <c r="K984" s="22"/>
      <c r="L984" s="22"/>
      <c r="M984" s="22"/>
      <c r="N984" s="22"/>
    </row>
    <row r="985" ht="22.5" customHeight="1">
      <c r="A985" s="20"/>
      <c r="B985" s="21"/>
      <c r="C985" s="21"/>
      <c r="D985" s="22"/>
      <c r="E985" s="22"/>
      <c r="F985" s="22"/>
      <c r="G985" s="23"/>
      <c r="H985" s="20"/>
      <c r="I985" s="20"/>
      <c r="J985" s="22"/>
      <c r="K985" s="22"/>
      <c r="L985" s="22"/>
      <c r="M985" s="22"/>
      <c r="N985" s="22"/>
    </row>
    <row r="986" ht="22.5" customHeight="1">
      <c r="A986" s="20"/>
      <c r="B986" s="21"/>
      <c r="C986" s="21"/>
      <c r="D986" s="22"/>
      <c r="E986" s="22"/>
      <c r="F986" s="22"/>
      <c r="G986" s="23"/>
      <c r="H986" s="20"/>
      <c r="I986" s="20"/>
      <c r="J986" s="22"/>
      <c r="K986" s="22"/>
      <c r="L986" s="22"/>
      <c r="M986" s="22"/>
      <c r="N986" s="22"/>
    </row>
    <row r="987" ht="22.5" customHeight="1">
      <c r="A987" s="20"/>
      <c r="B987" s="21"/>
      <c r="C987" s="21"/>
      <c r="D987" s="22"/>
      <c r="E987" s="22"/>
      <c r="F987" s="22"/>
      <c r="G987" s="23"/>
      <c r="H987" s="20"/>
      <c r="I987" s="20"/>
      <c r="J987" s="22"/>
      <c r="K987" s="22"/>
      <c r="L987" s="22"/>
      <c r="M987" s="22"/>
      <c r="N987" s="22"/>
    </row>
    <row r="988" ht="22.5" customHeight="1">
      <c r="A988" s="20"/>
      <c r="B988" s="21"/>
      <c r="C988" s="21"/>
      <c r="D988" s="22"/>
      <c r="E988" s="22"/>
      <c r="F988" s="22"/>
      <c r="G988" s="23"/>
      <c r="H988" s="20"/>
      <c r="I988" s="20"/>
      <c r="J988" s="22"/>
      <c r="K988" s="22"/>
      <c r="L988" s="22"/>
      <c r="M988" s="22"/>
      <c r="N988" s="22"/>
    </row>
    <row r="989" ht="22.5" customHeight="1">
      <c r="A989" s="20"/>
      <c r="B989" s="21"/>
      <c r="C989" s="21"/>
      <c r="D989" s="22"/>
      <c r="E989" s="22"/>
      <c r="F989" s="22"/>
      <c r="G989" s="23"/>
      <c r="H989" s="20"/>
      <c r="I989" s="20"/>
      <c r="J989" s="22"/>
      <c r="K989" s="22"/>
      <c r="L989" s="22"/>
      <c r="M989" s="22"/>
      <c r="N989" s="22"/>
    </row>
    <row r="990" ht="22.5" customHeight="1">
      <c r="A990" s="20"/>
      <c r="B990" s="21"/>
      <c r="C990" s="21"/>
      <c r="D990" s="22"/>
      <c r="E990" s="22"/>
      <c r="F990" s="22"/>
      <c r="G990" s="23"/>
      <c r="H990" s="20"/>
      <c r="I990" s="20"/>
      <c r="J990" s="22"/>
      <c r="K990" s="22"/>
      <c r="L990" s="22"/>
      <c r="M990" s="22"/>
      <c r="N990" s="22"/>
    </row>
    <row r="991" ht="22.5" customHeight="1">
      <c r="A991" s="20"/>
      <c r="B991" s="21"/>
      <c r="C991" s="21"/>
      <c r="D991" s="22"/>
      <c r="E991" s="22"/>
      <c r="F991" s="22"/>
      <c r="G991" s="23"/>
      <c r="H991" s="20"/>
      <c r="I991" s="20"/>
      <c r="J991" s="22"/>
      <c r="K991" s="22"/>
      <c r="L991" s="22"/>
      <c r="M991" s="22"/>
      <c r="N991" s="22"/>
    </row>
    <row r="992" ht="22.5" customHeight="1">
      <c r="A992" s="20"/>
      <c r="B992" s="21"/>
      <c r="C992" s="21"/>
      <c r="D992" s="22"/>
      <c r="E992" s="22"/>
      <c r="F992" s="22"/>
      <c r="G992" s="23"/>
      <c r="H992" s="20"/>
      <c r="I992" s="20"/>
      <c r="J992" s="22"/>
      <c r="K992" s="22"/>
      <c r="L992" s="22"/>
      <c r="M992" s="22"/>
      <c r="N992" s="22"/>
    </row>
    <row r="993" ht="22.5" customHeight="1">
      <c r="A993" s="20"/>
      <c r="B993" s="21"/>
      <c r="C993" s="21"/>
      <c r="D993" s="22"/>
      <c r="E993" s="22"/>
      <c r="F993" s="22"/>
      <c r="G993" s="23"/>
      <c r="H993" s="20"/>
      <c r="I993" s="20"/>
      <c r="J993" s="22"/>
      <c r="K993" s="22"/>
      <c r="L993" s="22"/>
      <c r="M993" s="22"/>
      <c r="N993" s="22"/>
    </row>
    <row r="994" ht="22.5" customHeight="1">
      <c r="A994" s="20"/>
      <c r="B994" s="21"/>
      <c r="C994" s="21"/>
      <c r="D994" s="22"/>
      <c r="E994" s="22"/>
      <c r="F994" s="22"/>
      <c r="G994" s="23"/>
      <c r="H994" s="20"/>
      <c r="I994" s="20"/>
      <c r="J994" s="22"/>
      <c r="K994" s="22"/>
      <c r="L994" s="22"/>
      <c r="M994" s="22"/>
      <c r="N994" s="22"/>
    </row>
    <row r="995" ht="22.5" customHeight="1">
      <c r="A995" s="20"/>
      <c r="B995" s="21"/>
      <c r="C995" s="21"/>
      <c r="D995" s="22"/>
      <c r="E995" s="22"/>
      <c r="F995" s="22"/>
      <c r="G995" s="23"/>
      <c r="H995" s="20"/>
      <c r="I995" s="20"/>
      <c r="J995" s="22"/>
      <c r="K995" s="22"/>
      <c r="L995" s="22"/>
      <c r="M995" s="22"/>
      <c r="N995" s="22"/>
    </row>
    <row r="996" ht="22.5" customHeight="1">
      <c r="A996" s="20"/>
      <c r="B996" s="21"/>
      <c r="C996" s="21"/>
      <c r="D996" s="22"/>
      <c r="E996" s="22"/>
      <c r="F996" s="22"/>
      <c r="G996" s="23"/>
      <c r="H996" s="20"/>
      <c r="I996" s="20"/>
      <c r="J996" s="22"/>
      <c r="K996" s="22"/>
      <c r="L996" s="22"/>
      <c r="M996" s="22"/>
      <c r="N996" s="22"/>
    </row>
    <row r="997" ht="22.5" customHeight="1">
      <c r="A997" s="20"/>
      <c r="B997" s="21"/>
      <c r="C997" s="21"/>
      <c r="D997" s="22"/>
      <c r="E997" s="22"/>
      <c r="F997" s="22"/>
      <c r="G997" s="23"/>
      <c r="H997" s="20"/>
      <c r="I997" s="20"/>
      <c r="J997" s="22"/>
      <c r="K997" s="22"/>
      <c r="L997" s="22"/>
      <c r="M997" s="22"/>
      <c r="N997" s="22"/>
    </row>
    <row r="998" ht="22.5" customHeight="1">
      <c r="A998" s="20"/>
      <c r="B998" s="21"/>
      <c r="C998" s="21"/>
      <c r="D998" s="22"/>
      <c r="E998" s="22"/>
      <c r="F998" s="22"/>
      <c r="G998" s="23"/>
      <c r="H998" s="20"/>
      <c r="I998" s="20"/>
      <c r="J998" s="22"/>
      <c r="K998" s="22"/>
      <c r="L998" s="22"/>
      <c r="M998" s="22"/>
      <c r="N998" s="22"/>
    </row>
    <row r="999" ht="22.5" customHeight="1">
      <c r="A999" s="20"/>
      <c r="B999" s="21"/>
      <c r="C999" s="21"/>
      <c r="D999" s="22"/>
      <c r="E999" s="22"/>
      <c r="F999" s="22"/>
      <c r="G999" s="23"/>
      <c r="H999" s="20"/>
      <c r="I999" s="20"/>
      <c r="J999" s="22"/>
      <c r="K999" s="22"/>
      <c r="L999" s="22"/>
      <c r="M999" s="22"/>
      <c r="N999" s="22"/>
    </row>
    <row r="1000" ht="22.5" customHeight="1">
      <c r="A1000" s="20"/>
      <c r="B1000" s="21"/>
      <c r="C1000" s="21"/>
      <c r="D1000" s="22"/>
      <c r="E1000" s="22"/>
      <c r="F1000" s="22"/>
      <c r="G1000" s="23"/>
      <c r="H1000" s="20"/>
      <c r="I1000" s="20"/>
      <c r="J1000" s="22"/>
      <c r="K1000" s="22"/>
      <c r="L1000" s="22"/>
      <c r="M1000" s="22"/>
      <c r="N1000" s="22"/>
    </row>
  </sheetData>
  <dataValidations>
    <dataValidation type="list" allowBlank="1" sqref="I2:I1000">
      <formula1>"Portfolio Need,Opportunity"</formula1>
    </dataValidation>
    <dataValidation type="list" allowBlank="1" sqref="B2:B1000">
      <formula1>"Bullish,Neutral,Bearish"</formula1>
    </dataValidation>
    <dataValidation type="list" allowBlank="1" sqref="C2:C1000">
      <formula1>"Expanding,Neutral,Contracting"</formula1>
    </dataValidation>
    <dataValidation type="list" allowBlank="1" sqref="G2:G1000">
      <formula1>"Sufficient,Insufficient,Skewed"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2.88"/>
    <col customWidth="1" min="3" max="3" width="54.63"/>
    <col customWidth="1" min="4" max="4" width="65.13"/>
    <col customWidth="1" min="5" max="5" width="43.25"/>
  </cols>
  <sheetData>
    <row r="1" ht="22.5" customHeight="1">
      <c r="A1" s="1" t="s">
        <v>56</v>
      </c>
      <c r="B1" s="9" t="s">
        <v>57</v>
      </c>
      <c r="C1" s="24" t="s">
        <v>58</v>
      </c>
      <c r="D1" s="25" t="s">
        <v>59</v>
      </c>
      <c r="E1" s="25" t="s">
        <v>31</v>
      </c>
    </row>
    <row r="2" ht="22.5" customHeight="1">
      <c r="A2" s="26">
        <v>45968.0</v>
      </c>
      <c r="B2" s="14" t="s">
        <v>60</v>
      </c>
      <c r="C2" s="27"/>
      <c r="D2" s="27"/>
      <c r="E2" s="27"/>
    </row>
    <row r="3" ht="22.5" customHeight="1">
      <c r="A3" s="28"/>
      <c r="B3" s="29"/>
      <c r="C3" s="27"/>
      <c r="D3" s="27"/>
      <c r="E3" s="27"/>
    </row>
    <row r="4" ht="22.5" customHeight="1">
      <c r="A4" s="28"/>
      <c r="B4" s="29"/>
      <c r="C4" s="27"/>
      <c r="D4" s="27"/>
      <c r="E4" s="27"/>
    </row>
    <row r="5" ht="22.5" customHeight="1">
      <c r="A5" s="28"/>
      <c r="B5" s="29"/>
      <c r="C5" s="27"/>
      <c r="D5" s="27"/>
      <c r="E5" s="27"/>
    </row>
    <row r="6" ht="22.5" customHeight="1">
      <c r="A6" s="28"/>
      <c r="B6" s="29"/>
      <c r="C6" s="29"/>
      <c r="D6" s="29"/>
      <c r="E6" s="27"/>
    </row>
    <row r="7" ht="22.5" customHeight="1">
      <c r="A7" s="28"/>
      <c r="B7" s="29"/>
      <c r="C7" s="29"/>
      <c r="D7" s="29"/>
      <c r="E7" s="27"/>
    </row>
    <row r="8" ht="22.5" customHeight="1">
      <c r="A8" s="28"/>
      <c r="B8" s="29"/>
      <c r="C8" s="29"/>
      <c r="D8" s="29"/>
      <c r="E8" s="29"/>
    </row>
    <row r="9" ht="22.5" customHeight="1">
      <c r="A9" s="28"/>
      <c r="B9" s="29"/>
      <c r="C9" s="29"/>
      <c r="D9" s="29"/>
      <c r="E9" s="29"/>
    </row>
    <row r="10" ht="22.5" customHeight="1">
      <c r="A10" s="28"/>
      <c r="B10" s="29"/>
      <c r="C10" s="29"/>
      <c r="D10" s="29"/>
      <c r="E10" s="29"/>
    </row>
    <row r="11" ht="22.5" customHeight="1">
      <c r="A11" s="28"/>
      <c r="B11" s="29"/>
      <c r="C11" s="29"/>
      <c r="D11" s="29"/>
      <c r="E11" s="29"/>
    </row>
    <row r="12" ht="22.5" customHeight="1">
      <c r="A12" s="26"/>
      <c r="B12" s="14"/>
      <c r="C12" s="14"/>
    </row>
    <row r="13" ht="22.5" customHeight="1">
      <c r="A13" s="28"/>
      <c r="B13" s="29"/>
      <c r="C13" s="29"/>
      <c r="D13" s="30"/>
      <c r="E13" s="31"/>
    </row>
    <row r="14" ht="22.5" customHeight="1">
      <c r="A14" s="28"/>
      <c r="B14" s="29"/>
      <c r="C14" s="29"/>
      <c r="D14" s="30"/>
      <c r="E14" s="31"/>
    </row>
    <row r="15" ht="22.5" customHeight="1">
      <c r="A15" s="28"/>
      <c r="B15" s="29"/>
      <c r="C15" s="29"/>
      <c r="D15" s="30"/>
      <c r="E15" s="31"/>
    </row>
    <row r="16" ht="22.5" customHeight="1">
      <c r="A16" s="28"/>
      <c r="B16" s="29"/>
      <c r="C16" s="29"/>
      <c r="D16" s="30"/>
      <c r="E16" s="31"/>
    </row>
    <row r="17" ht="22.5" customHeight="1">
      <c r="A17" s="28"/>
      <c r="B17" s="29"/>
      <c r="C17" s="29"/>
      <c r="D17" s="30"/>
      <c r="E17" s="31"/>
    </row>
    <row r="18" ht="22.5" customHeight="1">
      <c r="A18" s="28"/>
      <c r="B18" s="29"/>
      <c r="C18" s="29"/>
      <c r="D18" s="30"/>
      <c r="E18" s="31"/>
    </row>
    <row r="19" ht="22.5" customHeight="1">
      <c r="A19" s="28"/>
      <c r="B19" s="29"/>
      <c r="C19" s="29"/>
      <c r="D19" s="30"/>
      <c r="E19" s="31"/>
    </row>
    <row r="20" ht="22.5" customHeight="1">
      <c r="A20" s="28"/>
      <c r="B20" s="29"/>
      <c r="C20" s="29"/>
      <c r="D20" s="30"/>
      <c r="E20" s="31"/>
    </row>
    <row r="21" ht="22.5" customHeight="1">
      <c r="A21" s="28"/>
      <c r="B21" s="29"/>
      <c r="C21" s="29"/>
      <c r="D21" s="30"/>
      <c r="E21" s="31"/>
    </row>
    <row r="22" ht="22.5" customHeight="1">
      <c r="A22" s="28"/>
      <c r="B22" s="29"/>
      <c r="C22" s="29"/>
      <c r="D22" s="30"/>
      <c r="E22" s="31"/>
    </row>
    <row r="23" ht="22.5" customHeight="1">
      <c r="A23" s="28"/>
      <c r="B23" s="29"/>
      <c r="C23" s="29"/>
      <c r="D23" s="30"/>
      <c r="E23" s="31"/>
    </row>
    <row r="24">
      <c r="B24" s="32"/>
    </row>
    <row r="25">
      <c r="B25" s="32"/>
    </row>
    <row r="26">
      <c r="B26" s="32"/>
    </row>
    <row r="27">
      <c r="B27" s="32"/>
    </row>
    <row r="28">
      <c r="B28" s="32"/>
    </row>
    <row r="29">
      <c r="B29" s="32"/>
    </row>
    <row r="30">
      <c r="B30" s="32"/>
    </row>
    <row r="31">
      <c r="B31" s="32"/>
    </row>
    <row r="32">
      <c r="B32" s="32"/>
    </row>
    <row r="33">
      <c r="B33" s="32"/>
    </row>
    <row r="34">
      <c r="B34" s="32"/>
    </row>
    <row r="35">
      <c r="B35" s="32"/>
    </row>
    <row r="36">
      <c r="B36" s="32"/>
    </row>
    <row r="37">
      <c r="B37" s="32"/>
    </row>
    <row r="38">
      <c r="B38" s="32"/>
    </row>
    <row r="39">
      <c r="B39" s="32"/>
    </row>
    <row r="40">
      <c r="B40" s="32"/>
    </row>
    <row r="41">
      <c r="B41" s="32"/>
    </row>
    <row r="42">
      <c r="B42" s="32"/>
    </row>
    <row r="43">
      <c r="B43" s="32"/>
    </row>
    <row r="44">
      <c r="B44" s="32"/>
    </row>
    <row r="45">
      <c r="B45" s="32"/>
    </row>
    <row r="46">
      <c r="B46" s="32"/>
    </row>
    <row r="47">
      <c r="B47" s="32"/>
    </row>
    <row r="48">
      <c r="B48" s="32"/>
    </row>
    <row r="49">
      <c r="B49" s="32"/>
    </row>
    <row r="50">
      <c r="B50" s="32"/>
    </row>
    <row r="51">
      <c r="B51" s="32"/>
    </row>
    <row r="52">
      <c r="B52" s="32"/>
    </row>
    <row r="53">
      <c r="B53" s="32"/>
    </row>
    <row r="54">
      <c r="B54" s="32"/>
    </row>
    <row r="55">
      <c r="B55" s="32"/>
    </row>
    <row r="56">
      <c r="B56" s="32"/>
    </row>
    <row r="57">
      <c r="B57" s="32"/>
    </row>
    <row r="58">
      <c r="B58" s="32"/>
    </row>
    <row r="59">
      <c r="B59" s="32"/>
    </row>
    <row r="60">
      <c r="B60" s="32"/>
    </row>
    <row r="61">
      <c r="B61" s="32"/>
    </row>
    <row r="62">
      <c r="B62" s="32"/>
    </row>
    <row r="63">
      <c r="B63" s="32"/>
    </row>
    <row r="64">
      <c r="B64" s="32"/>
    </row>
    <row r="65">
      <c r="B65" s="32"/>
    </row>
    <row r="66">
      <c r="B66" s="32"/>
    </row>
    <row r="67">
      <c r="B67" s="32"/>
    </row>
    <row r="68">
      <c r="B68" s="32"/>
    </row>
    <row r="69">
      <c r="B69" s="32"/>
    </row>
    <row r="70">
      <c r="B70" s="32"/>
    </row>
    <row r="71">
      <c r="B71" s="32"/>
    </row>
    <row r="72">
      <c r="B72" s="32"/>
    </row>
    <row r="73">
      <c r="B73" s="32"/>
    </row>
    <row r="74">
      <c r="B74" s="32"/>
    </row>
    <row r="75">
      <c r="B75" s="32"/>
    </row>
    <row r="76">
      <c r="B76" s="32"/>
    </row>
    <row r="77">
      <c r="B77" s="32"/>
    </row>
    <row r="78">
      <c r="B78" s="32"/>
    </row>
    <row r="79">
      <c r="B79" s="32"/>
    </row>
    <row r="80">
      <c r="B80" s="32"/>
    </row>
    <row r="81">
      <c r="B81" s="32"/>
    </row>
    <row r="82">
      <c r="B82" s="32"/>
    </row>
    <row r="83">
      <c r="B83" s="32"/>
    </row>
    <row r="84">
      <c r="B84" s="32"/>
    </row>
    <row r="85">
      <c r="B85" s="32"/>
    </row>
    <row r="86">
      <c r="B86" s="32"/>
    </row>
    <row r="87">
      <c r="B87" s="32"/>
    </row>
    <row r="88">
      <c r="B88" s="32"/>
    </row>
    <row r="89">
      <c r="B89" s="32"/>
    </row>
    <row r="90">
      <c r="B90" s="32"/>
    </row>
    <row r="91">
      <c r="B91" s="32"/>
    </row>
    <row r="92">
      <c r="B92" s="32"/>
    </row>
    <row r="93">
      <c r="B93" s="32"/>
    </row>
    <row r="94">
      <c r="B94" s="32"/>
    </row>
    <row r="95">
      <c r="B95" s="32"/>
    </row>
    <row r="96">
      <c r="B96" s="32"/>
    </row>
    <row r="97">
      <c r="B97" s="32"/>
    </row>
    <row r="98">
      <c r="B98" s="32"/>
    </row>
    <row r="99">
      <c r="B99" s="32"/>
    </row>
    <row r="100">
      <c r="B100" s="32"/>
    </row>
    <row r="101">
      <c r="B101" s="32"/>
    </row>
    <row r="102">
      <c r="B102" s="32"/>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dataValidations>
    <dataValidation type="custom" allowBlank="1" showDropDown="1" sqref="A2:A23">
      <formula1>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88"/>
    <col customWidth="1" min="3" max="4" width="15.13"/>
    <col customWidth="1" min="9" max="9" width="15.13"/>
  </cols>
  <sheetData>
    <row r="1" ht="21.75" customHeight="1">
      <c r="A1" s="1" t="s">
        <v>20</v>
      </c>
      <c r="B1" s="1" t="s">
        <v>61</v>
      </c>
      <c r="C1" s="1" t="s">
        <v>62</v>
      </c>
      <c r="D1" s="1" t="s">
        <v>63</v>
      </c>
      <c r="E1" s="1" t="s">
        <v>64</v>
      </c>
      <c r="F1" s="33" t="s">
        <v>65</v>
      </c>
      <c r="G1" s="34"/>
      <c r="H1" s="34"/>
      <c r="I1" s="1" t="s">
        <v>66</v>
      </c>
      <c r="J1" s="1" t="s">
        <v>67</v>
      </c>
      <c r="K1" s="1" t="s">
        <v>68</v>
      </c>
      <c r="L1" s="1" t="s">
        <v>69</v>
      </c>
      <c r="M1" s="1" t="s">
        <v>70</v>
      </c>
      <c r="N1" s="35" t="s">
        <v>71</v>
      </c>
      <c r="O1" s="1" t="s">
        <v>72</v>
      </c>
      <c r="P1" s="36" t="s">
        <v>73</v>
      </c>
      <c r="Q1" s="36" t="s">
        <v>74</v>
      </c>
      <c r="R1" s="36" t="s">
        <v>75</v>
      </c>
      <c r="S1" s="37" t="s">
        <v>76</v>
      </c>
      <c r="T1" s="38" t="s">
        <v>77</v>
      </c>
      <c r="U1" s="38" t="s">
        <v>78</v>
      </c>
      <c r="V1" s="39" t="s">
        <v>79</v>
      </c>
      <c r="W1" s="40" t="s">
        <v>80</v>
      </c>
    </row>
    <row r="2" ht="25.5" customHeight="1">
      <c r="A2" s="41">
        <v>46020.0</v>
      </c>
      <c r="B2" s="42">
        <v>55038.0</v>
      </c>
      <c r="C2" s="43">
        <v>5370.0</v>
      </c>
      <c r="D2" s="42">
        <v>47716.0</v>
      </c>
      <c r="E2" s="43">
        <v>398107.0</v>
      </c>
      <c r="F2" s="44">
        <f t="shared" ref="F2:F33" si="1">C2*100/B2</f>
        <v>9.756895236</v>
      </c>
      <c r="G2" s="34"/>
      <c r="H2" s="34"/>
      <c r="I2" s="45">
        <f>SUM(OptionInstruments[Pnl])+SUM(StockTrades[PnL])</f>
        <v>-1735.977</v>
      </c>
      <c r="J2" s="45">
        <f>SUM(OptionInstruments[UnrPnL])</f>
        <v>370.993</v>
      </c>
      <c r="K2" s="46">
        <f>(AVERAGE(OptionInstruments[UnrPnL%])+AVERAGE(StockInstruments[UnrPnL%]))/2</f>
        <v>-0.4476315789</v>
      </c>
      <c r="L2" s="45">
        <f>SUM(OptionInstruments[RealizedPnL])+SUM(StockInstruments[RelizedPnL])</f>
        <v>-2094.57</v>
      </c>
      <c r="M2" s="46">
        <f>AVERAGE(OptionInstruments[RelizedPnL%])</f>
        <v>1.652046784</v>
      </c>
      <c r="N2" s="47">
        <f>SUM(OptionInstruments[Delta])</f>
        <v>3.81235739</v>
      </c>
      <c r="O2" s="46">
        <f>SUM(OptionInstruments[Theta])</f>
        <v>3.17693562</v>
      </c>
      <c r="P2" s="46">
        <f>SUM(OptionInstruments[Vega])</f>
        <v>33.67433785</v>
      </c>
      <c r="Q2" s="46">
        <f>SUM(OptionInstruments[Gamma])</f>
        <v>2.85233598</v>
      </c>
      <c r="R2" s="46">
        <f>AVERAGE(OptionInstruments[AVG IV])</f>
        <v>56.85170068</v>
      </c>
      <c r="S2" s="48">
        <f>SUM(OptionInstruments[Margin])</f>
        <v>154946.56</v>
      </c>
      <c r="T2" s="46">
        <f>AVERAGE(OptionInstruments[Duration%])</f>
        <v>-45107.82783</v>
      </c>
      <c r="U2" s="49">
        <f>AVERAGE(OptionInstruments[PnL%/Duration%])</f>
        <v>1067.196448</v>
      </c>
      <c r="V2" s="50"/>
      <c r="W2" s="50">
        <f>SUM(OptionInstruments[Commisions])*2</f>
        <v>1578.716</v>
      </c>
    </row>
    <row r="3" ht="25.5" customHeight="1">
      <c r="A3" s="26">
        <v>46029.0</v>
      </c>
      <c r="B3" s="15">
        <v>55181.0</v>
      </c>
      <c r="C3" s="15">
        <v>10644.0</v>
      </c>
      <c r="D3" s="15">
        <v>41970.0</v>
      </c>
      <c r="E3" s="15">
        <v>359803.0</v>
      </c>
      <c r="F3" s="44">
        <f t="shared" si="1"/>
        <v>19.28924811</v>
      </c>
      <c r="G3" s="34"/>
      <c r="H3" s="34"/>
      <c r="I3" s="51"/>
      <c r="J3" s="51"/>
    </row>
    <row r="4" ht="22.5" customHeight="1">
      <c r="A4" s="26">
        <v>46030.0</v>
      </c>
      <c r="B4" s="15">
        <v>55071.0</v>
      </c>
      <c r="C4" s="15">
        <v>11835.0</v>
      </c>
      <c r="D4" s="15">
        <v>40573.0</v>
      </c>
      <c r="E4" s="15">
        <v>350489.0</v>
      </c>
      <c r="F4" s="44">
        <f t="shared" si="1"/>
        <v>21.49043961</v>
      </c>
    </row>
    <row r="5" ht="22.5" customHeight="1">
      <c r="A5" s="26">
        <v>46034.0</v>
      </c>
      <c r="B5" s="15">
        <v>55029.0</v>
      </c>
      <c r="C5" s="15">
        <v>12559.0</v>
      </c>
      <c r="D5" s="15">
        <v>39620.0</v>
      </c>
      <c r="E5" s="15">
        <v>344133.0</v>
      </c>
      <c r="F5" s="44">
        <f t="shared" si="1"/>
        <v>22.82251177</v>
      </c>
    </row>
    <row r="6" ht="22.5" customHeight="1">
      <c r="A6" s="26">
        <v>46036.0</v>
      </c>
      <c r="B6" s="15">
        <v>54544.0</v>
      </c>
      <c r="C6" s="15">
        <v>15483.0</v>
      </c>
      <c r="D6" s="15">
        <v>35947.0</v>
      </c>
      <c r="E6" s="15">
        <v>319645.0</v>
      </c>
      <c r="F6" s="44">
        <f t="shared" si="1"/>
        <v>28.38625697</v>
      </c>
    </row>
    <row r="7" ht="22.5" customHeight="1">
      <c r="A7" s="26">
        <v>46036.0</v>
      </c>
      <c r="B7" s="15">
        <v>54160.0</v>
      </c>
      <c r="C7" s="15">
        <v>11872.0</v>
      </c>
      <c r="D7" s="15">
        <v>39261.0</v>
      </c>
      <c r="E7" s="15">
        <v>341739.0</v>
      </c>
      <c r="F7" s="44">
        <f t="shared" si="1"/>
        <v>21.92023634</v>
      </c>
    </row>
    <row r="8" ht="22.5" customHeight="1">
      <c r="A8" s="26">
        <v>46039.0</v>
      </c>
      <c r="B8" s="15">
        <v>54223.0</v>
      </c>
      <c r="C8" s="15">
        <v>12949.0</v>
      </c>
      <c r="D8" s="15">
        <v>37566.0</v>
      </c>
      <c r="E8" s="15">
        <v>330441.0</v>
      </c>
      <c r="F8" s="44">
        <f t="shared" si="1"/>
        <v>23.8810099</v>
      </c>
    </row>
    <row r="9" ht="22.5" customHeight="1">
      <c r="A9" s="26">
        <v>46042.0</v>
      </c>
      <c r="B9" s="15">
        <v>54044.0</v>
      </c>
      <c r="C9" s="15">
        <v>12915.0</v>
      </c>
      <c r="D9" s="15">
        <v>37452.0</v>
      </c>
      <c r="E9" s="15">
        <v>249681.0</v>
      </c>
      <c r="F9" s="44">
        <f t="shared" si="1"/>
        <v>23.89719488</v>
      </c>
    </row>
    <row r="10" ht="22.5" customHeight="1">
      <c r="A10" s="26">
        <v>46044.0</v>
      </c>
      <c r="B10" s="15">
        <v>54385.0</v>
      </c>
      <c r="C10" s="15">
        <v>13396.0</v>
      </c>
      <c r="D10" s="15">
        <v>37200.0</v>
      </c>
      <c r="E10" s="15">
        <v>248000.0</v>
      </c>
      <c r="F10" s="44">
        <f t="shared" si="1"/>
        <v>24.63179185</v>
      </c>
    </row>
    <row r="11" ht="22.5" customHeight="1">
      <c r="A11" s="26">
        <v>46044.0</v>
      </c>
      <c r="B11" s="15">
        <v>54575.0</v>
      </c>
      <c r="C11" s="15">
        <v>13559.0</v>
      </c>
      <c r="D11" s="15">
        <v>37170.0</v>
      </c>
      <c r="E11" s="15">
        <v>247802.0</v>
      </c>
      <c r="F11" s="44">
        <f t="shared" si="1"/>
        <v>24.84470912</v>
      </c>
    </row>
    <row r="12" ht="22.5" customHeight="1">
      <c r="A12" s="26">
        <v>46045.0</v>
      </c>
      <c r="B12" s="15">
        <v>54577.0</v>
      </c>
      <c r="C12" s="15">
        <v>13387.0</v>
      </c>
      <c r="D12" s="15">
        <v>38469.0</v>
      </c>
      <c r="E12" s="15">
        <v>256460.0</v>
      </c>
      <c r="F12" s="44">
        <f t="shared" si="1"/>
        <v>24.5286476</v>
      </c>
    </row>
    <row r="13" ht="22.5" customHeight="1">
      <c r="A13" s="26">
        <v>46050.0</v>
      </c>
      <c r="B13" s="15">
        <v>54614.0</v>
      </c>
      <c r="C13" s="15">
        <v>13417.0</v>
      </c>
      <c r="D13" s="15">
        <v>39004.0</v>
      </c>
      <c r="E13" s="15">
        <v>260029.0</v>
      </c>
      <c r="F13" s="44">
        <f t="shared" si="1"/>
        <v>24.56696085</v>
      </c>
    </row>
    <row r="14" ht="22.5" customHeight="1">
      <c r="A14" s="26">
        <v>46052.0</v>
      </c>
      <c r="B14" s="15">
        <v>53690.0</v>
      </c>
      <c r="C14" s="15">
        <v>26070.0</v>
      </c>
      <c r="D14" s="15">
        <v>23723.0</v>
      </c>
      <c r="E14" s="15">
        <v>158151.0</v>
      </c>
      <c r="F14" s="44">
        <f t="shared" si="1"/>
        <v>48.55652822</v>
      </c>
    </row>
    <row r="15" ht="22.5" customHeight="1">
      <c r="A15" s="26">
        <v>46055.0</v>
      </c>
      <c r="B15" s="15">
        <v>54499.0</v>
      </c>
      <c r="C15" s="15">
        <v>27514.0</v>
      </c>
      <c r="D15" s="15">
        <v>22617.0</v>
      </c>
      <c r="E15" s="15">
        <v>150780.0</v>
      </c>
      <c r="F15" s="44">
        <f t="shared" si="1"/>
        <v>50.48533001</v>
      </c>
    </row>
    <row r="16" ht="22.5" customHeight="1">
      <c r="A16" s="26">
        <v>46056.0</v>
      </c>
      <c r="B16" s="15">
        <v>54161.0</v>
      </c>
      <c r="C16" s="15">
        <v>28551.0</v>
      </c>
      <c r="D16" s="15">
        <v>21442.0</v>
      </c>
      <c r="E16" s="15">
        <v>142943.0</v>
      </c>
      <c r="F16" s="44">
        <f t="shared" si="1"/>
        <v>52.71505327</v>
      </c>
    </row>
    <row r="17" ht="22.5" customHeight="1">
      <c r="A17" s="26">
        <v>46058.0</v>
      </c>
      <c r="B17" s="15">
        <v>51533.0</v>
      </c>
      <c r="C17" s="15">
        <v>32490.0</v>
      </c>
      <c r="D17" s="15">
        <v>14604.0</v>
      </c>
      <c r="E17" s="15">
        <v>97361.0</v>
      </c>
      <c r="F17" s="44">
        <f t="shared" si="1"/>
        <v>63.04697961</v>
      </c>
    </row>
    <row r="18" ht="22.5" customHeight="1">
      <c r="A18" s="26">
        <v>46059.0</v>
      </c>
      <c r="B18" s="15">
        <v>53590.0</v>
      </c>
      <c r="C18" s="15">
        <v>25992.0</v>
      </c>
      <c r="D18" s="15">
        <v>23955.0</v>
      </c>
      <c r="E18" s="15">
        <v>159703.0</v>
      </c>
      <c r="F18" s="44">
        <f t="shared" si="1"/>
        <v>48.50158612</v>
      </c>
    </row>
    <row r="19" ht="22.5" customHeight="1">
      <c r="A19" s="26">
        <v>46063.0</v>
      </c>
      <c r="B19" s="15">
        <v>53941.0</v>
      </c>
      <c r="C19" s="15">
        <v>13678.0</v>
      </c>
      <c r="D19" s="15">
        <v>37804.0</v>
      </c>
      <c r="E19" s="15">
        <v>252026.0</v>
      </c>
      <c r="F19" s="44">
        <f t="shared" si="1"/>
        <v>25.35733487</v>
      </c>
    </row>
    <row r="20" ht="22.5" customHeight="1">
      <c r="A20" s="26">
        <v>46064.0</v>
      </c>
      <c r="B20" s="15">
        <v>54361.0</v>
      </c>
      <c r="C20" s="15">
        <v>16562.0</v>
      </c>
      <c r="D20" s="15">
        <v>35102.0</v>
      </c>
      <c r="E20" s="15">
        <v>234011.0</v>
      </c>
      <c r="F20" s="44">
        <f t="shared" si="1"/>
        <v>30.46669487</v>
      </c>
    </row>
    <row r="21" ht="22.5" customHeight="1">
      <c r="A21" s="26">
        <v>46065.0</v>
      </c>
      <c r="B21" s="15">
        <v>53471.0</v>
      </c>
      <c r="C21" s="15">
        <v>22404.0</v>
      </c>
      <c r="D21" s="15">
        <v>27875.0</v>
      </c>
      <c r="E21" s="15">
        <v>185830.0</v>
      </c>
      <c r="F21" s="44">
        <f t="shared" si="1"/>
        <v>41.89934731</v>
      </c>
    </row>
    <row r="22" ht="22.5" customHeight="1">
      <c r="A22" s="26">
        <v>46066.0</v>
      </c>
      <c r="B22" s="15">
        <v>53717.0</v>
      </c>
      <c r="C22" s="15">
        <v>22602.0</v>
      </c>
      <c r="D22" s="15">
        <v>27998.0</v>
      </c>
      <c r="E22" s="15">
        <v>186656.0</v>
      </c>
      <c r="F22" s="44">
        <f t="shared" si="1"/>
        <v>42.07606531</v>
      </c>
    </row>
    <row r="23" ht="22.5" customHeight="1">
      <c r="A23" s="26">
        <v>46076.0</v>
      </c>
      <c r="B23" s="15">
        <v>54254.0</v>
      </c>
      <c r="C23" s="15">
        <v>22321.0</v>
      </c>
      <c r="D23" s="15">
        <v>28733.0</v>
      </c>
      <c r="E23" s="15">
        <v>191551.0</v>
      </c>
      <c r="F23" s="44">
        <f t="shared" si="1"/>
        <v>41.14166697</v>
      </c>
    </row>
    <row r="24" ht="22.5" customHeight="1">
      <c r="A24" s="26">
        <v>46077.0</v>
      </c>
      <c r="B24" s="15">
        <v>54535.0</v>
      </c>
      <c r="C24" s="15">
        <v>20464.0</v>
      </c>
      <c r="D24" s="15">
        <v>31011.0</v>
      </c>
      <c r="E24" s="15">
        <v>206742.0</v>
      </c>
      <c r="F24" s="44">
        <f t="shared" si="1"/>
        <v>37.52452553</v>
      </c>
      <c r="I24" s="52" t="s">
        <v>81</v>
      </c>
      <c r="J24" s="52" t="s">
        <v>82</v>
      </c>
    </row>
    <row r="25" ht="22.5" customHeight="1">
      <c r="A25" s="26">
        <v>46078.0</v>
      </c>
      <c r="B25" s="15">
        <v>54860.0</v>
      </c>
      <c r="C25" s="15">
        <v>19936.0</v>
      </c>
      <c r="D25" s="15">
        <v>31760.0</v>
      </c>
      <c r="E25" s="15">
        <v>211734.0</v>
      </c>
      <c r="F25" s="44">
        <f t="shared" si="1"/>
        <v>36.33977397</v>
      </c>
      <c r="I25" s="53" t="str">
        <f>IFERROR(__xludf.DUMMYFUNCTION("FILTER(OptionPositionsLog!B18:B1000, COUNTIF(OptionPositions!B2:B1000, OptionPositionsLog!B18:B1000) = 0)"),"")</f>
        <v/>
      </c>
      <c r="J25" s="54" t="str">
        <f>IFERROR(__xludf.DUMMYFUNCTION("FILTER(TradeLog!A2:A1000, COUNTIF(OptionInstruments!A2:A1000, TradeLog!A2:A1000)+COUNTIF(StockInstruments!A2:A1000, TradeLog!A2:A1000) = 0)"),"DIS")</f>
        <v>DIS</v>
      </c>
      <c r="N25" s="52"/>
    </row>
    <row r="26" ht="22.5" customHeight="1">
      <c r="A26" s="26">
        <v>46080.0</v>
      </c>
      <c r="B26" s="15">
        <v>55100.0</v>
      </c>
      <c r="C26" s="15">
        <v>19896.0</v>
      </c>
      <c r="D26" s="15">
        <v>32201.0</v>
      </c>
      <c r="E26" s="15">
        <v>214673.0</v>
      </c>
      <c r="F26" s="44">
        <f t="shared" si="1"/>
        <v>36.10889292</v>
      </c>
      <c r="I26" s="55"/>
      <c r="J26" s="56" t="str">
        <f>IFERROR(__xludf.DUMMYFUNCTION("""COMPUTED_VALUE"""),"VRT")</f>
        <v>VRT</v>
      </c>
    </row>
    <row r="27" ht="22.5" customHeight="1">
      <c r="A27" s="26">
        <v>46083.0</v>
      </c>
      <c r="B27" s="15">
        <v>55139.0</v>
      </c>
      <c r="C27" s="15">
        <v>20596.0</v>
      </c>
      <c r="D27" s="15">
        <v>31491.0</v>
      </c>
      <c r="E27" s="15">
        <v>209941.0</v>
      </c>
      <c r="F27" s="44">
        <f t="shared" si="1"/>
        <v>37.35287183</v>
      </c>
      <c r="I27" s="55"/>
      <c r="J27" s="56" t="str">
        <f>IFERROR(__xludf.DUMMYFUNCTION("""COMPUTED_VALUE"""),"RGNX")</f>
        <v>RGNX</v>
      </c>
    </row>
    <row r="28" ht="22.5" customHeight="1">
      <c r="A28" s="26">
        <v>46084.0</v>
      </c>
      <c r="B28" s="15">
        <v>53073.0</v>
      </c>
      <c r="C28" s="15">
        <v>26313.0</v>
      </c>
      <c r="D28" s="15">
        <v>22928.0</v>
      </c>
      <c r="E28" s="15">
        <v>152854.0</v>
      </c>
      <c r="F28" s="44">
        <f t="shared" si="1"/>
        <v>49.57888192</v>
      </c>
      <c r="I28" s="55"/>
      <c r="J28" s="56" t="str">
        <f>IFERROR(__xludf.DUMMYFUNCTION("""COMPUTED_VALUE"""),"DFTX")</f>
        <v>DFTX</v>
      </c>
    </row>
    <row r="29" ht="22.5" customHeight="1">
      <c r="A29" s="26">
        <v>46085.0</v>
      </c>
      <c r="B29" s="15">
        <v>54246.0</v>
      </c>
      <c r="C29" s="15">
        <v>26816.0</v>
      </c>
      <c r="D29" s="15">
        <v>23313.0</v>
      </c>
      <c r="E29" s="15">
        <v>155422.0</v>
      </c>
      <c r="F29" s="44">
        <f t="shared" si="1"/>
        <v>49.43405965</v>
      </c>
      <c r="I29" s="55"/>
      <c r="J29" s="56" t="str">
        <f>IFERROR(__xludf.DUMMYFUNCTION("""COMPUTED_VALUE"""),"CBZ")</f>
        <v>CBZ</v>
      </c>
    </row>
    <row r="30" ht="22.5" customHeight="1">
      <c r="A30" s="26">
        <v>46087.0</v>
      </c>
      <c r="B30" s="15">
        <v>52288.0</v>
      </c>
      <c r="C30" s="15">
        <v>27177.0</v>
      </c>
      <c r="D30" s="15">
        <v>21289.0</v>
      </c>
      <c r="E30" s="15">
        <v>141924.0</v>
      </c>
      <c r="F30" s="44">
        <f t="shared" si="1"/>
        <v>51.9755967</v>
      </c>
      <c r="I30" s="55"/>
      <c r="J30" s="56" t="str">
        <f>IFERROR(__xludf.DUMMYFUNCTION("""COMPUTED_VALUE"""),"PURR")</f>
        <v>PURR</v>
      </c>
    </row>
    <row r="31" ht="22.5" customHeight="1">
      <c r="A31" s="26">
        <v>46090.0</v>
      </c>
      <c r="B31" s="15">
        <v>53144.0</v>
      </c>
      <c r="C31" s="15">
        <v>26465.0</v>
      </c>
      <c r="D31" s="15">
        <v>22814.0</v>
      </c>
      <c r="E31" s="15">
        <v>152091.0</v>
      </c>
      <c r="F31" s="44">
        <f t="shared" si="1"/>
        <v>49.79866024</v>
      </c>
      <c r="I31" s="55"/>
      <c r="J31" s="56" t="str">
        <f>IFERROR(__xludf.DUMMYFUNCTION("""COMPUTED_VALUE"""),"XXI")</f>
        <v>XXI</v>
      </c>
    </row>
    <row r="32" ht="22.5" customHeight="1">
      <c r="A32" s="26">
        <v>46091.0</v>
      </c>
      <c r="B32" s="15">
        <v>53708.0</v>
      </c>
      <c r="C32" s="15">
        <v>23123.0</v>
      </c>
      <c r="D32" s="15">
        <v>26893.0</v>
      </c>
      <c r="E32" s="15">
        <v>179288.0</v>
      </c>
      <c r="F32" s="44">
        <f t="shared" si="1"/>
        <v>43.05317644</v>
      </c>
      <c r="I32" s="55"/>
      <c r="J32" s="56"/>
    </row>
    <row r="33" ht="22.5" customHeight="1">
      <c r="A33" s="26">
        <v>46092.0</v>
      </c>
      <c r="B33" s="15">
        <v>53803.0</v>
      </c>
      <c r="C33" s="15">
        <v>22902.0</v>
      </c>
      <c r="D33" s="15">
        <v>27231.0</v>
      </c>
      <c r="E33" s="15">
        <v>181543.0</v>
      </c>
      <c r="F33" s="44">
        <f t="shared" si="1"/>
        <v>42.56639964</v>
      </c>
      <c r="I33" s="55"/>
      <c r="J33" s="56"/>
    </row>
    <row r="34" ht="22.5" customHeight="1">
      <c r="A34" s="26"/>
      <c r="F34" s="57"/>
      <c r="I34" s="55"/>
      <c r="J34" s="56"/>
    </row>
    <row r="35" ht="22.5" customHeight="1">
      <c r="A35" s="26"/>
      <c r="F35" s="57"/>
      <c r="I35" s="55"/>
      <c r="J35" s="56"/>
    </row>
    <row r="36" ht="22.5" customHeight="1">
      <c r="A36" s="26"/>
      <c r="F36" s="57"/>
      <c r="I36" s="55"/>
      <c r="J36" s="56"/>
    </row>
    <row r="37" ht="22.5" customHeight="1">
      <c r="A37" s="26"/>
      <c r="F37" s="57"/>
      <c r="I37" s="55"/>
      <c r="J37" s="56"/>
    </row>
    <row r="38" ht="22.5" customHeight="1">
      <c r="A38" s="26"/>
      <c r="F38" s="57"/>
      <c r="I38" s="55"/>
      <c r="J38" s="56"/>
    </row>
    <row r="39" ht="22.5" customHeight="1">
      <c r="A39" s="26"/>
      <c r="F39" s="57"/>
      <c r="I39" s="55"/>
      <c r="J39" s="56"/>
    </row>
    <row r="40" ht="22.5" customHeight="1">
      <c r="A40" s="26"/>
      <c r="F40" s="57"/>
      <c r="I40" s="55"/>
      <c r="J40" s="56"/>
    </row>
    <row r="41" ht="22.5" customHeight="1">
      <c r="A41" s="26"/>
      <c r="F41" s="57"/>
      <c r="I41" s="55"/>
      <c r="J41" s="56"/>
    </row>
    <row r="42" ht="22.5" customHeight="1">
      <c r="A42" s="26"/>
      <c r="F42" s="57"/>
      <c r="I42" s="55"/>
      <c r="J42" s="56"/>
    </row>
    <row r="43" ht="22.5" customHeight="1">
      <c r="A43" s="26"/>
      <c r="F43" s="57"/>
      <c r="I43" s="55"/>
      <c r="J43" s="56"/>
    </row>
    <row r="44" ht="22.5" customHeight="1">
      <c r="A44" s="26"/>
      <c r="F44" s="57"/>
      <c r="I44" s="55"/>
      <c r="J44" s="56"/>
    </row>
    <row r="45" ht="22.5" customHeight="1">
      <c r="A45" s="26"/>
      <c r="F45" s="57"/>
      <c r="I45" s="55"/>
      <c r="J45" s="56"/>
    </row>
    <row r="46" ht="22.5" customHeight="1">
      <c r="A46" s="26"/>
      <c r="F46" s="57"/>
      <c r="I46" s="55"/>
      <c r="J46" s="56"/>
    </row>
    <row r="47" ht="22.5" customHeight="1">
      <c r="A47" s="26"/>
      <c r="F47" s="57"/>
      <c r="I47" s="55"/>
      <c r="J47" s="56"/>
    </row>
    <row r="48" ht="22.5" customHeight="1">
      <c r="A48" s="26"/>
      <c r="F48" s="57"/>
      <c r="I48" s="55"/>
      <c r="J48" s="56"/>
    </row>
    <row r="49" ht="22.5" customHeight="1">
      <c r="A49" s="26"/>
      <c r="F49" s="57"/>
      <c r="I49" s="55"/>
      <c r="J49" s="56"/>
    </row>
    <row r="50" ht="22.5" customHeight="1">
      <c r="A50" s="26"/>
      <c r="F50" s="57"/>
      <c r="I50" s="55"/>
      <c r="J50" s="56"/>
    </row>
    <row r="51" ht="22.5" customHeight="1">
      <c r="A51" s="26"/>
      <c r="F51" s="57"/>
      <c r="I51" s="55"/>
      <c r="J51" s="56"/>
    </row>
    <row r="52" ht="22.5" customHeight="1">
      <c r="A52" s="26"/>
      <c r="F52" s="57"/>
      <c r="I52" s="55"/>
      <c r="J52" s="56"/>
    </row>
    <row r="53" ht="22.5" customHeight="1">
      <c r="A53" s="26"/>
      <c r="F53" s="57"/>
      <c r="I53" s="55"/>
      <c r="J53" s="56"/>
    </row>
    <row r="54" ht="22.5" customHeight="1">
      <c r="A54" s="26"/>
      <c r="F54" s="57"/>
      <c r="I54" s="55"/>
      <c r="J54" s="56"/>
    </row>
    <row r="55" ht="22.5" customHeight="1">
      <c r="A55" s="26"/>
      <c r="F55" s="57"/>
      <c r="I55" s="55"/>
      <c r="J55" s="56"/>
    </row>
    <row r="56" ht="22.5" customHeight="1">
      <c r="A56" s="26"/>
      <c r="F56" s="57"/>
      <c r="I56" s="55"/>
      <c r="J56" s="56"/>
    </row>
    <row r="57" ht="22.5" customHeight="1">
      <c r="F57" s="58"/>
      <c r="I57" s="55"/>
      <c r="J57" s="56"/>
    </row>
    <row r="58" ht="22.5" customHeight="1">
      <c r="F58" s="58"/>
      <c r="I58" s="55"/>
      <c r="J58" s="56"/>
    </row>
    <row r="59" ht="22.5" customHeight="1">
      <c r="F59" s="58"/>
      <c r="I59" s="55"/>
      <c r="J59" s="56"/>
    </row>
    <row r="60" ht="22.5" customHeight="1">
      <c r="F60" s="58"/>
      <c r="I60" s="55"/>
      <c r="J60" s="56"/>
    </row>
    <row r="61" ht="22.5" customHeight="1">
      <c r="F61" s="58"/>
      <c r="I61" s="55"/>
      <c r="J61" s="56"/>
    </row>
    <row r="62" ht="22.5" customHeight="1">
      <c r="F62" s="58"/>
      <c r="I62" s="55"/>
      <c r="J62" s="56"/>
    </row>
    <row r="63" ht="22.5" customHeight="1">
      <c r="F63" s="58"/>
      <c r="I63" s="55"/>
      <c r="J63" s="56"/>
    </row>
    <row r="64" ht="22.5" customHeight="1">
      <c r="F64" s="58"/>
      <c r="I64" s="55"/>
      <c r="J64" s="56"/>
    </row>
    <row r="65" ht="22.5" customHeight="1">
      <c r="F65" s="58"/>
      <c r="I65" s="55"/>
      <c r="J65" s="56"/>
    </row>
    <row r="66" ht="22.5" customHeight="1">
      <c r="F66" s="58"/>
      <c r="I66" s="55"/>
      <c r="J66" s="56"/>
    </row>
    <row r="67" ht="22.5" customHeight="1">
      <c r="F67" s="58"/>
      <c r="I67" s="55"/>
      <c r="J67" s="56"/>
    </row>
    <row r="68" ht="22.5" customHeight="1">
      <c r="F68" s="58"/>
      <c r="I68" s="55"/>
      <c r="J68" s="56"/>
    </row>
    <row r="69" ht="22.5" customHeight="1">
      <c r="F69" s="58"/>
      <c r="I69" s="55"/>
      <c r="J69" s="56"/>
    </row>
    <row r="70" ht="22.5" customHeight="1">
      <c r="F70" s="58"/>
      <c r="I70" s="55"/>
      <c r="J70" s="56"/>
    </row>
    <row r="71" ht="22.5" customHeight="1">
      <c r="F71" s="58"/>
      <c r="I71" s="55"/>
      <c r="J71" s="56"/>
    </row>
    <row r="72" ht="22.5" customHeight="1">
      <c r="F72" s="58"/>
      <c r="I72" s="55"/>
      <c r="J72" s="56"/>
    </row>
    <row r="73" ht="22.5" customHeight="1">
      <c r="F73" s="58"/>
      <c r="I73" s="55"/>
      <c r="J73" s="56"/>
    </row>
    <row r="74" ht="22.5" customHeight="1">
      <c r="F74" s="58"/>
      <c r="I74" s="55"/>
      <c r="J74" s="56"/>
    </row>
    <row r="75" ht="22.5" customHeight="1">
      <c r="F75" s="58"/>
      <c r="I75" s="55"/>
      <c r="J75" s="56"/>
    </row>
    <row r="76" ht="22.5" customHeight="1">
      <c r="F76" s="58"/>
      <c r="I76" s="55"/>
      <c r="J76" s="56"/>
    </row>
    <row r="77" ht="22.5" customHeight="1">
      <c r="F77" s="58"/>
      <c r="I77" s="55"/>
      <c r="J77" s="56"/>
    </row>
    <row r="78" ht="22.5" customHeight="1">
      <c r="F78" s="58"/>
      <c r="I78" s="55"/>
      <c r="J78" s="56"/>
    </row>
    <row r="79" ht="22.5" customHeight="1">
      <c r="F79" s="58"/>
      <c r="I79" s="55"/>
      <c r="J79" s="56"/>
    </row>
    <row r="80" ht="22.5" customHeight="1">
      <c r="F80" s="58"/>
      <c r="I80" s="55"/>
      <c r="J80" s="56"/>
    </row>
    <row r="81" ht="22.5" customHeight="1">
      <c r="F81" s="58"/>
      <c r="I81" s="55"/>
      <c r="J81" s="56"/>
    </row>
    <row r="82" ht="22.5" customHeight="1">
      <c r="F82" s="58"/>
      <c r="I82" s="55"/>
      <c r="J82" s="56"/>
    </row>
    <row r="83" ht="22.5" customHeight="1">
      <c r="F83" s="58"/>
      <c r="I83" s="55"/>
      <c r="J83" s="56"/>
    </row>
    <row r="84" ht="22.5" customHeight="1">
      <c r="F84" s="58"/>
      <c r="I84" s="55"/>
      <c r="J84" s="56"/>
    </row>
    <row r="85" ht="22.5" customHeight="1">
      <c r="F85" s="58"/>
      <c r="I85" s="55"/>
      <c r="J85" s="56"/>
    </row>
    <row r="86" ht="22.5" customHeight="1">
      <c r="F86" s="58"/>
      <c r="I86" s="55"/>
      <c r="J86" s="56"/>
    </row>
    <row r="87" ht="22.5" customHeight="1">
      <c r="F87" s="58"/>
      <c r="I87" s="55"/>
      <c r="J87" s="56"/>
    </row>
    <row r="88" ht="22.5" customHeight="1">
      <c r="F88" s="58"/>
      <c r="I88" s="55"/>
      <c r="J88" s="56"/>
    </row>
    <row r="89" ht="22.5" customHeight="1">
      <c r="F89" s="58"/>
      <c r="I89" s="55"/>
      <c r="J89" s="56"/>
    </row>
    <row r="90" ht="22.5" customHeight="1">
      <c r="F90" s="58"/>
      <c r="I90" s="55"/>
      <c r="J90" s="56"/>
    </row>
    <row r="91" ht="22.5" customHeight="1">
      <c r="F91" s="58"/>
      <c r="I91" s="55"/>
      <c r="J91" s="56"/>
    </row>
    <row r="92" ht="22.5" customHeight="1">
      <c r="F92" s="58"/>
      <c r="I92" s="55"/>
      <c r="J92" s="56"/>
    </row>
    <row r="93" ht="22.5" customHeight="1">
      <c r="F93" s="58"/>
      <c r="I93" s="55"/>
      <c r="J93" s="56"/>
    </row>
    <row r="94" ht="22.5" customHeight="1">
      <c r="F94" s="58"/>
      <c r="I94" s="55"/>
      <c r="J94" s="56"/>
    </row>
    <row r="95" ht="22.5" customHeight="1">
      <c r="F95" s="58"/>
      <c r="I95" s="55"/>
      <c r="J95" s="56"/>
    </row>
    <row r="96" ht="22.5" customHeight="1">
      <c r="F96" s="58"/>
      <c r="I96" s="55"/>
      <c r="J96" s="56"/>
    </row>
    <row r="97" ht="22.5" customHeight="1">
      <c r="F97" s="58"/>
      <c r="I97" s="55"/>
      <c r="J97" s="56"/>
    </row>
    <row r="98" ht="22.5" customHeight="1">
      <c r="F98" s="58"/>
      <c r="I98" s="55"/>
      <c r="J98" s="56"/>
    </row>
    <row r="99" ht="22.5" customHeight="1">
      <c r="F99" s="58"/>
      <c r="I99" s="55"/>
      <c r="J99" s="56"/>
    </row>
    <row r="100" ht="22.5" customHeight="1">
      <c r="F100" s="58"/>
      <c r="I100" s="55"/>
      <c r="J100" s="56"/>
    </row>
    <row r="101" ht="22.5" customHeight="1">
      <c r="F101" s="58"/>
      <c r="I101" s="55"/>
      <c r="J101" s="56"/>
    </row>
    <row r="102" ht="22.5" customHeight="1">
      <c r="F102" s="58"/>
      <c r="I102" s="55"/>
      <c r="J102" s="56"/>
    </row>
    <row r="103" ht="22.5" customHeight="1">
      <c r="F103" s="58"/>
      <c r="I103" s="55"/>
      <c r="J103" s="56"/>
    </row>
    <row r="104" ht="22.5" customHeight="1">
      <c r="F104" s="58"/>
      <c r="I104" s="55"/>
      <c r="J104" s="56"/>
    </row>
    <row r="105" ht="22.5" customHeight="1">
      <c r="F105" s="58"/>
      <c r="I105" s="55"/>
      <c r="J105" s="56"/>
    </row>
    <row r="106" ht="22.5" customHeight="1">
      <c r="F106" s="58"/>
      <c r="I106" s="55"/>
      <c r="J106" s="56"/>
    </row>
    <row r="107" ht="22.5" customHeight="1">
      <c r="F107" s="58"/>
      <c r="I107" s="55"/>
      <c r="J107" s="56"/>
    </row>
    <row r="108" ht="22.5" customHeight="1">
      <c r="F108" s="58"/>
      <c r="I108" s="55"/>
      <c r="J108" s="56"/>
    </row>
    <row r="109" ht="22.5" customHeight="1">
      <c r="F109" s="58"/>
      <c r="I109" s="55"/>
      <c r="J109" s="56"/>
    </row>
    <row r="110" ht="22.5" customHeight="1">
      <c r="F110" s="58"/>
      <c r="I110" s="55"/>
      <c r="J110" s="56"/>
    </row>
    <row r="111" ht="22.5" customHeight="1">
      <c r="F111" s="58"/>
      <c r="I111" s="55"/>
      <c r="J111" s="56"/>
    </row>
    <row r="112" ht="22.5" customHeight="1">
      <c r="F112" s="58"/>
      <c r="I112" s="55"/>
      <c r="J112" s="56"/>
    </row>
    <row r="113" ht="22.5" customHeight="1">
      <c r="F113" s="58"/>
      <c r="I113" s="55"/>
      <c r="J113" s="56"/>
    </row>
    <row r="114" ht="22.5" customHeight="1">
      <c r="F114" s="58"/>
      <c r="I114" s="55"/>
      <c r="J114" s="56"/>
    </row>
    <row r="115" ht="22.5" customHeight="1">
      <c r="F115" s="58"/>
      <c r="I115" s="55"/>
      <c r="J115" s="56"/>
    </row>
    <row r="116" ht="22.5" customHeight="1">
      <c r="F116" s="58"/>
      <c r="I116" s="55"/>
      <c r="J116" s="56"/>
    </row>
    <row r="117" ht="22.5" customHeight="1">
      <c r="F117" s="58"/>
      <c r="I117" s="55"/>
      <c r="J117" s="56"/>
    </row>
    <row r="118" ht="22.5" customHeight="1">
      <c r="F118" s="58"/>
      <c r="I118" s="55"/>
      <c r="J118" s="56"/>
    </row>
    <row r="119" ht="22.5" customHeight="1">
      <c r="F119" s="58"/>
      <c r="I119" s="55"/>
      <c r="J119" s="56"/>
    </row>
    <row r="120" ht="22.5" customHeight="1">
      <c r="F120" s="58"/>
      <c r="I120" s="55"/>
      <c r="J120" s="56"/>
    </row>
    <row r="121" ht="22.5" customHeight="1">
      <c r="F121" s="58"/>
      <c r="I121" s="55"/>
      <c r="J121" s="56"/>
    </row>
    <row r="122" ht="22.5" customHeight="1">
      <c r="F122" s="58"/>
      <c r="I122" s="55"/>
      <c r="J122" s="56"/>
    </row>
    <row r="123" ht="22.5" customHeight="1">
      <c r="F123" s="58"/>
      <c r="I123" s="55"/>
      <c r="J123" s="56"/>
    </row>
    <row r="124" ht="22.5" customHeight="1">
      <c r="F124" s="58"/>
      <c r="I124" s="55"/>
      <c r="J124" s="56"/>
    </row>
    <row r="125" ht="22.5" customHeight="1">
      <c r="F125" s="58"/>
      <c r="I125" s="55"/>
      <c r="J125" s="56"/>
    </row>
    <row r="126" ht="22.5" customHeight="1">
      <c r="F126" s="58"/>
      <c r="I126" s="55"/>
      <c r="J126" s="56"/>
    </row>
    <row r="127" ht="22.5" customHeight="1">
      <c r="F127" s="58"/>
      <c r="I127" s="55"/>
      <c r="J127" s="56"/>
    </row>
    <row r="128" ht="22.5" customHeight="1">
      <c r="F128" s="58"/>
      <c r="I128" s="55"/>
      <c r="J128" s="56"/>
    </row>
    <row r="129" ht="22.5" customHeight="1">
      <c r="F129" s="58"/>
      <c r="I129" s="55"/>
      <c r="J129" s="56"/>
    </row>
    <row r="130" ht="22.5" customHeight="1">
      <c r="F130" s="58"/>
      <c r="I130" s="55"/>
      <c r="J130" s="56"/>
    </row>
    <row r="131" ht="22.5" customHeight="1">
      <c r="F131" s="58"/>
      <c r="I131" s="55"/>
      <c r="J131" s="56"/>
    </row>
    <row r="132" ht="22.5" customHeight="1">
      <c r="F132" s="58"/>
      <c r="I132" s="55"/>
      <c r="J132" s="56"/>
    </row>
    <row r="133" ht="22.5" customHeight="1">
      <c r="F133" s="58"/>
      <c r="I133" s="55"/>
      <c r="J133" s="56"/>
    </row>
    <row r="134" ht="22.5" customHeight="1">
      <c r="F134" s="58"/>
      <c r="I134" s="55"/>
      <c r="J134" s="56"/>
    </row>
    <row r="135" ht="22.5" customHeight="1">
      <c r="F135" s="58"/>
      <c r="I135" s="55"/>
      <c r="J135" s="56"/>
    </row>
    <row r="136" ht="22.5" customHeight="1">
      <c r="F136" s="58"/>
      <c r="I136" s="55"/>
      <c r="J136" s="56"/>
    </row>
    <row r="137" ht="22.5" customHeight="1">
      <c r="F137" s="58"/>
      <c r="I137" s="55"/>
      <c r="J137" s="56"/>
    </row>
    <row r="138" ht="22.5" customHeight="1">
      <c r="F138" s="58"/>
      <c r="I138" s="55"/>
      <c r="J138" s="56"/>
    </row>
    <row r="139" ht="22.5" customHeight="1">
      <c r="F139" s="58"/>
      <c r="I139" s="55"/>
      <c r="J139" s="56"/>
    </row>
    <row r="140" ht="22.5" customHeight="1">
      <c r="F140" s="58"/>
      <c r="I140" s="55"/>
      <c r="J140" s="56"/>
    </row>
    <row r="141" ht="22.5" customHeight="1">
      <c r="F141" s="58"/>
      <c r="I141" s="55"/>
      <c r="J141" s="56"/>
    </row>
    <row r="142" ht="22.5" customHeight="1">
      <c r="F142" s="58"/>
      <c r="I142" s="55"/>
      <c r="J142" s="56"/>
    </row>
    <row r="143" ht="22.5" customHeight="1">
      <c r="F143" s="58"/>
      <c r="I143" s="55"/>
      <c r="J143" s="56"/>
    </row>
    <row r="144" ht="22.5" customHeight="1">
      <c r="F144" s="58"/>
      <c r="I144" s="55"/>
      <c r="J144" s="56"/>
    </row>
    <row r="145" ht="22.5" customHeight="1">
      <c r="F145" s="58"/>
      <c r="I145" s="55"/>
      <c r="J145" s="56"/>
    </row>
    <row r="146" ht="22.5" customHeight="1">
      <c r="F146" s="58"/>
      <c r="I146" s="55"/>
      <c r="J146" s="56"/>
    </row>
    <row r="147" ht="22.5" customHeight="1">
      <c r="F147" s="58"/>
      <c r="I147" s="55"/>
      <c r="J147" s="56"/>
    </row>
    <row r="148" ht="22.5" customHeight="1">
      <c r="F148" s="58"/>
      <c r="I148" s="55"/>
      <c r="J148" s="56"/>
    </row>
    <row r="149" ht="22.5" customHeight="1">
      <c r="F149" s="58"/>
      <c r="I149" s="55"/>
      <c r="J149" s="56"/>
    </row>
    <row r="150" ht="22.5" customHeight="1">
      <c r="F150" s="58"/>
      <c r="I150" s="55"/>
      <c r="J150" s="56"/>
    </row>
    <row r="151" ht="22.5" customHeight="1">
      <c r="F151" s="58"/>
      <c r="I151" s="55"/>
      <c r="J151" s="56"/>
    </row>
    <row r="152" ht="22.5" customHeight="1">
      <c r="F152" s="58"/>
      <c r="I152" s="55"/>
      <c r="J152" s="56"/>
    </row>
    <row r="153" ht="22.5" customHeight="1">
      <c r="F153" s="58"/>
      <c r="I153" s="55"/>
      <c r="J153" s="56"/>
    </row>
    <row r="154" ht="22.5" customHeight="1">
      <c r="F154" s="58"/>
      <c r="I154" s="55"/>
      <c r="J154" s="56"/>
    </row>
    <row r="155" ht="22.5" customHeight="1">
      <c r="F155" s="58"/>
      <c r="I155" s="55"/>
      <c r="J155" s="56"/>
    </row>
    <row r="156" ht="22.5" customHeight="1">
      <c r="F156" s="58"/>
      <c r="I156" s="55"/>
      <c r="J156" s="56"/>
    </row>
    <row r="157" ht="22.5" customHeight="1">
      <c r="F157" s="58"/>
      <c r="I157" s="55"/>
      <c r="J157" s="56"/>
    </row>
    <row r="158" ht="22.5" customHeight="1">
      <c r="F158" s="58"/>
      <c r="I158" s="55"/>
      <c r="J158" s="56"/>
    </row>
    <row r="159" ht="22.5" customHeight="1">
      <c r="F159" s="58"/>
      <c r="I159" s="55"/>
      <c r="J159" s="56"/>
    </row>
    <row r="160" ht="22.5" customHeight="1">
      <c r="F160" s="58"/>
      <c r="I160" s="55"/>
      <c r="J160" s="56"/>
    </row>
    <row r="161" ht="22.5" customHeight="1">
      <c r="F161" s="58"/>
      <c r="I161" s="55"/>
      <c r="J161" s="56"/>
    </row>
    <row r="162" ht="22.5" customHeight="1">
      <c r="F162" s="58"/>
      <c r="I162" s="55"/>
      <c r="J162" s="56"/>
    </row>
    <row r="163" ht="22.5" customHeight="1">
      <c r="F163" s="58"/>
      <c r="I163" s="55"/>
      <c r="J163" s="56"/>
    </row>
    <row r="164" ht="22.5" customHeight="1">
      <c r="F164" s="58"/>
      <c r="I164" s="55"/>
      <c r="J164" s="56"/>
    </row>
    <row r="165" ht="22.5" customHeight="1">
      <c r="F165" s="58"/>
      <c r="I165" s="55"/>
      <c r="J165" s="56"/>
    </row>
    <row r="166" ht="22.5" customHeight="1">
      <c r="F166" s="58"/>
      <c r="I166" s="55"/>
      <c r="J166" s="56"/>
    </row>
    <row r="167" ht="22.5" customHeight="1">
      <c r="F167" s="58"/>
      <c r="I167" s="55"/>
      <c r="J167" s="56"/>
    </row>
    <row r="168" ht="22.5" customHeight="1">
      <c r="F168" s="58"/>
      <c r="I168" s="55"/>
      <c r="J168" s="56"/>
    </row>
    <row r="169" ht="22.5" customHeight="1">
      <c r="F169" s="58"/>
      <c r="I169" s="55"/>
      <c r="J169" s="56"/>
    </row>
    <row r="170" ht="22.5" customHeight="1">
      <c r="F170" s="58"/>
      <c r="I170" s="55"/>
      <c r="J170" s="56"/>
    </row>
    <row r="171" ht="22.5" customHeight="1">
      <c r="F171" s="58"/>
      <c r="I171" s="55"/>
      <c r="J171" s="56"/>
    </row>
    <row r="172" ht="22.5" customHeight="1">
      <c r="F172" s="58"/>
      <c r="I172" s="55"/>
      <c r="J172" s="56"/>
    </row>
    <row r="173" ht="22.5" customHeight="1">
      <c r="F173" s="58"/>
      <c r="I173" s="55"/>
      <c r="J173" s="56"/>
    </row>
    <row r="174" ht="22.5" customHeight="1">
      <c r="F174" s="58"/>
      <c r="I174" s="55"/>
      <c r="J174" s="56"/>
    </row>
    <row r="175" ht="22.5" customHeight="1">
      <c r="F175" s="58"/>
      <c r="I175" s="55"/>
      <c r="J175" s="56"/>
    </row>
    <row r="176" ht="22.5" customHeight="1">
      <c r="F176" s="58"/>
      <c r="I176" s="55"/>
      <c r="J176" s="56"/>
    </row>
    <row r="177" ht="22.5" customHeight="1">
      <c r="F177" s="58"/>
      <c r="I177" s="55"/>
      <c r="J177" s="56"/>
    </row>
    <row r="178" ht="22.5" customHeight="1">
      <c r="F178" s="58"/>
      <c r="I178" s="55"/>
      <c r="J178" s="56"/>
    </row>
    <row r="179" ht="22.5" customHeight="1">
      <c r="F179" s="58"/>
      <c r="I179" s="55"/>
      <c r="J179" s="56"/>
    </row>
    <row r="180" ht="22.5" customHeight="1">
      <c r="F180" s="58"/>
      <c r="I180" s="55"/>
      <c r="J180" s="56"/>
    </row>
    <row r="181" ht="22.5" customHeight="1">
      <c r="F181" s="58"/>
      <c r="I181" s="55"/>
      <c r="J181" s="56"/>
    </row>
    <row r="182" ht="22.5" customHeight="1">
      <c r="F182" s="58"/>
      <c r="I182" s="55"/>
      <c r="J182" s="56"/>
    </row>
    <row r="183" ht="22.5" customHeight="1">
      <c r="F183" s="58"/>
      <c r="I183" s="55"/>
      <c r="J183" s="56"/>
    </row>
    <row r="184" ht="22.5" customHeight="1">
      <c r="F184" s="58"/>
      <c r="I184" s="55"/>
      <c r="J184" s="56"/>
    </row>
    <row r="185" ht="22.5" customHeight="1">
      <c r="F185" s="58"/>
      <c r="I185" s="55"/>
      <c r="J185" s="56"/>
    </row>
    <row r="186" ht="22.5" customHeight="1">
      <c r="F186" s="58"/>
      <c r="I186" s="55"/>
      <c r="J186" s="56"/>
    </row>
    <row r="187" ht="22.5" customHeight="1">
      <c r="F187" s="58"/>
      <c r="I187" s="55"/>
      <c r="J187" s="56"/>
    </row>
    <row r="188" ht="22.5" customHeight="1">
      <c r="F188" s="58"/>
      <c r="I188" s="55"/>
      <c r="J188" s="56"/>
    </row>
    <row r="189" ht="22.5" customHeight="1">
      <c r="F189" s="58"/>
      <c r="I189" s="55"/>
      <c r="J189" s="56"/>
    </row>
    <row r="190" ht="22.5" customHeight="1">
      <c r="F190" s="58"/>
      <c r="I190" s="55"/>
      <c r="J190" s="56"/>
    </row>
    <row r="191" ht="22.5" customHeight="1">
      <c r="F191" s="58"/>
      <c r="I191" s="55"/>
      <c r="J191" s="56"/>
    </row>
    <row r="192" ht="22.5" customHeight="1">
      <c r="F192" s="58"/>
      <c r="I192" s="55"/>
      <c r="J192" s="56"/>
    </row>
    <row r="193" ht="22.5" customHeight="1">
      <c r="F193" s="58"/>
      <c r="I193" s="55"/>
      <c r="J193" s="56"/>
    </row>
    <row r="194" ht="22.5" customHeight="1">
      <c r="F194" s="58"/>
      <c r="I194" s="55"/>
      <c r="J194" s="56"/>
    </row>
    <row r="195" ht="22.5" customHeight="1">
      <c r="F195" s="58"/>
      <c r="I195" s="55"/>
      <c r="J195" s="56"/>
    </row>
    <row r="196" ht="22.5" customHeight="1">
      <c r="F196" s="58"/>
      <c r="I196" s="55"/>
      <c r="J196" s="56"/>
    </row>
    <row r="197" ht="22.5" customHeight="1">
      <c r="F197" s="58"/>
      <c r="I197" s="55"/>
      <c r="J197" s="56"/>
    </row>
    <row r="198" ht="22.5" customHeight="1">
      <c r="F198" s="58"/>
      <c r="I198" s="55"/>
      <c r="J198" s="56"/>
    </row>
    <row r="199" ht="22.5" customHeight="1">
      <c r="F199" s="58"/>
      <c r="I199" s="55"/>
      <c r="J199" s="56"/>
    </row>
    <row r="200" ht="22.5" customHeight="1">
      <c r="F200" s="58"/>
      <c r="I200" s="55"/>
      <c r="J200" s="56"/>
    </row>
    <row r="201" ht="22.5" customHeight="1">
      <c r="F201" s="58"/>
      <c r="I201" s="55"/>
      <c r="J201" s="56"/>
    </row>
    <row r="202" ht="22.5" customHeight="1">
      <c r="F202" s="58"/>
      <c r="I202" s="55"/>
      <c r="J202" s="56"/>
    </row>
    <row r="203" ht="22.5" customHeight="1">
      <c r="F203" s="58"/>
      <c r="I203" s="55"/>
      <c r="J203" s="56"/>
    </row>
    <row r="204" ht="22.5" customHeight="1">
      <c r="F204" s="58"/>
      <c r="I204" s="55"/>
      <c r="J204" s="56"/>
    </row>
    <row r="205" ht="22.5" customHeight="1">
      <c r="F205" s="58"/>
      <c r="I205" s="55"/>
      <c r="J205" s="56"/>
    </row>
    <row r="206" ht="22.5" customHeight="1">
      <c r="F206" s="58"/>
      <c r="I206" s="55"/>
      <c r="J206" s="56"/>
    </row>
    <row r="207" ht="22.5" customHeight="1">
      <c r="F207" s="58"/>
      <c r="I207" s="55"/>
      <c r="J207" s="56"/>
    </row>
    <row r="208" ht="22.5" customHeight="1">
      <c r="F208" s="58"/>
      <c r="I208" s="55"/>
      <c r="J208" s="56"/>
    </row>
    <row r="209" ht="22.5" customHeight="1">
      <c r="F209" s="58"/>
      <c r="I209" s="55"/>
      <c r="J209" s="56"/>
    </row>
    <row r="210" ht="22.5" customHeight="1">
      <c r="F210" s="58"/>
      <c r="I210" s="55"/>
      <c r="J210" s="56"/>
    </row>
    <row r="211" ht="22.5" customHeight="1">
      <c r="F211" s="58"/>
      <c r="I211" s="55"/>
      <c r="J211" s="56"/>
    </row>
    <row r="212" ht="22.5" customHeight="1">
      <c r="F212" s="58"/>
      <c r="I212" s="55"/>
      <c r="J212" s="56"/>
    </row>
    <row r="213" ht="22.5" customHeight="1">
      <c r="F213" s="58"/>
      <c r="I213" s="55"/>
      <c r="J213" s="56"/>
    </row>
    <row r="214" ht="22.5" customHeight="1">
      <c r="F214" s="58"/>
      <c r="I214" s="55"/>
      <c r="J214" s="56"/>
    </row>
    <row r="215" ht="22.5" customHeight="1">
      <c r="F215" s="58"/>
      <c r="I215" s="55"/>
      <c r="J215" s="56"/>
    </row>
    <row r="216" ht="22.5" customHeight="1">
      <c r="F216" s="58"/>
      <c r="I216" s="55"/>
      <c r="J216" s="56"/>
    </row>
    <row r="217" ht="22.5" customHeight="1">
      <c r="F217" s="58"/>
      <c r="I217" s="55"/>
      <c r="J217" s="56"/>
    </row>
    <row r="218" ht="22.5" customHeight="1">
      <c r="F218" s="58"/>
      <c r="I218" s="55"/>
      <c r="J218" s="56"/>
    </row>
    <row r="219" ht="22.5" customHeight="1">
      <c r="F219" s="58"/>
      <c r="I219" s="55"/>
      <c r="J219" s="56"/>
    </row>
    <row r="220" ht="22.5" customHeight="1">
      <c r="F220" s="58"/>
      <c r="I220" s="55"/>
      <c r="J220" s="56"/>
    </row>
    <row r="221" ht="22.5" customHeight="1">
      <c r="F221" s="58"/>
      <c r="I221" s="55"/>
      <c r="J221" s="56"/>
    </row>
    <row r="222" ht="22.5" customHeight="1">
      <c r="F222" s="58"/>
      <c r="I222" s="55"/>
      <c r="J222" s="56"/>
    </row>
    <row r="223" ht="22.5" customHeight="1">
      <c r="F223" s="58"/>
      <c r="I223" s="55"/>
      <c r="J223" s="56"/>
    </row>
    <row r="224" ht="22.5" customHeight="1">
      <c r="F224" s="58"/>
      <c r="I224" s="55"/>
      <c r="J224" s="56"/>
    </row>
    <row r="225" ht="22.5" customHeight="1">
      <c r="F225" s="58"/>
      <c r="I225" s="55"/>
      <c r="J225" s="56"/>
    </row>
    <row r="226" ht="22.5" customHeight="1">
      <c r="F226" s="58"/>
      <c r="I226" s="55"/>
      <c r="J226" s="56"/>
    </row>
    <row r="227" ht="22.5" customHeight="1">
      <c r="F227" s="58"/>
      <c r="I227" s="55"/>
      <c r="J227" s="56"/>
    </row>
    <row r="228" ht="22.5" customHeight="1">
      <c r="F228" s="58"/>
      <c r="I228" s="55"/>
      <c r="J228" s="56"/>
    </row>
    <row r="229" ht="22.5" customHeight="1">
      <c r="F229" s="58"/>
      <c r="I229" s="55"/>
      <c r="J229" s="56"/>
    </row>
    <row r="230" ht="22.5" customHeight="1">
      <c r="F230" s="58"/>
      <c r="I230" s="55"/>
      <c r="J230" s="56"/>
    </row>
    <row r="231" ht="22.5" customHeight="1">
      <c r="F231" s="58"/>
      <c r="I231" s="55"/>
      <c r="J231" s="56"/>
    </row>
    <row r="232" ht="22.5" customHeight="1">
      <c r="F232" s="58"/>
      <c r="I232" s="55"/>
      <c r="J232" s="56"/>
    </row>
    <row r="233" ht="22.5" customHeight="1">
      <c r="F233" s="58"/>
      <c r="I233" s="55"/>
      <c r="J233" s="56"/>
    </row>
    <row r="234" ht="22.5" customHeight="1">
      <c r="F234" s="58"/>
      <c r="I234" s="55"/>
      <c r="J234" s="56"/>
    </row>
    <row r="235" ht="22.5" customHeight="1">
      <c r="F235" s="58"/>
      <c r="I235" s="55"/>
      <c r="J235" s="56"/>
    </row>
    <row r="236" ht="22.5" customHeight="1">
      <c r="F236" s="58"/>
      <c r="I236" s="55"/>
      <c r="J236" s="56"/>
    </row>
    <row r="237" ht="22.5" customHeight="1">
      <c r="F237" s="58"/>
      <c r="I237" s="55"/>
      <c r="J237" s="56"/>
    </row>
    <row r="238" ht="22.5" customHeight="1">
      <c r="F238" s="58"/>
      <c r="I238" s="55"/>
      <c r="J238" s="56"/>
    </row>
    <row r="239" ht="22.5" customHeight="1">
      <c r="F239" s="58"/>
      <c r="I239" s="55"/>
      <c r="J239" s="56"/>
    </row>
    <row r="240" ht="22.5" customHeight="1">
      <c r="F240" s="58"/>
      <c r="I240" s="55"/>
      <c r="J240" s="56"/>
    </row>
    <row r="241" ht="22.5" customHeight="1">
      <c r="F241" s="58"/>
      <c r="I241" s="55"/>
      <c r="J241" s="56"/>
    </row>
    <row r="242" ht="22.5" customHeight="1">
      <c r="F242" s="58"/>
      <c r="I242" s="55"/>
      <c r="J242" s="56"/>
    </row>
    <row r="243" ht="22.5" customHeight="1">
      <c r="F243" s="58"/>
      <c r="I243" s="55"/>
      <c r="J243" s="56"/>
    </row>
    <row r="244" ht="22.5" customHeight="1">
      <c r="F244" s="58"/>
      <c r="I244" s="55"/>
      <c r="J244" s="56"/>
    </row>
    <row r="245" ht="22.5" customHeight="1">
      <c r="F245" s="58"/>
      <c r="I245" s="55"/>
      <c r="J245" s="56"/>
    </row>
    <row r="246" ht="22.5" customHeight="1">
      <c r="F246" s="58"/>
      <c r="I246" s="55"/>
      <c r="J246" s="56"/>
    </row>
    <row r="247" ht="22.5" customHeight="1">
      <c r="F247" s="58"/>
      <c r="I247" s="55"/>
      <c r="J247" s="56"/>
    </row>
    <row r="248" ht="22.5" customHeight="1">
      <c r="F248" s="58"/>
      <c r="I248" s="55"/>
      <c r="J248" s="56"/>
    </row>
    <row r="249" ht="22.5" customHeight="1">
      <c r="F249" s="58"/>
      <c r="I249" s="55"/>
      <c r="J249" s="56"/>
    </row>
    <row r="250" ht="22.5" customHeight="1">
      <c r="F250" s="58"/>
      <c r="I250" s="55"/>
      <c r="J250" s="56"/>
    </row>
    <row r="251" ht="22.5" customHeight="1">
      <c r="F251" s="58"/>
      <c r="I251" s="55"/>
      <c r="J251" s="56"/>
    </row>
    <row r="252" ht="22.5" customHeight="1">
      <c r="F252" s="58"/>
      <c r="I252" s="55"/>
      <c r="J252" s="56"/>
    </row>
    <row r="253" ht="22.5" customHeight="1">
      <c r="F253" s="58"/>
      <c r="I253" s="55"/>
      <c r="J253" s="56"/>
    </row>
    <row r="254" ht="22.5" customHeight="1">
      <c r="F254" s="58"/>
      <c r="I254" s="55"/>
      <c r="J254" s="56"/>
    </row>
    <row r="255" ht="22.5" customHeight="1">
      <c r="F255" s="58"/>
      <c r="I255" s="55"/>
      <c r="J255" s="56"/>
    </row>
    <row r="256" ht="22.5" customHeight="1">
      <c r="F256" s="58"/>
      <c r="I256" s="55"/>
      <c r="J256" s="56"/>
    </row>
    <row r="257" ht="22.5" customHeight="1">
      <c r="F257" s="58"/>
      <c r="I257" s="55"/>
      <c r="J257" s="56"/>
    </row>
    <row r="258" ht="22.5" customHeight="1">
      <c r="F258" s="58"/>
      <c r="I258" s="55"/>
      <c r="J258" s="56"/>
    </row>
    <row r="259" ht="22.5" customHeight="1">
      <c r="F259" s="58"/>
      <c r="I259" s="55"/>
      <c r="J259" s="56"/>
    </row>
    <row r="260" ht="22.5" customHeight="1">
      <c r="F260" s="58"/>
      <c r="I260" s="55"/>
      <c r="J260" s="56"/>
    </row>
    <row r="261" ht="22.5" customHeight="1">
      <c r="F261" s="58"/>
      <c r="I261" s="55"/>
      <c r="J261" s="56"/>
    </row>
    <row r="262" ht="22.5" customHeight="1">
      <c r="F262" s="58"/>
      <c r="I262" s="55"/>
      <c r="J262" s="56"/>
    </row>
    <row r="263" ht="22.5" customHeight="1">
      <c r="F263" s="58"/>
      <c r="I263" s="55"/>
      <c r="J263" s="56"/>
    </row>
    <row r="264" ht="22.5" customHeight="1">
      <c r="F264" s="58"/>
      <c r="I264" s="55"/>
      <c r="J264" s="56"/>
    </row>
    <row r="265" ht="22.5" customHeight="1">
      <c r="F265" s="58"/>
      <c r="I265" s="55"/>
      <c r="J265" s="56"/>
    </row>
    <row r="266" ht="22.5" customHeight="1">
      <c r="F266" s="58"/>
      <c r="I266" s="55"/>
      <c r="J266" s="56"/>
    </row>
    <row r="267" ht="22.5" customHeight="1">
      <c r="F267" s="58"/>
      <c r="I267" s="55"/>
      <c r="J267" s="56"/>
    </row>
    <row r="268" ht="22.5" customHeight="1">
      <c r="F268" s="58"/>
      <c r="I268" s="55"/>
      <c r="J268" s="56"/>
    </row>
    <row r="269" ht="22.5" customHeight="1">
      <c r="F269" s="58"/>
      <c r="I269" s="55"/>
      <c r="J269" s="56"/>
    </row>
    <row r="270" ht="22.5" customHeight="1">
      <c r="F270" s="58"/>
      <c r="I270" s="55"/>
      <c r="J270" s="56"/>
    </row>
    <row r="271" ht="22.5" customHeight="1">
      <c r="F271" s="58"/>
      <c r="I271" s="55"/>
      <c r="J271" s="56"/>
    </row>
    <row r="272" ht="22.5" customHeight="1">
      <c r="F272" s="58"/>
      <c r="I272" s="55"/>
      <c r="J272" s="56"/>
    </row>
    <row r="273" ht="22.5" customHeight="1">
      <c r="F273" s="58"/>
      <c r="I273" s="55"/>
      <c r="J273" s="56"/>
    </row>
    <row r="274" ht="22.5" customHeight="1">
      <c r="F274" s="58"/>
      <c r="I274" s="55"/>
      <c r="J274" s="56"/>
    </row>
    <row r="275" ht="22.5" customHeight="1">
      <c r="F275" s="58"/>
      <c r="I275" s="55"/>
      <c r="J275" s="56"/>
    </row>
    <row r="276" ht="22.5" customHeight="1">
      <c r="F276" s="58"/>
      <c r="I276" s="55"/>
      <c r="J276" s="56"/>
    </row>
    <row r="277" ht="22.5" customHeight="1">
      <c r="F277" s="58"/>
      <c r="I277" s="55"/>
      <c r="J277" s="56"/>
    </row>
    <row r="278" ht="22.5" customHeight="1">
      <c r="F278" s="58"/>
      <c r="I278" s="55"/>
      <c r="J278" s="56"/>
    </row>
    <row r="279" ht="22.5" customHeight="1">
      <c r="F279" s="58"/>
      <c r="I279" s="55"/>
      <c r="J279" s="56"/>
    </row>
    <row r="280" ht="22.5" customHeight="1">
      <c r="F280" s="58"/>
      <c r="I280" s="55"/>
      <c r="J280" s="56"/>
    </row>
    <row r="281" ht="22.5" customHeight="1">
      <c r="F281" s="58"/>
      <c r="I281" s="55"/>
      <c r="J281" s="56"/>
    </row>
    <row r="282" ht="22.5" customHeight="1">
      <c r="F282" s="58"/>
      <c r="I282" s="55"/>
      <c r="J282" s="56"/>
    </row>
    <row r="283" ht="22.5" customHeight="1">
      <c r="F283" s="58"/>
      <c r="I283" s="55"/>
      <c r="J283" s="56"/>
    </row>
    <row r="284" ht="22.5" customHeight="1">
      <c r="F284" s="58"/>
      <c r="I284" s="55"/>
      <c r="J284" s="56"/>
    </row>
    <row r="285" ht="22.5" customHeight="1">
      <c r="F285" s="58"/>
      <c r="I285" s="55"/>
      <c r="J285" s="56"/>
    </row>
    <row r="286" ht="22.5" customHeight="1">
      <c r="F286" s="58"/>
      <c r="I286" s="55"/>
      <c r="J286" s="56"/>
    </row>
    <row r="287" ht="22.5" customHeight="1">
      <c r="F287" s="58"/>
      <c r="I287" s="55"/>
      <c r="J287" s="56"/>
    </row>
    <row r="288" ht="22.5" customHeight="1">
      <c r="F288" s="58"/>
      <c r="I288" s="55"/>
      <c r="J288" s="56"/>
    </row>
    <row r="289" ht="22.5" customHeight="1">
      <c r="F289" s="58"/>
      <c r="I289" s="55"/>
      <c r="J289" s="56"/>
    </row>
    <row r="290" ht="22.5" customHeight="1">
      <c r="F290" s="58"/>
      <c r="I290" s="55"/>
      <c r="J290" s="56"/>
    </row>
    <row r="291" ht="22.5" customHeight="1">
      <c r="F291" s="58"/>
      <c r="I291" s="55"/>
      <c r="J291" s="56"/>
    </row>
    <row r="292" ht="22.5" customHeight="1">
      <c r="F292" s="58"/>
      <c r="I292" s="55"/>
      <c r="J292" s="56"/>
    </row>
    <row r="293" ht="22.5" customHeight="1">
      <c r="F293" s="58"/>
      <c r="I293" s="55"/>
      <c r="J293" s="56"/>
    </row>
    <row r="294" ht="22.5" customHeight="1">
      <c r="F294" s="58"/>
      <c r="I294" s="55"/>
      <c r="J294" s="56"/>
    </row>
    <row r="295" ht="22.5" customHeight="1">
      <c r="F295" s="58"/>
      <c r="I295" s="55"/>
      <c r="J295" s="56"/>
    </row>
    <row r="296" ht="22.5" customHeight="1">
      <c r="F296" s="58"/>
      <c r="I296" s="55"/>
      <c r="J296" s="56"/>
    </row>
    <row r="297" ht="22.5" customHeight="1">
      <c r="F297" s="58"/>
      <c r="I297" s="55"/>
      <c r="J297" s="56"/>
    </row>
    <row r="298" ht="22.5" customHeight="1">
      <c r="F298" s="58"/>
      <c r="I298" s="55"/>
      <c r="J298" s="56"/>
    </row>
    <row r="299" ht="22.5" customHeight="1">
      <c r="F299" s="58"/>
      <c r="I299" s="55"/>
      <c r="J299" s="56"/>
    </row>
    <row r="300" ht="22.5" customHeight="1">
      <c r="F300" s="58"/>
      <c r="I300" s="55"/>
      <c r="J300" s="56"/>
    </row>
    <row r="301" ht="22.5" customHeight="1">
      <c r="F301" s="58"/>
      <c r="I301" s="55"/>
      <c r="J301" s="56"/>
    </row>
    <row r="302" ht="22.5" customHeight="1">
      <c r="F302" s="58"/>
      <c r="I302" s="55"/>
      <c r="J302" s="56"/>
    </row>
    <row r="303" ht="22.5" customHeight="1">
      <c r="F303" s="58"/>
      <c r="I303" s="55"/>
      <c r="J303" s="56"/>
    </row>
    <row r="304" ht="22.5" customHeight="1">
      <c r="F304" s="58"/>
      <c r="I304" s="55"/>
      <c r="J304" s="56"/>
    </row>
    <row r="305" ht="22.5" customHeight="1">
      <c r="F305" s="58"/>
      <c r="I305" s="55"/>
      <c r="J305" s="56"/>
    </row>
    <row r="306" ht="22.5" customHeight="1">
      <c r="F306" s="58"/>
      <c r="I306" s="55"/>
      <c r="J306" s="56"/>
    </row>
    <row r="307" ht="22.5" customHeight="1">
      <c r="F307" s="58"/>
      <c r="I307" s="55"/>
      <c r="J307" s="56"/>
    </row>
    <row r="308" ht="22.5" customHeight="1">
      <c r="F308" s="58"/>
      <c r="I308" s="55"/>
      <c r="J308" s="56"/>
    </row>
    <row r="309" ht="22.5" customHeight="1">
      <c r="F309" s="58"/>
      <c r="I309" s="55"/>
      <c r="J309" s="56"/>
    </row>
    <row r="310" ht="22.5" customHeight="1">
      <c r="F310" s="58"/>
      <c r="I310" s="55"/>
      <c r="J310" s="56"/>
    </row>
    <row r="311" ht="22.5" customHeight="1">
      <c r="F311" s="58"/>
      <c r="I311" s="55"/>
      <c r="J311" s="56"/>
    </row>
    <row r="312" ht="22.5" customHeight="1">
      <c r="F312" s="58"/>
      <c r="I312" s="55"/>
      <c r="J312" s="56"/>
    </row>
    <row r="313" ht="22.5" customHeight="1">
      <c r="F313" s="58"/>
      <c r="I313" s="55"/>
      <c r="J313" s="56"/>
    </row>
    <row r="314" ht="22.5" customHeight="1">
      <c r="F314" s="58"/>
      <c r="I314" s="55"/>
      <c r="J314" s="56"/>
    </row>
    <row r="315" ht="22.5" customHeight="1">
      <c r="F315" s="58"/>
      <c r="I315" s="55"/>
      <c r="J315" s="56"/>
    </row>
    <row r="316" ht="22.5" customHeight="1">
      <c r="F316" s="58"/>
      <c r="I316" s="55"/>
      <c r="J316" s="56"/>
    </row>
    <row r="317" ht="22.5" customHeight="1">
      <c r="F317" s="58"/>
      <c r="I317" s="55"/>
      <c r="J317" s="56"/>
    </row>
    <row r="318" ht="22.5" customHeight="1">
      <c r="F318" s="58"/>
      <c r="I318" s="55"/>
      <c r="J318" s="56"/>
    </row>
    <row r="319" ht="22.5" customHeight="1">
      <c r="F319" s="58"/>
      <c r="I319" s="55"/>
      <c r="J319" s="56"/>
    </row>
    <row r="320" ht="22.5" customHeight="1">
      <c r="F320" s="58"/>
      <c r="I320" s="55"/>
      <c r="J320" s="56"/>
    </row>
    <row r="321" ht="22.5" customHeight="1">
      <c r="F321" s="58"/>
      <c r="I321" s="55"/>
      <c r="J321" s="56"/>
    </row>
    <row r="322" ht="22.5" customHeight="1">
      <c r="F322" s="58"/>
      <c r="I322" s="55"/>
      <c r="J322" s="56"/>
    </row>
    <row r="323" ht="22.5" customHeight="1">
      <c r="F323" s="58"/>
      <c r="I323" s="55"/>
      <c r="J323" s="56"/>
    </row>
    <row r="324" ht="22.5" customHeight="1">
      <c r="F324" s="58"/>
      <c r="I324" s="55"/>
      <c r="J324" s="56"/>
    </row>
    <row r="325" ht="22.5" customHeight="1">
      <c r="F325" s="58"/>
      <c r="I325" s="55"/>
      <c r="J325" s="56"/>
    </row>
    <row r="326" ht="22.5" customHeight="1">
      <c r="F326" s="58"/>
      <c r="I326" s="55"/>
      <c r="J326" s="56"/>
    </row>
    <row r="327" ht="22.5" customHeight="1">
      <c r="F327" s="58"/>
      <c r="I327" s="55"/>
      <c r="J327" s="56"/>
    </row>
    <row r="328" ht="22.5" customHeight="1">
      <c r="F328" s="58"/>
      <c r="I328" s="55"/>
      <c r="J328" s="56"/>
    </row>
    <row r="329" ht="22.5" customHeight="1">
      <c r="F329" s="58"/>
      <c r="I329" s="55"/>
      <c r="J329" s="56"/>
    </row>
    <row r="330" ht="22.5" customHeight="1">
      <c r="F330" s="58"/>
      <c r="I330" s="55"/>
      <c r="J330" s="56"/>
    </row>
    <row r="331" ht="22.5" customHeight="1">
      <c r="F331" s="58"/>
      <c r="I331" s="55"/>
      <c r="J331" s="56"/>
    </row>
    <row r="332" ht="22.5" customHeight="1">
      <c r="F332" s="58"/>
      <c r="I332" s="55"/>
      <c r="J332" s="56"/>
    </row>
    <row r="333" ht="22.5" customHeight="1">
      <c r="F333" s="58"/>
      <c r="I333" s="55"/>
      <c r="J333" s="56"/>
    </row>
    <row r="334" ht="22.5" customHeight="1">
      <c r="F334" s="58"/>
      <c r="I334" s="55"/>
      <c r="J334" s="56"/>
    </row>
    <row r="335" ht="22.5" customHeight="1">
      <c r="F335" s="58"/>
      <c r="I335" s="55"/>
      <c r="J335" s="56"/>
    </row>
    <row r="336" ht="22.5" customHeight="1">
      <c r="F336" s="58"/>
      <c r="I336" s="55"/>
      <c r="J336" s="56"/>
    </row>
    <row r="337" ht="22.5" customHeight="1">
      <c r="F337" s="58"/>
      <c r="I337" s="55"/>
      <c r="J337" s="56"/>
    </row>
    <row r="338" ht="22.5" customHeight="1">
      <c r="F338" s="58"/>
      <c r="I338" s="55"/>
      <c r="J338" s="56"/>
    </row>
    <row r="339" ht="22.5" customHeight="1">
      <c r="F339" s="58"/>
      <c r="I339" s="55"/>
      <c r="J339" s="56"/>
    </row>
    <row r="340" ht="22.5" customHeight="1">
      <c r="F340" s="58"/>
      <c r="I340" s="55"/>
      <c r="J340" s="56"/>
    </row>
    <row r="341" ht="22.5" customHeight="1">
      <c r="F341" s="58"/>
      <c r="I341" s="55"/>
      <c r="J341" s="56"/>
    </row>
    <row r="342" ht="22.5" customHeight="1">
      <c r="F342" s="58"/>
      <c r="I342" s="55"/>
      <c r="J342" s="56"/>
    </row>
    <row r="343" ht="22.5" customHeight="1">
      <c r="F343" s="58"/>
      <c r="I343" s="55"/>
      <c r="J343" s="56"/>
    </row>
    <row r="344" ht="22.5" customHeight="1">
      <c r="F344" s="58"/>
      <c r="I344" s="55"/>
      <c r="J344" s="56"/>
    </row>
    <row r="345" ht="22.5" customHeight="1">
      <c r="F345" s="58"/>
      <c r="I345" s="55"/>
      <c r="J345" s="56"/>
    </row>
    <row r="346" ht="22.5" customHeight="1">
      <c r="F346" s="58"/>
      <c r="I346" s="55"/>
      <c r="J346" s="56"/>
    </row>
    <row r="347" ht="22.5" customHeight="1">
      <c r="F347" s="58"/>
      <c r="I347" s="55"/>
      <c r="J347" s="56"/>
    </row>
    <row r="348" ht="22.5" customHeight="1">
      <c r="F348" s="58"/>
      <c r="I348" s="55"/>
      <c r="J348" s="56"/>
    </row>
    <row r="349" ht="22.5" customHeight="1">
      <c r="F349" s="58"/>
      <c r="I349" s="55"/>
      <c r="J349" s="56"/>
    </row>
    <row r="350" ht="22.5" customHeight="1">
      <c r="F350" s="58"/>
      <c r="I350" s="55"/>
      <c r="J350" s="56"/>
    </row>
    <row r="351" ht="22.5" customHeight="1">
      <c r="F351" s="58"/>
      <c r="I351" s="55"/>
      <c r="J351" s="56"/>
    </row>
    <row r="352" ht="22.5" customHeight="1">
      <c r="F352" s="58"/>
      <c r="I352" s="55"/>
      <c r="J352" s="56"/>
    </row>
    <row r="353" ht="22.5" customHeight="1">
      <c r="F353" s="58"/>
      <c r="I353" s="55"/>
      <c r="J353" s="56"/>
    </row>
    <row r="354" ht="22.5" customHeight="1">
      <c r="F354" s="58"/>
      <c r="I354" s="55"/>
      <c r="J354" s="56"/>
    </row>
    <row r="355" ht="22.5" customHeight="1">
      <c r="F355" s="58"/>
      <c r="I355" s="55"/>
      <c r="J355" s="56"/>
    </row>
    <row r="356" ht="22.5" customHeight="1">
      <c r="F356" s="58"/>
      <c r="I356" s="55"/>
      <c r="J356" s="56"/>
    </row>
    <row r="357" ht="22.5" customHeight="1">
      <c r="F357" s="58"/>
      <c r="I357" s="55"/>
      <c r="J357" s="56"/>
    </row>
    <row r="358" ht="22.5" customHeight="1">
      <c r="F358" s="58"/>
      <c r="I358" s="55"/>
      <c r="J358" s="56"/>
    </row>
    <row r="359" ht="22.5" customHeight="1">
      <c r="F359" s="58"/>
      <c r="I359" s="55"/>
      <c r="J359" s="56"/>
    </row>
    <row r="360" ht="22.5" customHeight="1">
      <c r="F360" s="58"/>
      <c r="I360" s="55"/>
      <c r="J360" s="56"/>
    </row>
    <row r="361" ht="22.5" customHeight="1">
      <c r="F361" s="58"/>
      <c r="I361" s="55"/>
      <c r="J361" s="56"/>
    </row>
    <row r="362" ht="22.5" customHeight="1">
      <c r="F362" s="58"/>
      <c r="I362" s="55"/>
      <c r="J362" s="56"/>
    </row>
    <row r="363" ht="22.5" customHeight="1">
      <c r="F363" s="58"/>
      <c r="I363" s="55"/>
      <c r="J363" s="56"/>
    </row>
    <row r="364" ht="22.5" customHeight="1">
      <c r="F364" s="58"/>
      <c r="I364" s="55"/>
      <c r="J364" s="56"/>
    </row>
    <row r="365" ht="22.5" customHeight="1">
      <c r="F365" s="58"/>
      <c r="I365" s="55"/>
      <c r="J365" s="56"/>
    </row>
    <row r="366" ht="22.5" customHeight="1">
      <c r="F366" s="58"/>
      <c r="I366" s="55"/>
      <c r="J366" s="56"/>
    </row>
    <row r="367" ht="22.5" customHeight="1">
      <c r="F367" s="58"/>
      <c r="I367" s="55"/>
      <c r="J367" s="56"/>
    </row>
    <row r="368" ht="22.5" customHeight="1">
      <c r="F368" s="58"/>
      <c r="I368" s="55"/>
      <c r="J368" s="56"/>
    </row>
    <row r="369" ht="22.5" customHeight="1">
      <c r="F369" s="58"/>
      <c r="I369" s="55"/>
      <c r="J369" s="56"/>
    </row>
    <row r="370" ht="22.5" customHeight="1">
      <c r="F370" s="58"/>
      <c r="I370" s="55"/>
      <c r="J370" s="56"/>
    </row>
    <row r="371" ht="22.5" customHeight="1">
      <c r="F371" s="58"/>
      <c r="I371" s="55"/>
      <c r="J371" s="56"/>
    </row>
    <row r="372" ht="22.5" customHeight="1">
      <c r="F372" s="58"/>
      <c r="I372" s="55"/>
      <c r="J372" s="56"/>
    </row>
    <row r="373" ht="22.5" customHeight="1">
      <c r="F373" s="58"/>
      <c r="I373" s="55"/>
      <c r="J373" s="56"/>
    </row>
    <row r="374" ht="22.5" customHeight="1">
      <c r="F374" s="58"/>
      <c r="I374" s="55"/>
      <c r="J374" s="56"/>
    </row>
    <row r="375" ht="22.5" customHeight="1">
      <c r="F375" s="58"/>
      <c r="I375" s="55"/>
      <c r="J375" s="56"/>
    </row>
    <row r="376" ht="22.5" customHeight="1">
      <c r="F376" s="58"/>
      <c r="I376" s="55"/>
      <c r="J376" s="56"/>
    </row>
    <row r="377" ht="22.5" customHeight="1">
      <c r="F377" s="58"/>
      <c r="I377" s="55"/>
      <c r="J377" s="56"/>
    </row>
    <row r="378" ht="22.5" customHeight="1">
      <c r="F378" s="58"/>
      <c r="I378" s="55"/>
      <c r="J378" s="56"/>
    </row>
    <row r="379" ht="22.5" customHeight="1">
      <c r="F379" s="58"/>
      <c r="I379" s="55"/>
      <c r="J379" s="56"/>
    </row>
    <row r="380" ht="22.5" customHeight="1">
      <c r="F380" s="58"/>
      <c r="I380" s="55"/>
      <c r="J380" s="56"/>
    </row>
    <row r="381" ht="22.5" customHeight="1">
      <c r="F381" s="58"/>
      <c r="I381" s="55"/>
      <c r="J381" s="56"/>
    </row>
    <row r="382" ht="22.5" customHeight="1">
      <c r="F382" s="58"/>
      <c r="I382" s="55"/>
      <c r="J382" s="56"/>
    </row>
    <row r="383" ht="22.5" customHeight="1">
      <c r="F383" s="58"/>
      <c r="I383" s="55"/>
      <c r="J383" s="56"/>
    </row>
    <row r="384" ht="22.5" customHeight="1">
      <c r="F384" s="58"/>
      <c r="I384" s="55"/>
      <c r="J384" s="56"/>
    </row>
    <row r="385" ht="22.5" customHeight="1">
      <c r="F385" s="58"/>
      <c r="I385" s="55"/>
      <c r="J385" s="56"/>
    </row>
    <row r="386" ht="22.5" customHeight="1">
      <c r="F386" s="58"/>
      <c r="I386" s="55"/>
      <c r="J386" s="56"/>
    </row>
    <row r="387" ht="22.5" customHeight="1">
      <c r="F387" s="58"/>
      <c r="I387" s="55"/>
      <c r="J387" s="56"/>
    </row>
    <row r="388" ht="22.5" customHeight="1">
      <c r="F388" s="58"/>
      <c r="I388" s="55"/>
      <c r="J388" s="56"/>
    </row>
    <row r="389" ht="22.5" customHeight="1">
      <c r="F389" s="58"/>
      <c r="I389" s="55"/>
      <c r="J389" s="56"/>
    </row>
    <row r="390" ht="22.5" customHeight="1">
      <c r="F390" s="58"/>
      <c r="I390" s="55"/>
      <c r="J390" s="56"/>
    </row>
    <row r="391" ht="22.5" customHeight="1">
      <c r="F391" s="58"/>
      <c r="I391" s="55"/>
      <c r="J391" s="56"/>
    </row>
    <row r="392" ht="22.5" customHeight="1">
      <c r="F392" s="58"/>
      <c r="I392" s="55"/>
      <c r="J392" s="56"/>
    </row>
    <row r="393" ht="22.5" customHeight="1">
      <c r="F393" s="58"/>
      <c r="I393" s="55"/>
      <c r="J393" s="56"/>
    </row>
    <row r="394" ht="22.5" customHeight="1">
      <c r="F394" s="58"/>
      <c r="I394" s="55"/>
      <c r="J394" s="56"/>
    </row>
    <row r="395" ht="22.5" customHeight="1">
      <c r="F395" s="58"/>
      <c r="I395" s="55"/>
      <c r="J395" s="56"/>
    </row>
    <row r="396" ht="22.5" customHeight="1">
      <c r="F396" s="58"/>
      <c r="I396" s="55"/>
      <c r="J396" s="56"/>
    </row>
    <row r="397" ht="22.5" customHeight="1">
      <c r="F397" s="58"/>
      <c r="I397" s="55"/>
      <c r="J397" s="56"/>
    </row>
    <row r="398" ht="22.5" customHeight="1">
      <c r="F398" s="58"/>
      <c r="I398" s="55"/>
      <c r="J398" s="56"/>
    </row>
    <row r="399" ht="22.5" customHeight="1">
      <c r="F399" s="58"/>
      <c r="I399" s="55"/>
      <c r="J399" s="56"/>
    </row>
    <row r="400" ht="22.5" customHeight="1">
      <c r="F400" s="58"/>
      <c r="I400" s="55"/>
      <c r="J400" s="56"/>
    </row>
    <row r="401" ht="22.5" customHeight="1">
      <c r="F401" s="58"/>
      <c r="I401" s="55"/>
      <c r="J401" s="56"/>
    </row>
    <row r="402" ht="22.5" customHeight="1">
      <c r="F402" s="58"/>
      <c r="I402" s="55"/>
      <c r="J402" s="56"/>
    </row>
    <row r="403" ht="22.5" customHeight="1">
      <c r="F403" s="58"/>
      <c r="I403" s="55"/>
      <c r="J403" s="56"/>
    </row>
    <row r="404" ht="22.5" customHeight="1">
      <c r="F404" s="58"/>
      <c r="I404" s="55"/>
      <c r="J404" s="56"/>
    </row>
    <row r="405" ht="22.5" customHeight="1">
      <c r="F405" s="58"/>
      <c r="I405" s="55"/>
      <c r="J405" s="56"/>
    </row>
    <row r="406" ht="22.5" customHeight="1">
      <c r="F406" s="58"/>
      <c r="I406" s="55"/>
      <c r="J406" s="56"/>
    </row>
    <row r="407" ht="22.5" customHeight="1">
      <c r="F407" s="58"/>
      <c r="I407" s="55"/>
      <c r="J407" s="56"/>
    </row>
    <row r="408" ht="22.5" customHeight="1">
      <c r="F408" s="58"/>
      <c r="I408" s="55"/>
      <c r="J408" s="56"/>
    </row>
    <row r="409" ht="22.5" customHeight="1">
      <c r="F409" s="58"/>
      <c r="I409" s="55"/>
      <c r="J409" s="56"/>
    </row>
    <row r="410" ht="22.5" customHeight="1">
      <c r="F410" s="58"/>
      <c r="I410" s="55"/>
      <c r="J410" s="56"/>
    </row>
    <row r="411" ht="22.5" customHeight="1">
      <c r="F411" s="58"/>
      <c r="I411" s="55"/>
      <c r="J411" s="56"/>
    </row>
    <row r="412" ht="22.5" customHeight="1">
      <c r="F412" s="58"/>
      <c r="I412" s="55"/>
      <c r="J412" s="56"/>
    </row>
    <row r="413" ht="22.5" customHeight="1">
      <c r="F413" s="58"/>
      <c r="I413" s="55"/>
      <c r="J413" s="56"/>
    </row>
    <row r="414" ht="22.5" customHeight="1">
      <c r="F414" s="58"/>
      <c r="I414" s="55"/>
      <c r="J414" s="56"/>
    </row>
    <row r="415" ht="22.5" customHeight="1">
      <c r="F415" s="58"/>
      <c r="I415" s="55"/>
      <c r="J415" s="56"/>
    </row>
    <row r="416" ht="22.5" customHeight="1">
      <c r="F416" s="58"/>
      <c r="I416" s="55"/>
      <c r="J416" s="56"/>
    </row>
    <row r="417" ht="22.5" customHeight="1">
      <c r="F417" s="58"/>
      <c r="I417" s="55"/>
      <c r="J417" s="56"/>
    </row>
    <row r="418" ht="22.5" customHeight="1">
      <c r="F418" s="58"/>
      <c r="I418" s="55"/>
      <c r="J418" s="56"/>
    </row>
    <row r="419" ht="22.5" customHeight="1">
      <c r="F419" s="58"/>
      <c r="I419" s="55"/>
      <c r="J419" s="56"/>
    </row>
    <row r="420" ht="22.5" customHeight="1">
      <c r="F420" s="58"/>
      <c r="I420" s="55"/>
      <c r="J420" s="56"/>
    </row>
    <row r="421" ht="22.5" customHeight="1">
      <c r="F421" s="58"/>
      <c r="I421" s="55"/>
      <c r="J421" s="56"/>
    </row>
    <row r="422" ht="22.5" customHeight="1">
      <c r="F422" s="58"/>
      <c r="I422" s="55"/>
      <c r="J422" s="56"/>
    </row>
    <row r="423" ht="22.5" customHeight="1">
      <c r="F423" s="58"/>
      <c r="I423" s="55"/>
      <c r="J423" s="56"/>
    </row>
    <row r="424" ht="22.5" customHeight="1">
      <c r="F424" s="58"/>
      <c r="I424" s="55"/>
      <c r="J424" s="56"/>
    </row>
    <row r="425" ht="22.5" customHeight="1">
      <c r="F425" s="58"/>
      <c r="I425" s="55"/>
      <c r="J425" s="56"/>
    </row>
    <row r="426" ht="22.5" customHeight="1">
      <c r="F426" s="58"/>
      <c r="I426" s="55"/>
      <c r="J426" s="56"/>
    </row>
    <row r="427" ht="22.5" customHeight="1">
      <c r="F427" s="58"/>
      <c r="I427" s="55"/>
      <c r="J427" s="56"/>
    </row>
    <row r="428" ht="22.5" customHeight="1">
      <c r="F428" s="58"/>
      <c r="I428" s="55"/>
      <c r="J428" s="56"/>
    </row>
    <row r="429" ht="22.5" customHeight="1">
      <c r="F429" s="58"/>
      <c r="I429" s="55"/>
      <c r="J429" s="56"/>
    </row>
    <row r="430" ht="22.5" customHeight="1">
      <c r="F430" s="58"/>
      <c r="I430" s="55"/>
      <c r="J430" s="56"/>
    </row>
    <row r="431" ht="22.5" customHeight="1">
      <c r="F431" s="58"/>
      <c r="I431" s="55"/>
      <c r="J431" s="56"/>
    </row>
    <row r="432" ht="22.5" customHeight="1">
      <c r="F432" s="58"/>
      <c r="I432" s="55"/>
      <c r="J432" s="56"/>
    </row>
    <row r="433" ht="22.5" customHeight="1">
      <c r="F433" s="58"/>
      <c r="I433" s="55"/>
      <c r="J433" s="56"/>
    </row>
    <row r="434" ht="22.5" customHeight="1">
      <c r="F434" s="58"/>
      <c r="I434" s="55"/>
      <c r="J434" s="56"/>
    </row>
    <row r="435" ht="22.5" customHeight="1">
      <c r="F435" s="58"/>
      <c r="I435" s="55"/>
      <c r="J435" s="56"/>
    </row>
    <row r="436" ht="22.5" customHeight="1">
      <c r="F436" s="58"/>
      <c r="I436" s="55"/>
      <c r="J436" s="56"/>
    </row>
    <row r="437" ht="22.5" customHeight="1">
      <c r="F437" s="58"/>
      <c r="I437" s="55"/>
      <c r="J437" s="56"/>
    </row>
    <row r="438" ht="22.5" customHeight="1">
      <c r="F438" s="58"/>
      <c r="I438" s="55"/>
      <c r="J438" s="56"/>
    </row>
    <row r="439" ht="22.5" customHeight="1">
      <c r="F439" s="58"/>
      <c r="I439" s="55"/>
      <c r="J439" s="56"/>
    </row>
    <row r="440" ht="22.5" customHeight="1">
      <c r="F440" s="58"/>
      <c r="I440" s="55"/>
      <c r="J440" s="56"/>
    </row>
    <row r="441" ht="22.5" customHeight="1">
      <c r="F441" s="58"/>
      <c r="I441" s="55"/>
      <c r="J441" s="56"/>
    </row>
    <row r="442" ht="22.5" customHeight="1">
      <c r="F442" s="58"/>
      <c r="I442" s="55"/>
      <c r="J442" s="56"/>
    </row>
    <row r="443" ht="22.5" customHeight="1">
      <c r="F443" s="58"/>
      <c r="I443" s="55"/>
      <c r="J443" s="56"/>
    </row>
    <row r="444" ht="22.5" customHeight="1">
      <c r="F444" s="58"/>
      <c r="I444" s="55"/>
      <c r="J444" s="56"/>
    </row>
    <row r="445" ht="22.5" customHeight="1">
      <c r="F445" s="58"/>
      <c r="I445" s="55"/>
      <c r="J445" s="56"/>
    </row>
    <row r="446" ht="22.5" customHeight="1">
      <c r="F446" s="58"/>
      <c r="I446" s="55"/>
      <c r="J446" s="56"/>
    </row>
    <row r="447" ht="22.5" customHeight="1">
      <c r="F447" s="58"/>
      <c r="I447" s="55"/>
      <c r="J447" s="56"/>
    </row>
    <row r="448" ht="22.5" customHeight="1">
      <c r="F448" s="58"/>
      <c r="I448" s="55"/>
      <c r="J448" s="56"/>
    </row>
    <row r="449" ht="22.5" customHeight="1">
      <c r="F449" s="58"/>
      <c r="I449" s="55"/>
      <c r="J449" s="56"/>
    </row>
    <row r="450" ht="22.5" customHeight="1">
      <c r="F450" s="58"/>
      <c r="I450" s="55"/>
      <c r="J450" s="56"/>
    </row>
    <row r="451" ht="22.5" customHeight="1">
      <c r="F451" s="58"/>
      <c r="I451" s="55"/>
      <c r="J451" s="56"/>
    </row>
    <row r="452" ht="22.5" customHeight="1">
      <c r="F452" s="58"/>
      <c r="I452" s="55"/>
      <c r="J452" s="56"/>
    </row>
    <row r="453" ht="22.5" customHeight="1">
      <c r="F453" s="58"/>
      <c r="I453" s="55"/>
      <c r="J453" s="56"/>
    </row>
    <row r="454" ht="22.5" customHeight="1">
      <c r="F454" s="58"/>
      <c r="I454" s="55"/>
      <c r="J454" s="56"/>
    </row>
    <row r="455" ht="22.5" customHeight="1">
      <c r="F455" s="58"/>
      <c r="I455" s="55"/>
      <c r="J455" s="56"/>
    </row>
    <row r="456" ht="22.5" customHeight="1">
      <c r="F456" s="58"/>
      <c r="I456" s="55"/>
      <c r="J456" s="56"/>
    </row>
    <row r="457" ht="22.5" customHeight="1">
      <c r="F457" s="58"/>
      <c r="I457" s="55"/>
      <c r="J457" s="56"/>
    </row>
    <row r="458" ht="22.5" customHeight="1">
      <c r="F458" s="58"/>
      <c r="I458" s="55"/>
      <c r="J458" s="56"/>
    </row>
    <row r="459" ht="22.5" customHeight="1">
      <c r="F459" s="58"/>
      <c r="I459" s="55"/>
      <c r="J459" s="56"/>
    </row>
    <row r="460" ht="22.5" customHeight="1">
      <c r="F460" s="58"/>
      <c r="I460" s="55"/>
      <c r="J460" s="56"/>
    </row>
    <row r="461" ht="22.5" customHeight="1">
      <c r="F461" s="58"/>
      <c r="I461" s="55"/>
      <c r="J461" s="56"/>
    </row>
    <row r="462" ht="22.5" customHeight="1">
      <c r="F462" s="58"/>
      <c r="I462" s="55"/>
      <c r="J462" s="56"/>
    </row>
    <row r="463" ht="22.5" customHeight="1">
      <c r="F463" s="58"/>
      <c r="I463" s="55"/>
      <c r="J463" s="56"/>
    </row>
    <row r="464" ht="22.5" customHeight="1">
      <c r="F464" s="58"/>
      <c r="I464" s="55"/>
      <c r="J464" s="56"/>
    </row>
    <row r="465" ht="22.5" customHeight="1">
      <c r="F465" s="58"/>
      <c r="I465" s="55"/>
      <c r="J465" s="56"/>
    </row>
    <row r="466" ht="22.5" customHeight="1">
      <c r="F466" s="58"/>
      <c r="I466" s="55"/>
      <c r="J466" s="56"/>
    </row>
    <row r="467" ht="22.5" customHeight="1">
      <c r="F467" s="58"/>
      <c r="I467" s="55"/>
      <c r="J467" s="56"/>
    </row>
    <row r="468" ht="22.5" customHeight="1">
      <c r="F468" s="58"/>
      <c r="I468" s="55"/>
      <c r="J468" s="56"/>
    </row>
    <row r="469" ht="22.5" customHeight="1">
      <c r="F469" s="58"/>
      <c r="I469" s="55"/>
      <c r="J469" s="56"/>
    </row>
    <row r="470" ht="22.5" customHeight="1">
      <c r="F470" s="58"/>
      <c r="I470" s="55"/>
      <c r="J470" s="56"/>
    </row>
    <row r="471" ht="22.5" customHeight="1">
      <c r="F471" s="58"/>
      <c r="I471" s="55"/>
      <c r="J471" s="56"/>
    </row>
    <row r="472" ht="22.5" customHeight="1">
      <c r="F472" s="58"/>
      <c r="I472" s="55"/>
      <c r="J472" s="56"/>
    </row>
    <row r="473" ht="22.5" customHeight="1">
      <c r="F473" s="58"/>
      <c r="I473" s="55"/>
      <c r="J473" s="56"/>
    </row>
    <row r="474" ht="22.5" customHeight="1">
      <c r="F474" s="58"/>
      <c r="I474" s="55"/>
      <c r="J474" s="56"/>
    </row>
    <row r="475" ht="22.5" customHeight="1">
      <c r="F475" s="58"/>
      <c r="I475" s="55"/>
      <c r="J475" s="56"/>
    </row>
    <row r="476" ht="22.5" customHeight="1">
      <c r="F476" s="58"/>
      <c r="I476" s="55"/>
      <c r="J476" s="56"/>
    </row>
    <row r="477" ht="22.5" customHeight="1">
      <c r="F477" s="58"/>
      <c r="I477" s="55"/>
      <c r="J477" s="56"/>
    </row>
    <row r="478" ht="22.5" customHeight="1">
      <c r="F478" s="58"/>
      <c r="I478" s="55"/>
      <c r="J478" s="56"/>
    </row>
    <row r="479" ht="22.5" customHeight="1">
      <c r="F479" s="58"/>
      <c r="I479" s="55"/>
      <c r="J479" s="56"/>
    </row>
    <row r="480" ht="22.5" customHeight="1">
      <c r="F480" s="58"/>
      <c r="I480" s="55"/>
      <c r="J480" s="56"/>
    </row>
    <row r="481" ht="22.5" customHeight="1">
      <c r="F481" s="58"/>
      <c r="I481" s="55"/>
      <c r="J481" s="56"/>
    </row>
    <row r="482" ht="22.5" customHeight="1">
      <c r="F482" s="58"/>
      <c r="I482" s="55"/>
      <c r="J482" s="56"/>
    </row>
    <row r="483" ht="22.5" customHeight="1">
      <c r="F483" s="58"/>
      <c r="I483" s="55"/>
      <c r="J483" s="56"/>
    </row>
    <row r="484" ht="22.5" customHeight="1">
      <c r="F484" s="58"/>
      <c r="I484" s="55"/>
      <c r="J484" s="56"/>
    </row>
    <row r="485" ht="22.5" customHeight="1">
      <c r="F485" s="58"/>
      <c r="I485" s="55"/>
      <c r="J485" s="56"/>
    </row>
    <row r="486" ht="22.5" customHeight="1">
      <c r="F486" s="58"/>
      <c r="I486" s="55"/>
      <c r="J486" s="56"/>
    </row>
    <row r="487" ht="22.5" customHeight="1">
      <c r="F487" s="58"/>
      <c r="I487" s="55"/>
      <c r="J487" s="56"/>
    </row>
    <row r="488" ht="22.5" customHeight="1">
      <c r="F488" s="58"/>
      <c r="I488" s="55"/>
      <c r="J488" s="56"/>
    </row>
    <row r="489" ht="22.5" customHeight="1">
      <c r="F489" s="58"/>
      <c r="I489" s="55"/>
      <c r="J489" s="56"/>
    </row>
    <row r="490" ht="22.5" customHeight="1">
      <c r="F490" s="58"/>
      <c r="I490" s="55"/>
      <c r="J490" s="56"/>
    </row>
    <row r="491" ht="22.5" customHeight="1">
      <c r="F491" s="58"/>
      <c r="I491" s="55"/>
      <c r="J491" s="56"/>
    </row>
    <row r="492" ht="22.5" customHeight="1">
      <c r="F492" s="58"/>
      <c r="I492" s="55"/>
      <c r="J492" s="56"/>
    </row>
    <row r="493" ht="22.5" customHeight="1">
      <c r="F493" s="58"/>
      <c r="I493" s="55"/>
      <c r="J493" s="56"/>
    </row>
    <row r="494" ht="22.5" customHeight="1">
      <c r="F494" s="58"/>
      <c r="I494" s="55"/>
      <c r="J494" s="56"/>
    </row>
    <row r="495" ht="22.5" customHeight="1">
      <c r="F495" s="58"/>
      <c r="I495" s="55"/>
      <c r="J495" s="56"/>
    </row>
    <row r="496" ht="22.5" customHeight="1">
      <c r="F496" s="58"/>
      <c r="I496" s="55"/>
      <c r="J496" s="56"/>
    </row>
    <row r="497" ht="22.5" customHeight="1">
      <c r="F497" s="58"/>
      <c r="I497" s="55"/>
      <c r="J497" s="56"/>
    </row>
    <row r="498" ht="22.5" customHeight="1">
      <c r="F498" s="58"/>
      <c r="I498" s="55"/>
      <c r="J498" s="56"/>
    </row>
    <row r="499" ht="22.5" customHeight="1">
      <c r="F499" s="58"/>
      <c r="I499" s="55"/>
      <c r="J499" s="56"/>
    </row>
    <row r="500" ht="22.5" customHeight="1">
      <c r="F500" s="58"/>
      <c r="I500" s="55"/>
      <c r="J500" s="56"/>
    </row>
    <row r="501" ht="22.5" customHeight="1">
      <c r="F501" s="58"/>
      <c r="I501" s="55"/>
      <c r="J501" s="56"/>
    </row>
    <row r="502" ht="22.5" customHeight="1">
      <c r="F502" s="58"/>
      <c r="I502" s="55"/>
      <c r="J502" s="56"/>
    </row>
    <row r="503" ht="22.5" customHeight="1">
      <c r="F503" s="58"/>
      <c r="I503" s="55"/>
      <c r="J503" s="56"/>
    </row>
    <row r="504" ht="22.5" customHeight="1">
      <c r="F504" s="58"/>
      <c r="I504" s="55"/>
      <c r="J504" s="56"/>
    </row>
    <row r="505" ht="22.5" customHeight="1">
      <c r="F505" s="58"/>
      <c r="I505" s="55"/>
      <c r="J505" s="56"/>
    </row>
    <row r="506" ht="22.5" customHeight="1">
      <c r="F506" s="58"/>
      <c r="I506" s="55"/>
      <c r="J506" s="56"/>
    </row>
    <row r="507" ht="22.5" customHeight="1">
      <c r="F507" s="58"/>
      <c r="I507" s="55"/>
      <c r="J507" s="56"/>
    </row>
    <row r="508" ht="22.5" customHeight="1">
      <c r="F508" s="58"/>
      <c r="I508" s="55"/>
      <c r="J508" s="56"/>
    </row>
    <row r="509" ht="22.5" customHeight="1">
      <c r="F509" s="58"/>
      <c r="I509" s="55"/>
      <c r="J509" s="56"/>
    </row>
    <row r="510" ht="22.5" customHeight="1">
      <c r="F510" s="58"/>
      <c r="I510" s="55"/>
      <c r="J510" s="56"/>
    </row>
    <row r="511" ht="22.5" customHeight="1">
      <c r="F511" s="58"/>
      <c r="I511" s="55"/>
      <c r="J511" s="56"/>
    </row>
    <row r="512" ht="22.5" customHeight="1">
      <c r="F512" s="58"/>
      <c r="I512" s="55"/>
      <c r="J512" s="56"/>
    </row>
    <row r="513" ht="22.5" customHeight="1">
      <c r="F513" s="58"/>
      <c r="I513" s="55"/>
      <c r="J513" s="56"/>
    </row>
    <row r="514" ht="22.5" customHeight="1">
      <c r="F514" s="58"/>
      <c r="I514" s="55"/>
      <c r="J514" s="56"/>
    </row>
    <row r="515" ht="22.5" customHeight="1">
      <c r="F515" s="58"/>
      <c r="I515" s="55"/>
      <c r="J515" s="56"/>
    </row>
    <row r="516" ht="22.5" customHeight="1">
      <c r="F516" s="58"/>
      <c r="I516" s="55"/>
      <c r="J516" s="56"/>
    </row>
    <row r="517" ht="22.5" customHeight="1">
      <c r="F517" s="58"/>
      <c r="I517" s="55"/>
      <c r="J517" s="56"/>
    </row>
    <row r="518" ht="22.5" customHeight="1">
      <c r="F518" s="58"/>
      <c r="I518" s="55"/>
      <c r="J518" s="56"/>
    </row>
    <row r="519" ht="22.5" customHeight="1">
      <c r="F519" s="58"/>
      <c r="I519" s="55"/>
      <c r="J519" s="56"/>
    </row>
    <row r="520" ht="22.5" customHeight="1">
      <c r="F520" s="58"/>
      <c r="I520" s="55"/>
      <c r="J520" s="56"/>
    </row>
    <row r="521" ht="22.5" customHeight="1">
      <c r="F521" s="58"/>
      <c r="I521" s="55"/>
      <c r="J521" s="56"/>
    </row>
    <row r="522" ht="22.5" customHeight="1">
      <c r="F522" s="58"/>
      <c r="I522" s="55"/>
      <c r="J522" s="56"/>
    </row>
    <row r="523" ht="22.5" customHeight="1">
      <c r="F523" s="58"/>
      <c r="I523" s="55"/>
      <c r="J523" s="56"/>
    </row>
    <row r="524" ht="22.5" customHeight="1">
      <c r="F524" s="58"/>
      <c r="I524" s="55"/>
      <c r="J524" s="56"/>
    </row>
    <row r="525" ht="22.5" customHeight="1">
      <c r="F525" s="58"/>
      <c r="I525" s="55"/>
      <c r="J525" s="56"/>
    </row>
    <row r="526" ht="22.5" customHeight="1">
      <c r="F526" s="58"/>
      <c r="I526" s="55"/>
      <c r="J526" s="56"/>
    </row>
    <row r="527" ht="22.5" customHeight="1">
      <c r="F527" s="58"/>
      <c r="I527" s="55"/>
      <c r="J527" s="56"/>
    </row>
    <row r="528" ht="22.5" customHeight="1">
      <c r="F528" s="58"/>
      <c r="I528" s="55"/>
      <c r="J528" s="56"/>
    </row>
    <row r="529" ht="22.5" customHeight="1">
      <c r="F529" s="58"/>
      <c r="I529" s="55"/>
      <c r="J529" s="56"/>
    </row>
    <row r="530" ht="22.5" customHeight="1">
      <c r="F530" s="58"/>
      <c r="I530" s="55"/>
      <c r="J530" s="56"/>
    </row>
    <row r="531" ht="22.5" customHeight="1">
      <c r="F531" s="58"/>
      <c r="I531" s="55"/>
      <c r="J531" s="56"/>
    </row>
    <row r="532" ht="22.5" customHeight="1">
      <c r="F532" s="58"/>
      <c r="I532" s="55"/>
      <c r="J532" s="56"/>
    </row>
    <row r="533" ht="22.5" customHeight="1">
      <c r="F533" s="58"/>
      <c r="I533" s="55"/>
      <c r="J533" s="56"/>
    </row>
    <row r="534" ht="22.5" customHeight="1">
      <c r="F534" s="58"/>
      <c r="I534" s="55"/>
      <c r="J534" s="56"/>
    </row>
    <row r="535" ht="22.5" customHeight="1">
      <c r="F535" s="58"/>
      <c r="I535" s="55"/>
      <c r="J535" s="56"/>
    </row>
    <row r="536" ht="22.5" customHeight="1">
      <c r="F536" s="58"/>
      <c r="I536" s="55"/>
      <c r="J536" s="56"/>
    </row>
    <row r="537" ht="22.5" customHeight="1">
      <c r="F537" s="58"/>
      <c r="I537" s="55"/>
      <c r="J537" s="56"/>
    </row>
    <row r="538" ht="22.5" customHeight="1">
      <c r="F538" s="58"/>
      <c r="I538" s="55"/>
      <c r="J538" s="56"/>
    </row>
    <row r="539" ht="22.5" customHeight="1">
      <c r="F539" s="58"/>
      <c r="I539" s="55"/>
      <c r="J539" s="56"/>
    </row>
    <row r="540" ht="22.5" customHeight="1">
      <c r="F540" s="58"/>
      <c r="I540" s="55"/>
      <c r="J540" s="56"/>
    </row>
    <row r="541" ht="22.5" customHeight="1">
      <c r="F541" s="58"/>
      <c r="I541" s="55"/>
      <c r="J541" s="56"/>
    </row>
    <row r="542" ht="22.5" customHeight="1">
      <c r="F542" s="58"/>
      <c r="I542" s="55"/>
      <c r="J542" s="56"/>
    </row>
    <row r="543" ht="22.5" customHeight="1">
      <c r="F543" s="58"/>
      <c r="I543" s="55"/>
      <c r="J543" s="56"/>
    </row>
    <row r="544" ht="22.5" customHeight="1">
      <c r="F544" s="58"/>
      <c r="I544" s="55"/>
      <c r="J544" s="56"/>
    </row>
    <row r="545" ht="22.5" customHeight="1">
      <c r="F545" s="58"/>
      <c r="I545" s="55"/>
      <c r="J545" s="56"/>
    </row>
    <row r="546" ht="22.5" customHeight="1">
      <c r="F546" s="58"/>
      <c r="I546" s="55"/>
      <c r="J546" s="56"/>
    </row>
    <row r="547" ht="22.5" customHeight="1">
      <c r="F547" s="58"/>
      <c r="I547" s="55"/>
      <c r="J547" s="56"/>
    </row>
    <row r="548" ht="22.5" customHeight="1">
      <c r="F548" s="58"/>
      <c r="I548" s="55"/>
      <c r="J548" s="56"/>
    </row>
    <row r="549" ht="22.5" customHeight="1">
      <c r="F549" s="58"/>
      <c r="I549" s="55"/>
      <c r="J549" s="56"/>
    </row>
    <row r="550" ht="22.5" customHeight="1">
      <c r="F550" s="58"/>
      <c r="I550" s="55"/>
      <c r="J550" s="56"/>
    </row>
    <row r="551" ht="22.5" customHeight="1">
      <c r="F551" s="58"/>
      <c r="I551" s="55"/>
      <c r="J551" s="56"/>
    </row>
    <row r="552" ht="22.5" customHeight="1">
      <c r="F552" s="58"/>
      <c r="I552" s="55"/>
      <c r="J552" s="56"/>
    </row>
    <row r="553" ht="22.5" customHeight="1">
      <c r="F553" s="58"/>
      <c r="I553" s="55"/>
      <c r="J553" s="56"/>
    </row>
    <row r="554" ht="22.5" customHeight="1">
      <c r="F554" s="58"/>
      <c r="I554" s="55"/>
      <c r="J554" s="56"/>
    </row>
    <row r="555" ht="22.5" customHeight="1">
      <c r="F555" s="58"/>
      <c r="I555" s="55"/>
      <c r="J555" s="56"/>
    </row>
    <row r="556" ht="22.5" customHeight="1">
      <c r="F556" s="58"/>
      <c r="I556" s="55"/>
      <c r="J556" s="56"/>
    </row>
    <row r="557" ht="22.5" customHeight="1">
      <c r="F557" s="58"/>
      <c r="I557" s="55"/>
      <c r="J557" s="56"/>
    </row>
    <row r="558" ht="22.5" customHeight="1">
      <c r="F558" s="58"/>
      <c r="I558" s="55"/>
      <c r="J558" s="56"/>
    </row>
    <row r="559" ht="22.5" customHeight="1">
      <c r="F559" s="58"/>
      <c r="I559" s="55"/>
      <c r="J559" s="56"/>
    </row>
    <row r="560" ht="22.5" customHeight="1">
      <c r="F560" s="58"/>
      <c r="I560" s="55"/>
      <c r="J560" s="56"/>
    </row>
    <row r="561" ht="22.5" customHeight="1">
      <c r="F561" s="58"/>
      <c r="I561" s="55"/>
      <c r="J561" s="56"/>
    </row>
    <row r="562" ht="22.5" customHeight="1">
      <c r="F562" s="58"/>
      <c r="I562" s="55"/>
      <c r="J562" s="56"/>
    </row>
    <row r="563" ht="22.5" customHeight="1">
      <c r="F563" s="58"/>
      <c r="I563" s="55"/>
      <c r="J563" s="56"/>
    </row>
    <row r="564" ht="22.5" customHeight="1">
      <c r="F564" s="58"/>
      <c r="I564" s="55"/>
      <c r="J564" s="56"/>
    </row>
    <row r="565" ht="22.5" customHeight="1">
      <c r="F565" s="58"/>
      <c r="I565" s="55"/>
      <c r="J565" s="56"/>
    </row>
    <row r="566" ht="22.5" customHeight="1">
      <c r="F566" s="58"/>
      <c r="I566" s="55"/>
      <c r="J566" s="56"/>
    </row>
    <row r="567" ht="22.5" customHeight="1">
      <c r="F567" s="58"/>
      <c r="I567" s="55"/>
      <c r="J567" s="56"/>
    </row>
    <row r="568" ht="22.5" customHeight="1">
      <c r="F568" s="58"/>
      <c r="I568" s="55"/>
      <c r="J568" s="56"/>
    </row>
    <row r="569" ht="22.5" customHeight="1">
      <c r="F569" s="58"/>
      <c r="I569" s="55"/>
      <c r="J569" s="56"/>
    </row>
    <row r="570" ht="22.5" customHeight="1">
      <c r="F570" s="58"/>
      <c r="I570" s="55"/>
      <c r="J570" s="56"/>
    </row>
    <row r="571" ht="22.5" customHeight="1">
      <c r="F571" s="58"/>
      <c r="I571" s="55"/>
      <c r="J571" s="56"/>
    </row>
    <row r="572" ht="22.5" customHeight="1">
      <c r="F572" s="58"/>
      <c r="I572" s="55"/>
      <c r="J572" s="56"/>
    </row>
    <row r="573" ht="22.5" customHeight="1">
      <c r="F573" s="58"/>
      <c r="I573" s="55"/>
      <c r="J573" s="56"/>
    </row>
    <row r="574" ht="22.5" customHeight="1">
      <c r="F574" s="58"/>
      <c r="I574" s="55"/>
      <c r="J574" s="56"/>
    </row>
    <row r="575" ht="22.5" customHeight="1">
      <c r="F575" s="58"/>
      <c r="I575" s="55"/>
      <c r="J575" s="56"/>
    </row>
    <row r="576" ht="22.5" customHeight="1">
      <c r="F576" s="58"/>
      <c r="I576" s="55"/>
      <c r="J576" s="56"/>
    </row>
    <row r="577" ht="22.5" customHeight="1">
      <c r="F577" s="58"/>
      <c r="I577" s="55"/>
      <c r="J577" s="56"/>
    </row>
    <row r="578" ht="22.5" customHeight="1">
      <c r="F578" s="58"/>
      <c r="I578" s="55"/>
      <c r="J578" s="56"/>
    </row>
    <row r="579" ht="22.5" customHeight="1">
      <c r="F579" s="58"/>
      <c r="I579" s="55"/>
      <c r="J579" s="56"/>
    </row>
    <row r="580" ht="22.5" customHeight="1">
      <c r="F580" s="58"/>
      <c r="I580" s="55"/>
      <c r="J580" s="56"/>
    </row>
    <row r="581" ht="22.5" customHeight="1">
      <c r="F581" s="58"/>
      <c r="I581" s="55"/>
      <c r="J581" s="56"/>
    </row>
    <row r="582" ht="22.5" customHeight="1">
      <c r="F582" s="58"/>
      <c r="I582" s="55"/>
      <c r="J582" s="56"/>
    </row>
    <row r="583" ht="22.5" customHeight="1">
      <c r="F583" s="58"/>
      <c r="I583" s="55"/>
      <c r="J583" s="56"/>
    </row>
    <row r="584" ht="22.5" customHeight="1">
      <c r="F584" s="58"/>
      <c r="I584" s="55"/>
      <c r="J584" s="56"/>
    </row>
    <row r="585" ht="22.5" customHeight="1">
      <c r="F585" s="58"/>
      <c r="I585" s="55"/>
      <c r="J585" s="56"/>
    </row>
    <row r="586" ht="22.5" customHeight="1">
      <c r="F586" s="58"/>
      <c r="I586" s="55"/>
      <c r="J586" s="56"/>
    </row>
    <row r="587" ht="22.5" customHeight="1">
      <c r="F587" s="58"/>
      <c r="I587" s="55"/>
      <c r="J587" s="56"/>
    </row>
    <row r="588" ht="22.5" customHeight="1">
      <c r="F588" s="58"/>
      <c r="I588" s="55"/>
      <c r="J588" s="56"/>
    </row>
    <row r="589" ht="22.5" customHeight="1">
      <c r="F589" s="58"/>
      <c r="I589" s="55"/>
      <c r="J589" s="56"/>
    </row>
    <row r="590" ht="22.5" customHeight="1">
      <c r="F590" s="58"/>
      <c r="I590" s="55"/>
      <c r="J590" s="56"/>
    </row>
    <row r="591" ht="22.5" customHeight="1">
      <c r="F591" s="58"/>
      <c r="I591" s="55"/>
      <c r="J591" s="56"/>
    </row>
    <row r="592" ht="22.5" customHeight="1">
      <c r="F592" s="58"/>
      <c r="I592" s="55"/>
      <c r="J592" s="56"/>
    </row>
    <row r="593" ht="22.5" customHeight="1">
      <c r="F593" s="58"/>
      <c r="I593" s="55"/>
      <c r="J593" s="56"/>
    </row>
    <row r="594" ht="22.5" customHeight="1">
      <c r="F594" s="58"/>
      <c r="I594" s="55"/>
      <c r="J594" s="56"/>
    </row>
    <row r="595" ht="22.5" customHeight="1">
      <c r="F595" s="58"/>
      <c r="I595" s="55"/>
      <c r="J595" s="56"/>
    </row>
    <row r="596" ht="22.5" customHeight="1">
      <c r="F596" s="58"/>
      <c r="I596" s="55"/>
      <c r="J596" s="56"/>
    </row>
    <row r="597" ht="22.5" customHeight="1">
      <c r="F597" s="58"/>
      <c r="I597" s="55"/>
      <c r="J597" s="56"/>
    </row>
    <row r="598" ht="22.5" customHeight="1">
      <c r="F598" s="58"/>
      <c r="I598" s="55"/>
      <c r="J598" s="56"/>
    </row>
    <row r="599" ht="22.5" customHeight="1">
      <c r="F599" s="58"/>
      <c r="I599" s="55"/>
      <c r="J599" s="56"/>
    </row>
    <row r="600" ht="22.5" customHeight="1">
      <c r="F600" s="58"/>
      <c r="I600" s="55"/>
      <c r="J600" s="56"/>
    </row>
    <row r="601" ht="22.5" customHeight="1">
      <c r="F601" s="58"/>
      <c r="I601" s="55"/>
      <c r="J601" s="56"/>
    </row>
    <row r="602" ht="22.5" customHeight="1">
      <c r="F602" s="58"/>
      <c r="I602" s="55"/>
      <c r="J602" s="56"/>
    </row>
    <row r="603" ht="22.5" customHeight="1">
      <c r="F603" s="58"/>
      <c r="I603" s="55"/>
      <c r="J603" s="56"/>
    </row>
    <row r="604" ht="22.5" customHeight="1">
      <c r="F604" s="58"/>
      <c r="I604" s="55"/>
      <c r="J604" s="56"/>
    </row>
    <row r="605" ht="22.5" customHeight="1">
      <c r="F605" s="58"/>
      <c r="I605" s="55"/>
      <c r="J605" s="56"/>
    </row>
    <row r="606" ht="22.5" customHeight="1">
      <c r="F606" s="58"/>
      <c r="I606" s="55"/>
      <c r="J606" s="56"/>
    </row>
    <row r="607" ht="22.5" customHeight="1">
      <c r="F607" s="58"/>
      <c r="I607" s="55"/>
      <c r="J607" s="56"/>
    </row>
    <row r="608" ht="22.5" customHeight="1">
      <c r="F608" s="58"/>
      <c r="I608" s="55"/>
      <c r="J608" s="56"/>
    </row>
    <row r="609" ht="22.5" customHeight="1">
      <c r="F609" s="58"/>
      <c r="I609" s="55"/>
      <c r="J609" s="56"/>
    </row>
    <row r="610" ht="22.5" customHeight="1">
      <c r="F610" s="58"/>
      <c r="I610" s="55"/>
      <c r="J610" s="56"/>
    </row>
    <row r="611" ht="22.5" customHeight="1">
      <c r="F611" s="58"/>
      <c r="I611" s="55"/>
      <c r="J611" s="56"/>
    </row>
    <row r="612" ht="22.5" customHeight="1">
      <c r="F612" s="58"/>
      <c r="I612" s="55"/>
      <c r="J612" s="56"/>
    </row>
    <row r="613" ht="22.5" customHeight="1">
      <c r="F613" s="58"/>
      <c r="I613" s="55"/>
      <c r="J613" s="56"/>
    </row>
    <row r="614" ht="22.5" customHeight="1">
      <c r="F614" s="58"/>
      <c r="I614" s="55"/>
      <c r="J614" s="56"/>
    </row>
    <row r="615" ht="22.5" customHeight="1">
      <c r="F615" s="58"/>
      <c r="I615" s="55"/>
      <c r="J615" s="56"/>
    </row>
    <row r="616" ht="22.5" customHeight="1">
      <c r="F616" s="58"/>
      <c r="I616" s="55"/>
      <c r="J616" s="56"/>
    </row>
    <row r="617" ht="22.5" customHeight="1">
      <c r="F617" s="58"/>
      <c r="I617" s="55"/>
      <c r="J617" s="56"/>
    </row>
    <row r="618" ht="22.5" customHeight="1">
      <c r="F618" s="58"/>
      <c r="I618" s="55"/>
      <c r="J618" s="56"/>
    </row>
    <row r="619" ht="22.5" customHeight="1">
      <c r="F619" s="58"/>
      <c r="I619" s="55"/>
      <c r="J619" s="56"/>
    </row>
    <row r="620" ht="22.5" customHeight="1">
      <c r="F620" s="58"/>
      <c r="I620" s="55"/>
      <c r="J620" s="56"/>
    </row>
    <row r="621" ht="22.5" customHeight="1">
      <c r="F621" s="58"/>
      <c r="I621" s="55"/>
      <c r="J621" s="56"/>
    </row>
    <row r="622" ht="22.5" customHeight="1">
      <c r="F622" s="58"/>
      <c r="I622" s="55"/>
      <c r="J622" s="56"/>
    </row>
    <row r="623" ht="22.5" customHeight="1">
      <c r="F623" s="58"/>
      <c r="I623" s="55"/>
      <c r="J623" s="56"/>
    </row>
    <row r="624" ht="22.5" customHeight="1">
      <c r="F624" s="58"/>
      <c r="I624" s="55"/>
      <c r="J624" s="56"/>
    </row>
    <row r="625" ht="22.5" customHeight="1">
      <c r="F625" s="58"/>
      <c r="I625" s="55"/>
      <c r="J625" s="56"/>
    </row>
    <row r="626" ht="22.5" customHeight="1">
      <c r="F626" s="58"/>
      <c r="I626" s="55"/>
      <c r="J626" s="56"/>
    </row>
    <row r="627" ht="22.5" customHeight="1">
      <c r="F627" s="58"/>
      <c r="I627" s="55"/>
      <c r="J627" s="56"/>
    </row>
    <row r="628" ht="22.5" customHeight="1">
      <c r="F628" s="58"/>
      <c r="I628" s="55"/>
      <c r="J628" s="56"/>
    </row>
    <row r="629" ht="22.5" customHeight="1">
      <c r="F629" s="58"/>
      <c r="I629" s="55"/>
      <c r="J629" s="56"/>
    </row>
    <row r="630" ht="22.5" customHeight="1">
      <c r="F630" s="58"/>
      <c r="I630" s="55"/>
      <c r="J630" s="56"/>
    </row>
    <row r="631" ht="22.5" customHeight="1">
      <c r="F631" s="58"/>
      <c r="I631" s="55"/>
      <c r="J631" s="56"/>
    </row>
    <row r="632" ht="22.5" customHeight="1">
      <c r="F632" s="58"/>
      <c r="I632" s="55"/>
      <c r="J632" s="56"/>
    </row>
    <row r="633" ht="22.5" customHeight="1">
      <c r="F633" s="58"/>
      <c r="I633" s="55"/>
      <c r="J633" s="56"/>
    </row>
    <row r="634" ht="22.5" customHeight="1">
      <c r="F634" s="58"/>
      <c r="I634" s="55"/>
      <c r="J634" s="56"/>
    </row>
    <row r="635" ht="22.5" customHeight="1">
      <c r="F635" s="58"/>
      <c r="I635" s="55"/>
      <c r="J635" s="56"/>
    </row>
    <row r="636" ht="22.5" customHeight="1">
      <c r="F636" s="58"/>
      <c r="I636" s="55"/>
      <c r="J636" s="56"/>
    </row>
    <row r="637" ht="22.5" customHeight="1">
      <c r="F637" s="58"/>
      <c r="I637" s="55"/>
      <c r="J637" s="56"/>
    </row>
    <row r="638" ht="22.5" customHeight="1">
      <c r="F638" s="58"/>
      <c r="I638" s="55"/>
      <c r="J638" s="56"/>
    </row>
    <row r="639" ht="22.5" customHeight="1">
      <c r="F639" s="58"/>
      <c r="I639" s="55"/>
      <c r="J639" s="56"/>
    </row>
    <row r="640" ht="22.5" customHeight="1">
      <c r="F640" s="58"/>
      <c r="I640" s="55"/>
      <c r="J640" s="56"/>
    </row>
    <row r="641" ht="22.5" customHeight="1">
      <c r="F641" s="58"/>
      <c r="I641" s="55"/>
      <c r="J641" s="56"/>
    </row>
    <row r="642" ht="22.5" customHeight="1">
      <c r="F642" s="58"/>
      <c r="I642" s="55"/>
      <c r="J642" s="56"/>
    </row>
    <row r="643" ht="22.5" customHeight="1">
      <c r="F643" s="58"/>
      <c r="I643" s="55"/>
      <c r="J643" s="56"/>
    </row>
    <row r="644" ht="22.5" customHeight="1">
      <c r="F644" s="58"/>
      <c r="I644" s="55"/>
      <c r="J644" s="56"/>
    </row>
    <row r="645" ht="22.5" customHeight="1">
      <c r="F645" s="58"/>
      <c r="I645" s="55"/>
      <c r="J645" s="56"/>
    </row>
    <row r="646" ht="22.5" customHeight="1">
      <c r="F646" s="58"/>
      <c r="I646" s="55"/>
      <c r="J646" s="56"/>
    </row>
    <row r="647" ht="22.5" customHeight="1">
      <c r="F647" s="58"/>
      <c r="I647" s="55"/>
      <c r="J647" s="56"/>
    </row>
    <row r="648" ht="22.5" customHeight="1">
      <c r="F648" s="58"/>
      <c r="I648" s="55"/>
      <c r="J648" s="56"/>
    </row>
    <row r="649" ht="22.5" customHeight="1">
      <c r="F649" s="58"/>
      <c r="I649" s="55"/>
      <c r="J649" s="56"/>
    </row>
    <row r="650" ht="22.5" customHeight="1">
      <c r="F650" s="58"/>
      <c r="I650" s="55"/>
      <c r="J650" s="56"/>
    </row>
    <row r="651" ht="22.5" customHeight="1">
      <c r="F651" s="58"/>
      <c r="I651" s="55"/>
      <c r="J651" s="56"/>
    </row>
    <row r="652" ht="22.5" customHeight="1">
      <c r="F652" s="58"/>
      <c r="I652" s="55"/>
      <c r="J652" s="56"/>
    </row>
    <row r="653" ht="22.5" customHeight="1">
      <c r="F653" s="58"/>
      <c r="I653" s="55"/>
      <c r="J653" s="56"/>
    </row>
    <row r="654" ht="22.5" customHeight="1">
      <c r="F654" s="58"/>
      <c r="I654" s="55"/>
      <c r="J654" s="56"/>
    </row>
    <row r="655" ht="22.5" customHeight="1">
      <c r="F655" s="58"/>
      <c r="I655" s="55"/>
      <c r="J655" s="56"/>
    </row>
    <row r="656" ht="22.5" customHeight="1">
      <c r="F656" s="58"/>
      <c r="I656" s="55"/>
      <c r="J656" s="56"/>
    </row>
    <row r="657" ht="22.5" customHeight="1">
      <c r="F657" s="58"/>
      <c r="I657" s="55"/>
      <c r="J657" s="56"/>
    </row>
    <row r="658" ht="22.5" customHeight="1">
      <c r="F658" s="58"/>
      <c r="I658" s="55"/>
      <c r="J658" s="56"/>
    </row>
    <row r="659" ht="22.5" customHeight="1">
      <c r="F659" s="58"/>
      <c r="I659" s="55"/>
      <c r="J659" s="56"/>
    </row>
    <row r="660" ht="22.5" customHeight="1">
      <c r="F660" s="58"/>
      <c r="I660" s="55"/>
      <c r="J660" s="56"/>
    </row>
    <row r="661" ht="22.5" customHeight="1">
      <c r="F661" s="58"/>
      <c r="I661" s="55"/>
      <c r="J661" s="56"/>
    </row>
    <row r="662" ht="22.5" customHeight="1">
      <c r="F662" s="58"/>
      <c r="I662" s="55"/>
      <c r="J662" s="56"/>
    </row>
    <row r="663" ht="22.5" customHeight="1">
      <c r="F663" s="58"/>
      <c r="I663" s="55"/>
      <c r="J663" s="56"/>
    </row>
    <row r="664" ht="22.5" customHeight="1">
      <c r="F664" s="58"/>
      <c r="I664" s="55"/>
      <c r="J664" s="56"/>
    </row>
    <row r="665" ht="22.5" customHeight="1">
      <c r="F665" s="58"/>
      <c r="I665" s="55"/>
      <c r="J665" s="56"/>
    </row>
    <row r="666" ht="22.5" customHeight="1">
      <c r="F666" s="58"/>
      <c r="I666" s="55"/>
      <c r="J666" s="56"/>
    </row>
    <row r="667" ht="22.5" customHeight="1">
      <c r="F667" s="58"/>
      <c r="I667" s="55"/>
      <c r="J667" s="56"/>
    </row>
    <row r="668" ht="22.5" customHeight="1">
      <c r="F668" s="58"/>
      <c r="I668" s="55"/>
      <c r="J668" s="56"/>
    </row>
    <row r="669" ht="22.5" customHeight="1">
      <c r="F669" s="58"/>
      <c r="I669" s="55"/>
      <c r="J669" s="56"/>
    </row>
    <row r="670" ht="22.5" customHeight="1">
      <c r="F670" s="58"/>
      <c r="I670" s="55"/>
      <c r="J670" s="56"/>
    </row>
    <row r="671" ht="22.5" customHeight="1">
      <c r="F671" s="58"/>
      <c r="I671" s="55"/>
      <c r="J671" s="56"/>
    </row>
    <row r="672" ht="22.5" customHeight="1">
      <c r="F672" s="58"/>
      <c r="I672" s="55"/>
      <c r="J672" s="56"/>
    </row>
    <row r="673" ht="22.5" customHeight="1">
      <c r="F673" s="58"/>
      <c r="I673" s="55"/>
      <c r="J673" s="56"/>
    </row>
    <row r="674" ht="22.5" customHeight="1">
      <c r="F674" s="58"/>
      <c r="I674" s="55"/>
      <c r="J674" s="56"/>
    </row>
    <row r="675" ht="22.5" customHeight="1">
      <c r="F675" s="58"/>
      <c r="I675" s="55"/>
      <c r="J675" s="56"/>
    </row>
    <row r="676" ht="22.5" customHeight="1">
      <c r="F676" s="58"/>
      <c r="I676" s="55"/>
      <c r="J676" s="56"/>
    </row>
    <row r="677" ht="22.5" customHeight="1">
      <c r="F677" s="58"/>
      <c r="I677" s="55"/>
      <c r="J677" s="56"/>
    </row>
    <row r="678" ht="22.5" customHeight="1">
      <c r="F678" s="58"/>
      <c r="I678" s="55"/>
      <c r="J678" s="56"/>
    </row>
    <row r="679" ht="22.5" customHeight="1">
      <c r="F679" s="58"/>
      <c r="I679" s="55"/>
      <c r="J679" s="56"/>
    </row>
    <row r="680" ht="22.5" customHeight="1">
      <c r="F680" s="58"/>
      <c r="I680" s="55"/>
      <c r="J680" s="56"/>
    </row>
    <row r="681" ht="22.5" customHeight="1">
      <c r="F681" s="58"/>
      <c r="I681" s="55"/>
      <c r="J681" s="56"/>
    </row>
    <row r="682" ht="22.5" customHeight="1">
      <c r="F682" s="58"/>
      <c r="I682" s="55"/>
      <c r="J682" s="56"/>
    </row>
    <row r="683" ht="22.5" customHeight="1">
      <c r="F683" s="58"/>
      <c r="I683" s="55"/>
      <c r="J683" s="56"/>
    </row>
    <row r="684" ht="22.5" customHeight="1">
      <c r="F684" s="58"/>
      <c r="I684" s="55"/>
      <c r="J684" s="56"/>
    </row>
    <row r="685" ht="22.5" customHeight="1">
      <c r="F685" s="58"/>
      <c r="I685" s="55"/>
      <c r="J685" s="56"/>
    </row>
    <row r="686" ht="22.5" customHeight="1">
      <c r="F686" s="58"/>
      <c r="I686" s="55"/>
      <c r="J686" s="56"/>
    </row>
    <row r="687" ht="22.5" customHeight="1">
      <c r="F687" s="58"/>
      <c r="I687" s="55"/>
      <c r="J687" s="56"/>
    </row>
    <row r="688" ht="22.5" customHeight="1">
      <c r="F688" s="58"/>
      <c r="I688" s="55"/>
      <c r="J688" s="56"/>
    </row>
    <row r="689" ht="22.5" customHeight="1">
      <c r="F689" s="58"/>
      <c r="I689" s="55"/>
      <c r="J689" s="56"/>
    </row>
    <row r="690" ht="22.5" customHeight="1">
      <c r="F690" s="58"/>
      <c r="I690" s="55"/>
      <c r="J690" s="56"/>
    </row>
    <row r="691" ht="22.5" customHeight="1">
      <c r="F691" s="58"/>
      <c r="I691" s="55"/>
      <c r="J691" s="56"/>
    </row>
    <row r="692" ht="22.5" customHeight="1">
      <c r="F692" s="58"/>
      <c r="I692" s="55"/>
      <c r="J692" s="56"/>
    </row>
    <row r="693" ht="22.5" customHeight="1">
      <c r="F693" s="58"/>
      <c r="I693" s="55"/>
      <c r="J693" s="56"/>
    </row>
    <row r="694" ht="22.5" customHeight="1">
      <c r="F694" s="58"/>
      <c r="I694" s="55"/>
      <c r="J694" s="56"/>
    </row>
    <row r="695" ht="22.5" customHeight="1">
      <c r="F695" s="58"/>
      <c r="I695" s="55"/>
      <c r="J695" s="56"/>
    </row>
    <row r="696" ht="22.5" customHeight="1">
      <c r="F696" s="58"/>
      <c r="I696" s="55"/>
      <c r="J696" s="56"/>
    </row>
    <row r="697" ht="22.5" customHeight="1">
      <c r="F697" s="58"/>
      <c r="I697" s="55"/>
      <c r="J697" s="56"/>
    </row>
    <row r="698" ht="22.5" customHeight="1">
      <c r="F698" s="58"/>
      <c r="I698" s="55"/>
      <c r="J698" s="56"/>
    </row>
    <row r="699" ht="22.5" customHeight="1">
      <c r="F699" s="58"/>
      <c r="I699" s="55"/>
      <c r="J699" s="56"/>
    </row>
    <row r="700" ht="22.5" customHeight="1">
      <c r="F700" s="58"/>
      <c r="I700" s="55"/>
      <c r="J700" s="56"/>
    </row>
    <row r="701" ht="22.5" customHeight="1">
      <c r="F701" s="58"/>
      <c r="I701" s="55"/>
      <c r="J701" s="56"/>
    </row>
    <row r="702" ht="22.5" customHeight="1">
      <c r="F702" s="58"/>
      <c r="I702" s="55"/>
      <c r="J702" s="56"/>
    </row>
    <row r="703" ht="22.5" customHeight="1">
      <c r="F703" s="58"/>
      <c r="I703" s="55"/>
      <c r="J703" s="56"/>
    </row>
    <row r="704" ht="22.5" customHeight="1">
      <c r="F704" s="58"/>
      <c r="I704" s="55"/>
      <c r="J704" s="56"/>
    </row>
    <row r="705" ht="22.5" customHeight="1">
      <c r="F705" s="58"/>
      <c r="I705" s="55"/>
      <c r="J705" s="56"/>
    </row>
    <row r="706" ht="22.5" customHeight="1">
      <c r="F706" s="58"/>
      <c r="I706" s="55"/>
      <c r="J706" s="56"/>
    </row>
    <row r="707" ht="22.5" customHeight="1">
      <c r="F707" s="58"/>
      <c r="I707" s="55"/>
      <c r="J707" s="56"/>
    </row>
    <row r="708" ht="22.5" customHeight="1">
      <c r="F708" s="58"/>
      <c r="I708" s="55"/>
      <c r="J708" s="56"/>
    </row>
    <row r="709" ht="22.5" customHeight="1">
      <c r="F709" s="58"/>
      <c r="I709" s="55"/>
      <c r="J709" s="56"/>
    </row>
    <row r="710" ht="22.5" customHeight="1">
      <c r="F710" s="58"/>
      <c r="I710" s="55"/>
      <c r="J710" s="56"/>
    </row>
    <row r="711" ht="22.5" customHeight="1">
      <c r="F711" s="58"/>
      <c r="I711" s="55"/>
      <c r="J711" s="56"/>
    </row>
    <row r="712" ht="22.5" customHeight="1">
      <c r="F712" s="58"/>
      <c r="I712" s="55"/>
      <c r="J712" s="56"/>
    </row>
    <row r="713" ht="22.5" customHeight="1">
      <c r="F713" s="58"/>
      <c r="I713" s="55"/>
      <c r="J713" s="56"/>
    </row>
    <row r="714" ht="22.5" customHeight="1">
      <c r="F714" s="58"/>
      <c r="I714" s="55"/>
      <c r="J714" s="56"/>
    </row>
    <row r="715" ht="22.5" customHeight="1">
      <c r="F715" s="58"/>
      <c r="I715" s="55"/>
      <c r="J715" s="56"/>
    </row>
    <row r="716" ht="22.5" customHeight="1">
      <c r="F716" s="58"/>
      <c r="I716" s="55"/>
      <c r="J716" s="56"/>
    </row>
    <row r="717" ht="22.5" customHeight="1">
      <c r="F717" s="58"/>
      <c r="I717" s="55"/>
      <c r="J717" s="56"/>
    </row>
    <row r="718" ht="22.5" customHeight="1">
      <c r="F718" s="58"/>
      <c r="I718" s="55"/>
      <c r="J718" s="56"/>
    </row>
    <row r="719" ht="22.5" customHeight="1">
      <c r="F719" s="58"/>
      <c r="I719" s="55"/>
      <c r="J719" s="56"/>
    </row>
    <row r="720" ht="22.5" customHeight="1">
      <c r="F720" s="58"/>
      <c r="I720" s="55"/>
      <c r="J720" s="56"/>
    </row>
    <row r="721" ht="22.5" customHeight="1">
      <c r="F721" s="58"/>
      <c r="I721" s="55"/>
      <c r="J721" s="56"/>
    </row>
    <row r="722" ht="22.5" customHeight="1">
      <c r="F722" s="58"/>
      <c r="I722" s="55"/>
      <c r="J722" s="56"/>
    </row>
    <row r="723" ht="22.5" customHeight="1">
      <c r="F723" s="58"/>
      <c r="I723" s="55"/>
      <c r="J723" s="56"/>
    </row>
    <row r="724" ht="22.5" customHeight="1">
      <c r="F724" s="58"/>
      <c r="I724" s="55"/>
      <c r="J724" s="56"/>
    </row>
    <row r="725" ht="22.5" customHeight="1">
      <c r="F725" s="58"/>
      <c r="I725" s="55"/>
      <c r="J725" s="56"/>
    </row>
    <row r="726" ht="22.5" customHeight="1">
      <c r="F726" s="58"/>
      <c r="I726" s="55"/>
      <c r="J726" s="56"/>
    </row>
    <row r="727" ht="22.5" customHeight="1">
      <c r="F727" s="58"/>
      <c r="I727" s="55"/>
      <c r="J727" s="56"/>
    </row>
    <row r="728" ht="22.5" customHeight="1">
      <c r="F728" s="58"/>
      <c r="I728" s="55"/>
      <c r="J728" s="56"/>
    </row>
    <row r="729" ht="22.5" customHeight="1">
      <c r="F729" s="58"/>
      <c r="I729" s="55"/>
      <c r="J729" s="56"/>
    </row>
    <row r="730" ht="22.5" customHeight="1">
      <c r="F730" s="58"/>
      <c r="I730" s="55"/>
      <c r="J730" s="56"/>
    </row>
    <row r="731" ht="22.5" customHeight="1">
      <c r="F731" s="58"/>
      <c r="I731" s="55"/>
      <c r="J731" s="56"/>
    </row>
    <row r="732" ht="22.5" customHeight="1">
      <c r="F732" s="58"/>
      <c r="I732" s="55"/>
      <c r="J732" s="56"/>
    </row>
    <row r="733" ht="22.5" customHeight="1">
      <c r="F733" s="58"/>
      <c r="I733" s="55"/>
      <c r="J733" s="56"/>
    </row>
    <row r="734" ht="22.5" customHeight="1">
      <c r="F734" s="58"/>
      <c r="I734" s="55"/>
      <c r="J734" s="56"/>
    </row>
    <row r="735" ht="22.5" customHeight="1">
      <c r="F735" s="58"/>
      <c r="I735" s="55"/>
      <c r="J735" s="56"/>
    </row>
    <row r="736" ht="22.5" customHeight="1">
      <c r="F736" s="58"/>
      <c r="I736" s="55"/>
      <c r="J736" s="56"/>
    </row>
    <row r="737" ht="22.5" customHeight="1">
      <c r="F737" s="58"/>
      <c r="J737" s="56"/>
    </row>
    <row r="738" ht="22.5" customHeight="1">
      <c r="F738" s="58"/>
      <c r="J738" s="56"/>
    </row>
    <row r="739" ht="22.5" customHeight="1">
      <c r="F739" s="58"/>
      <c r="J739" s="56"/>
    </row>
    <row r="740" ht="22.5" customHeight="1">
      <c r="F740" s="58"/>
      <c r="J740" s="56"/>
    </row>
    <row r="741" ht="22.5" customHeight="1">
      <c r="F741" s="58"/>
      <c r="J741" s="56"/>
    </row>
    <row r="742" ht="22.5" customHeight="1">
      <c r="F742" s="58"/>
      <c r="J742" s="56"/>
    </row>
    <row r="743" ht="22.5" customHeight="1">
      <c r="F743" s="58"/>
      <c r="J743" s="56"/>
    </row>
    <row r="744" ht="22.5" customHeight="1">
      <c r="F744" s="58"/>
      <c r="J744" s="56"/>
    </row>
    <row r="745" ht="22.5" customHeight="1">
      <c r="F745" s="58"/>
      <c r="J745" s="56"/>
    </row>
    <row r="746" ht="22.5" customHeight="1">
      <c r="F746" s="58"/>
      <c r="J746" s="56"/>
    </row>
    <row r="747" ht="22.5" customHeight="1">
      <c r="F747" s="58"/>
      <c r="J747" s="56"/>
    </row>
    <row r="748" ht="22.5" customHeight="1">
      <c r="F748" s="58"/>
      <c r="J748" s="56"/>
    </row>
    <row r="749" ht="22.5" customHeight="1">
      <c r="F749" s="58"/>
      <c r="J749" s="56"/>
    </row>
    <row r="750" ht="22.5" customHeight="1">
      <c r="F750" s="58"/>
      <c r="J750" s="56"/>
    </row>
    <row r="751" ht="22.5" customHeight="1">
      <c r="F751" s="58"/>
      <c r="J751" s="56"/>
    </row>
    <row r="752" ht="22.5" customHeight="1">
      <c r="F752" s="58"/>
      <c r="J752" s="56"/>
    </row>
    <row r="753" ht="22.5" customHeight="1">
      <c r="F753" s="58"/>
      <c r="J753" s="56"/>
    </row>
    <row r="754" ht="22.5" customHeight="1">
      <c r="F754" s="58"/>
      <c r="J754" s="56"/>
    </row>
    <row r="755" ht="22.5" customHeight="1">
      <c r="F755" s="58"/>
      <c r="J755" s="56"/>
    </row>
    <row r="756" ht="22.5" customHeight="1">
      <c r="F756" s="58"/>
      <c r="J756" s="56"/>
    </row>
    <row r="757" ht="22.5" customHeight="1">
      <c r="F757" s="58"/>
      <c r="J757" s="56"/>
    </row>
    <row r="758" ht="22.5" customHeight="1">
      <c r="F758" s="58"/>
      <c r="J758" s="56"/>
    </row>
    <row r="759" ht="22.5" customHeight="1">
      <c r="F759" s="58"/>
      <c r="J759" s="56"/>
    </row>
    <row r="760" ht="22.5" customHeight="1">
      <c r="F760" s="58"/>
      <c r="J760" s="56"/>
    </row>
    <row r="761" ht="22.5" customHeight="1">
      <c r="F761" s="58"/>
      <c r="J761" s="56"/>
    </row>
    <row r="762" ht="22.5" customHeight="1">
      <c r="F762" s="58"/>
      <c r="J762" s="56"/>
    </row>
    <row r="763" ht="22.5" customHeight="1">
      <c r="F763" s="58"/>
      <c r="J763" s="56"/>
    </row>
    <row r="764" ht="22.5" customHeight="1">
      <c r="F764" s="58"/>
      <c r="J764" s="56"/>
    </row>
    <row r="765" ht="22.5" customHeight="1">
      <c r="F765" s="58"/>
      <c r="J765" s="56"/>
    </row>
    <row r="766" ht="22.5" customHeight="1">
      <c r="F766" s="58"/>
      <c r="J766" s="56"/>
    </row>
    <row r="767" ht="22.5" customHeight="1">
      <c r="F767" s="58"/>
      <c r="J767" s="56"/>
    </row>
    <row r="768" ht="22.5" customHeight="1">
      <c r="F768" s="58"/>
      <c r="J768" s="56"/>
    </row>
    <row r="769" ht="22.5" customHeight="1">
      <c r="F769" s="58"/>
      <c r="J769" s="56"/>
    </row>
    <row r="770" ht="22.5" customHeight="1">
      <c r="F770" s="58"/>
      <c r="J770" s="56"/>
    </row>
    <row r="771" ht="22.5" customHeight="1">
      <c r="F771" s="58"/>
      <c r="J771" s="56"/>
    </row>
    <row r="772" ht="22.5" customHeight="1">
      <c r="F772" s="58"/>
      <c r="J772" s="56"/>
    </row>
    <row r="773" ht="22.5" customHeight="1">
      <c r="F773" s="58"/>
      <c r="J773" s="56"/>
    </row>
    <row r="774" ht="22.5" customHeight="1">
      <c r="F774" s="58"/>
      <c r="J774" s="56"/>
    </row>
    <row r="775" ht="22.5" customHeight="1">
      <c r="F775" s="58"/>
      <c r="J775" s="56"/>
    </row>
    <row r="776" ht="22.5" customHeight="1">
      <c r="F776" s="58"/>
      <c r="J776" s="56"/>
    </row>
    <row r="777" ht="22.5" customHeight="1">
      <c r="F777" s="58"/>
      <c r="J777" s="56"/>
    </row>
    <row r="778" ht="22.5" customHeight="1">
      <c r="F778" s="58"/>
      <c r="J778" s="56"/>
    </row>
    <row r="779" ht="22.5" customHeight="1">
      <c r="F779" s="58"/>
      <c r="J779" s="56"/>
    </row>
    <row r="780" ht="22.5" customHeight="1">
      <c r="F780" s="58"/>
      <c r="J780" s="56"/>
    </row>
    <row r="781" ht="22.5" customHeight="1">
      <c r="F781" s="58"/>
      <c r="J781" s="56"/>
    </row>
    <row r="782" ht="22.5" customHeight="1">
      <c r="F782" s="58"/>
      <c r="J782" s="56"/>
    </row>
    <row r="783" ht="22.5" customHeight="1">
      <c r="F783" s="58"/>
      <c r="J783" s="56"/>
    </row>
    <row r="784" ht="22.5" customHeight="1">
      <c r="F784" s="58"/>
      <c r="J784" s="56"/>
    </row>
    <row r="785" ht="22.5" customHeight="1">
      <c r="F785" s="58"/>
      <c r="J785" s="56"/>
    </row>
    <row r="786" ht="22.5" customHeight="1">
      <c r="F786" s="58"/>
      <c r="J786" s="56"/>
    </row>
    <row r="787" ht="22.5" customHeight="1">
      <c r="F787" s="58"/>
      <c r="J787" s="56"/>
    </row>
    <row r="788" ht="22.5" customHeight="1">
      <c r="F788" s="58"/>
      <c r="J788" s="56"/>
    </row>
    <row r="789" ht="22.5" customHeight="1">
      <c r="F789" s="58"/>
      <c r="J789" s="56"/>
    </row>
    <row r="790" ht="22.5" customHeight="1">
      <c r="F790" s="58"/>
      <c r="J790" s="56"/>
    </row>
    <row r="791" ht="22.5" customHeight="1">
      <c r="F791" s="58"/>
      <c r="J791" s="56"/>
    </row>
    <row r="792" ht="22.5" customHeight="1">
      <c r="F792" s="58"/>
      <c r="J792" s="56"/>
    </row>
    <row r="793" ht="22.5" customHeight="1">
      <c r="F793" s="58"/>
      <c r="J793" s="56"/>
    </row>
    <row r="794" ht="22.5" customHeight="1">
      <c r="F794" s="58"/>
      <c r="J794" s="56"/>
    </row>
    <row r="795" ht="22.5" customHeight="1">
      <c r="F795" s="58"/>
      <c r="J795" s="56"/>
    </row>
    <row r="796" ht="22.5" customHeight="1">
      <c r="F796" s="58"/>
      <c r="J796" s="56"/>
    </row>
    <row r="797" ht="22.5" customHeight="1">
      <c r="F797" s="58"/>
      <c r="J797" s="56"/>
    </row>
    <row r="798" ht="22.5" customHeight="1">
      <c r="F798" s="58"/>
      <c r="J798" s="56"/>
    </row>
    <row r="799" ht="22.5" customHeight="1">
      <c r="F799" s="58"/>
      <c r="J799" s="56"/>
    </row>
    <row r="800" ht="22.5" customHeight="1">
      <c r="F800" s="58"/>
      <c r="J800" s="56"/>
    </row>
    <row r="801" ht="22.5" customHeight="1">
      <c r="F801" s="58"/>
      <c r="J801" s="56"/>
    </row>
    <row r="802" ht="22.5" customHeight="1">
      <c r="F802" s="58"/>
      <c r="J802" s="56"/>
    </row>
    <row r="803" ht="22.5" customHeight="1">
      <c r="F803" s="58"/>
      <c r="J803" s="56"/>
    </row>
    <row r="804" ht="22.5" customHeight="1">
      <c r="F804" s="58"/>
      <c r="J804" s="56"/>
    </row>
    <row r="805" ht="22.5" customHeight="1">
      <c r="F805" s="58"/>
      <c r="J805" s="56"/>
    </row>
    <row r="806" ht="22.5" customHeight="1">
      <c r="F806" s="58"/>
      <c r="J806" s="56"/>
    </row>
    <row r="807" ht="22.5" customHeight="1">
      <c r="F807" s="58"/>
      <c r="J807" s="56"/>
    </row>
    <row r="808" ht="22.5" customHeight="1">
      <c r="F808" s="58"/>
      <c r="J808" s="56"/>
    </row>
    <row r="809" ht="22.5" customHeight="1">
      <c r="F809" s="58"/>
      <c r="J809" s="56"/>
    </row>
    <row r="810" ht="22.5" customHeight="1">
      <c r="F810" s="58"/>
      <c r="J810" s="56"/>
    </row>
    <row r="811" ht="22.5" customHeight="1">
      <c r="F811" s="58"/>
      <c r="J811" s="56"/>
    </row>
    <row r="812" ht="22.5" customHeight="1">
      <c r="F812" s="58"/>
      <c r="J812" s="56"/>
    </row>
    <row r="813" ht="22.5" customHeight="1">
      <c r="F813" s="58"/>
      <c r="J813" s="56"/>
    </row>
    <row r="814" ht="22.5" customHeight="1">
      <c r="F814" s="58"/>
      <c r="J814" s="56"/>
    </row>
    <row r="815" ht="22.5" customHeight="1">
      <c r="F815" s="58"/>
      <c r="J815" s="56"/>
    </row>
    <row r="816" ht="22.5" customHeight="1">
      <c r="F816" s="58"/>
      <c r="J816" s="56"/>
    </row>
    <row r="817" ht="22.5" customHeight="1">
      <c r="F817" s="58"/>
      <c r="J817" s="56"/>
    </row>
    <row r="818" ht="22.5" customHeight="1">
      <c r="F818" s="58"/>
      <c r="J818" s="56"/>
    </row>
    <row r="819" ht="22.5" customHeight="1">
      <c r="F819" s="58"/>
      <c r="J819" s="56"/>
    </row>
    <row r="820" ht="22.5" customHeight="1">
      <c r="F820" s="58"/>
      <c r="J820" s="56"/>
    </row>
    <row r="821" ht="22.5" customHeight="1">
      <c r="F821" s="58"/>
      <c r="J821" s="56"/>
    </row>
    <row r="822" ht="22.5" customHeight="1">
      <c r="F822" s="58"/>
      <c r="J822" s="56"/>
    </row>
    <row r="823" ht="22.5" customHeight="1">
      <c r="F823" s="58"/>
      <c r="J823" s="56"/>
    </row>
    <row r="824" ht="22.5" customHeight="1">
      <c r="F824" s="58"/>
      <c r="J824" s="56"/>
    </row>
    <row r="825" ht="22.5" customHeight="1">
      <c r="F825" s="58"/>
      <c r="J825" s="56"/>
    </row>
    <row r="826" ht="22.5" customHeight="1">
      <c r="F826" s="58"/>
      <c r="J826" s="56"/>
    </row>
    <row r="827" ht="22.5" customHeight="1">
      <c r="F827" s="58"/>
      <c r="J827" s="56"/>
    </row>
    <row r="828" ht="22.5" customHeight="1">
      <c r="F828" s="58"/>
      <c r="J828" s="56"/>
    </row>
    <row r="829" ht="22.5" customHeight="1">
      <c r="F829" s="58"/>
      <c r="J829" s="56"/>
    </row>
    <row r="830" ht="22.5" customHeight="1">
      <c r="F830" s="58"/>
      <c r="J830" s="56"/>
    </row>
    <row r="831" ht="22.5" customHeight="1">
      <c r="F831" s="58"/>
      <c r="J831" s="56"/>
    </row>
    <row r="832" ht="22.5" customHeight="1">
      <c r="F832" s="58"/>
      <c r="J832" s="56"/>
    </row>
    <row r="833" ht="22.5" customHeight="1">
      <c r="F833" s="58"/>
      <c r="J833" s="56"/>
    </row>
    <row r="834" ht="22.5" customHeight="1">
      <c r="F834" s="58"/>
      <c r="J834" s="56"/>
    </row>
    <row r="835" ht="22.5" customHeight="1">
      <c r="F835" s="58"/>
      <c r="J835" s="56"/>
    </row>
    <row r="836" ht="22.5" customHeight="1">
      <c r="F836" s="58"/>
      <c r="J836" s="56"/>
    </row>
    <row r="837" ht="22.5" customHeight="1">
      <c r="F837" s="58"/>
      <c r="J837" s="56"/>
    </row>
    <row r="838" ht="22.5" customHeight="1">
      <c r="F838" s="58"/>
      <c r="J838" s="56"/>
    </row>
    <row r="839" ht="22.5" customHeight="1">
      <c r="F839" s="58"/>
      <c r="J839" s="56"/>
    </row>
    <row r="840" ht="22.5" customHeight="1">
      <c r="F840" s="58"/>
      <c r="J840" s="56"/>
    </row>
    <row r="841" ht="22.5" customHeight="1">
      <c r="F841" s="58"/>
      <c r="J841" s="56"/>
    </row>
    <row r="842" ht="22.5" customHeight="1">
      <c r="F842" s="58"/>
      <c r="J842" s="56"/>
    </row>
    <row r="843" ht="22.5" customHeight="1">
      <c r="F843" s="58"/>
      <c r="J843" s="56"/>
    </row>
    <row r="844" ht="22.5" customHeight="1">
      <c r="F844" s="58"/>
      <c r="J844" s="56"/>
    </row>
    <row r="845" ht="22.5" customHeight="1">
      <c r="F845" s="58"/>
      <c r="J845" s="56"/>
    </row>
    <row r="846" ht="22.5" customHeight="1">
      <c r="F846" s="58"/>
      <c r="J846" s="56"/>
    </row>
    <row r="847" ht="22.5" customHeight="1">
      <c r="F847" s="58"/>
      <c r="J847" s="56"/>
    </row>
    <row r="848" ht="22.5" customHeight="1">
      <c r="F848" s="58"/>
      <c r="J848" s="56"/>
    </row>
    <row r="849" ht="22.5" customHeight="1">
      <c r="F849" s="58"/>
      <c r="J849" s="56"/>
    </row>
    <row r="850" ht="22.5" customHeight="1">
      <c r="F850" s="58"/>
      <c r="J850" s="56"/>
    </row>
    <row r="851" ht="22.5" customHeight="1">
      <c r="F851" s="58"/>
      <c r="J851" s="56"/>
    </row>
    <row r="852" ht="22.5" customHeight="1">
      <c r="F852" s="58"/>
      <c r="J852" s="56"/>
    </row>
    <row r="853" ht="22.5" customHeight="1">
      <c r="F853" s="58"/>
      <c r="J853" s="56"/>
    </row>
    <row r="854" ht="22.5" customHeight="1">
      <c r="F854" s="58"/>
      <c r="J854" s="56"/>
    </row>
    <row r="855" ht="22.5" customHeight="1">
      <c r="F855" s="58"/>
      <c r="J855" s="56"/>
    </row>
    <row r="856" ht="22.5" customHeight="1">
      <c r="F856" s="58"/>
      <c r="J856" s="56"/>
    </row>
    <row r="857" ht="22.5" customHeight="1">
      <c r="F857" s="58"/>
      <c r="J857" s="56"/>
    </row>
    <row r="858" ht="22.5" customHeight="1">
      <c r="F858" s="58"/>
      <c r="J858" s="56"/>
    </row>
    <row r="859" ht="22.5" customHeight="1">
      <c r="F859" s="58"/>
      <c r="J859" s="56"/>
    </row>
    <row r="860" ht="22.5" customHeight="1">
      <c r="F860" s="58"/>
      <c r="J860" s="56"/>
    </row>
    <row r="861" ht="22.5" customHeight="1">
      <c r="F861" s="58"/>
      <c r="J861" s="56"/>
    </row>
    <row r="862" ht="22.5" customHeight="1">
      <c r="F862" s="58"/>
      <c r="J862" s="56"/>
    </row>
    <row r="863" ht="22.5" customHeight="1">
      <c r="F863" s="58"/>
      <c r="J863" s="56"/>
    </row>
    <row r="864" ht="22.5" customHeight="1">
      <c r="F864" s="58"/>
      <c r="J864" s="56"/>
    </row>
    <row r="865" ht="22.5" customHeight="1">
      <c r="F865" s="58"/>
      <c r="J865" s="56"/>
    </row>
    <row r="866" ht="22.5" customHeight="1">
      <c r="F866" s="58"/>
      <c r="J866" s="56"/>
    </row>
    <row r="867" ht="22.5" customHeight="1">
      <c r="F867" s="58"/>
      <c r="J867" s="56"/>
    </row>
    <row r="868" ht="22.5" customHeight="1">
      <c r="F868" s="58"/>
      <c r="J868" s="56"/>
    </row>
    <row r="869" ht="22.5" customHeight="1">
      <c r="F869" s="58"/>
      <c r="J869" s="56"/>
    </row>
    <row r="870" ht="22.5" customHeight="1">
      <c r="F870" s="58"/>
      <c r="J870" s="56"/>
    </row>
    <row r="871" ht="22.5" customHeight="1">
      <c r="F871" s="58"/>
      <c r="J871" s="56"/>
    </row>
    <row r="872" ht="22.5" customHeight="1">
      <c r="F872" s="58"/>
      <c r="J872" s="56"/>
    </row>
    <row r="873" ht="22.5" customHeight="1">
      <c r="F873" s="58"/>
      <c r="J873" s="56"/>
    </row>
    <row r="874" ht="22.5" customHeight="1">
      <c r="F874" s="58"/>
      <c r="J874" s="56"/>
    </row>
    <row r="875" ht="22.5" customHeight="1">
      <c r="F875" s="58"/>
      <c r="J875" s="56"/>
    </row>
    <row r="876" ht="22.5" customHeight="1">
      <c r="F876" s="58"/>
      <c r="J876" s="56"/>
    </row>
    <row r="877" ht="22.5" customHeight="1">
      <c r="F877" s="58"/>
      <c r="J877" s="56"/>
    </row>
    <row r="878" ht="22.5" customHeight="1">
      <c r="F878" s="58"/>
      <c r="J878" s="56"/>
    </row>
    <row r="879" ht="22.5" customHeight="1">
      <c r="F879" s="58"/>
      <c r="J879" s="56"/>
    </row>
    <row r="880" ht="22.5" customHeight="1">
      <c r="F880" s="58"/>
      <c r="J880" s="56"/>
    </row>
    <row r="881" ht="22.5" customHeight="1">
      <c r="F881" s="58"/>
      <c r="J881" s="56"/>
    </row>
    <row r="882" ht="22.5" customHeight="1">
      <c r="F882" s="58"/>
      <c r="J882" s="56"/>
    </row>
    <row r="883" ht="22.5" customHeight="1">
      <c r="F883" s="58"/>
      <c r="J883" s="56"/>
    </row>
    <row r="884" ht="22.5" customHeight="1">
      <c r="F884" s="58"/>
      <c r="J884" s="56"/>
    </row>
    <row r="885" ht="22.5" customHeight="1">
      <c r="F885" s="58"/>
      <c r="J885" s="56"/>
    </row>
    <row r="886" ht="22.5" customHeight="1">
      <c r="F886" s="58"/>
      <c r="J886" s="56"/>
    </row>
    <row r="887" ht="22.5" customHeight="1">
      <c r="F887" s="58"/>
      <c r="J887" s="56"/>
    </row>
    <row r="888" ht="22.5" customHeight="1">
      <c r="F888" s="58"/>
      <c r="J888" s="56"/>
    </row>
    <row r="889" ht="22.5" customHeight="1">
      <c r="F889" s="58"/>
      <c r="J889" s="56"/>
    </row>
    <row r="890" ht="22.5" customHeight="1">
      <c r="F890" s="58"/>
      <c r="J890" s="56"/>
    </row>
    <row r="891" ht="22.5" customHeight="1">
      <c r="F891" s="58"/>
      <c r="J891" s="56"/>
    </row>
    <row r="892" ht="22.5" customHeight="1">
      <c r="F892" s="58"/>
      <c r="J892" s="56"/>
    </row>
    <row r="893" ht="22.5" customHeight="1">
      <c r="F893" s="58"/>
      <c r="J893" s="56"/>
    </row>
    <row r="894" ht="22.5" customHeight="1">
      <c r="F894" s="58"/>
      <c r="J894" s="56"/>
    </row>
    <row r="895" ht="22.5" customHeight="1">
      <c r="F895" s="58"/>
      <c r="J895" s="56"/>
    </row>
    <row r="896" ht="22.5" customHeight="1">
      <c r="F896" s="58"/>
      <c r="J896" s="56"/>
    </row>
    <row r="897" ht="22.5" customHeight="1">
      <c r="F897" s="58"/>
      <c r="J897" s="56"/>
    </row>
    <row r="898" ht="22.5" customHeight="1">
      <c r="F898" s="58"/>
      <c r="J898" s="56"/>
    </row>
    <row r="899" ht="22.5" customHeight="1">
      <c r="F899" s="58"/>
      <c r="J899" s="56"/>
    </row>
    <row r="900" ht="22.5" customHeight="1">
      <c r="F900" s="58"/>
      <c r="J900" s="56"/>
    </row>
    <row r="901" ht="22.5" customHeight="1">
      <c r="F901" s="58"/>
      <c r="J901" s="56"/>
    </row>
    <row r="902" ht="22.5" customHeight="1">
      <c r="F902" s="58"/>
      <c r="J902" s="56"/>
    </row>
    <row r="903" ht="22.5" customHeight="1">
      <c r="F903" s="58"/>
      <c r="J903" s="56"/>
    </row>
    <row r="904" ht="22.5" customHeight="1">
      <c r="F904" s="58"/>
      <c r="J904" s="56"/>
    </row>
    <row r="905" ht="22.5" customHeight="1">
      <c r="F905" s="58"/>
      <c r="J905" s="56"/>
    </row>
    <row r="906" ht="22.5" customHeight="1">
      <c r="F906" s="58"/>
      <c r="J906" s="56"/>
    </row>
    <row r="907" ht="22.5" customHeight="1">
      <c r="F907" s="58"/>
      <c r="J907" s="56"/>
    </row>
    <row r="908" ht="22.5" customHeight="1">
      <c r="F908" s="58"/>
      <c r="J908" s="56"/>
    </row>
    <row r="909" ht="22.5" customHeight="1">
      <c r="F909" s="58"/>
      <c r="J909" s="56"/>
    </row>
    <row r="910" ht="22.5" customHeight="1">
      <c r="F910" s="58"/>
      <c r="J910" s="56"/>
    </row>
    <row r="911" ht="22.5" customHeight="1">
      <c r="F911" s="58"/>
      <c r="J911" s="56"/>
    </row>
    <row r="912" ht="22.5" customHeight="1">
      <c r="F912" s="58"/>
      <c r="J912" s="56"/>
    </row>
    <row r="913" ht="22.5" customHeight="1">
      <c r="F913" s="58"/>
      <c r="J913" s="56"/>
    </row>
    <row r="914" ht="22.5" customHeight="1">
      <c r="F914" s="58"/>
      <c r="J914" s="56"/>
    </row>
    <row r="915" ht="22.5" customHeight="1">
      <c r="F915" s="58"/>
      <c r="J915" s="56"/>
    </row>
    <row r="916" ht="22.5" customHeight="1">
      <c r="F916" s="58"/>
      <c r="J916" s="56"/>
    </row>
    <row r="917" ht="22.5" customHeight="1">
      <c r="F917" s="58"/>
      <c r="J917" s="56"/>
    </row>
    <row r="918" ht="22.5" customHeight="1">
      <c r="F918" s="58"/>
      <c r="J918" s="56"/>
    </row>
    <row r="919" ht="22.5" customHeight="1">
      <c r="F919" s="58"/>
    </row>
    <row r="920" ht="22.5" customHeight="1">
      <c r="F920" s="58"/>
    </row>
    <row r="921" ht="22.5" customHeight="1">
      <c r="F921" s="58"/>
    </row>
    <row r="922" ht="22.5" customHeight="1">
      <c r="F922" s="58"/>
    </row>
    <row r="923" ht="22.5" customHeight="1">
      <c r="F923" s="58"/>
    </row>
    <row r="924" ht="22.5" customHeight="1">
      <c r="F924" s="58"/>
    </row>
    <row r="925" ht="22.5" customHeight="1">
      <c r="F925" s="58"/>
    </row>
    <row r="926" ht="22.5" customHeight="1">
      <c r="F926" s="58"/>
    </row>
    <row r="927" ht="22.5" customHeight="1">
      <c r="F927" s="58"/>
    </row>
    <row r="928" ht="22.5" customHeight="1">
      <c r="F928" s="58"/>
    </row>
    <row r="929" ht="22.5" customHeight="1">
      <c r="F929" s="58"/>
    </row>
    <row r="930" ht="22.5" customHeight="1">
      <c r="F930" s="58"/>
    </row>
    <row r="931" ht="22.5" customHeight="1">
      <c r="F931" s="58"/>
    </row>
    <row r="932" ht="22.5" customHeight="1">
      <c r="F932" s="58"/>
    </row>
    <row r="933" ht="22.5" customHeight="1">
      <c r="F933" s="58"/>
    </row>
    <row r="934" ht="22.5" customHeight="1">
      <c r="F934" s="58"/>
    </row>
    <row r="935" ht="22.5" customHeight="1">
      <c r="F935" s="58"/>
    </row>
    <row r="936" ht="22.5" customHeight="1">
      <c r="F936" s="58"/>
    </row>
    <row r="937" ht="22.5" customHeight="1">
      <c r="F937" s="58"/>
    </row>
    <row r="938" ht="22.5" customHeight="1">
      <c r="F938" s="58"/>
    </row>
    <row r="939" ht="22.5" customHeight="1">
      <c r="F939" s="58"/>
    </row>
    <row r="940" ht="22.5" customHeight="1">
      <c r="F940" s="58"/>
    </row>
    <row r="941" ht="22.5" customHeight="1">
      <c r="F941" s="58"/>
    </row>
    <row r="942" ht="22.5" customHeight="1">
      <c r="F942" s="58"/>
    </row>
    <row r="943" ht="22.5" customHeight="1">
      <c r="F943" s="58"/>
    </row>
    <row r="944" ht="22.5" customHeight="1">
      <c r="F944" s="58"/>
    </row>
    <row r="945" ht="22.5" customHeight="1">
      <c r="F945" s="58"/>
    </row>
    <row r="946" ht="22.5" customHeight="1">
      <c r="F946" s="58"/>
    </row>
    <row r="947" ht="22.5" customHeight="1">
      <c r="F947" s="58"/>
    </row>
    <row r="948" ht="22.5" customHeight="1">
      <c r="F948" s="58"/>
    </row>
    <row r="949" ht="22.5" customHeight="1">
      <c r="F949" s="58"/>
    </row>
    <row r="950" ht="22.5" customHeight="1">
      <c r="F950" s="58"/>
    </row>
    <row r="951" ht="22.5" customHeight="1">
      <c r="F951" s="58"/>
    </row>
    <row r="952" ht="22.5" customHeight="1">
      <c r="F952" s="58"/>
    </row>
    <row r="953" ht="22.5" customHeight="1">
      <c r="F953" s="58"/>
    </row>
    <row r="954" ht="22.5" customHeight="1">
      <c r="F954" s="58"/>
    </row>
    <row r="955" ht="22.5" customHeight="1">
      <c r="F955" s="58"/>
    </row>
    <row r="956" ht="22.5" customHeight="1">
      <c r="F956" s="58"/>
    </row>
    <row r="957" ht="22.5" customHeight="1">
      <c r="F957" s="58"/>
    </row>
    <row r="958" ht="22.5" customHeight="1">
      <c r="F958" s="58"/>
    </row>
    <row r="959" ht="22.5" customHeight="1">
      <c r="F959" s="58"/>
    </row>
    <row r="960" ht="22.5" customHeight="1">
      <c r="F960" s="58"/>
    </row>
    <row r="961" ht="22.5" customHeight="1">
      <c r="F961" s="58"/>
    </row>
    <row r="962" ht="22.5" customHeight="1">
      <c r="F962" s="58"/>
    </row>
    <row r="963" ht="22.5" customHeight="1">
      <c r="F963" s="58"/>
    </row>
    <row r="964" ht="22.5" customHeight="1">
      <c r="F964" s="58"/>
    </row>
    <row r="965" ht="22.5" customHeight="1">
      <c r="F965" s="58"/>
    </row>
    <row r="966" ht="22.5" customHeight="1">
      <c r="F966" s="58"/>
    </row>
    <row r="967" ht="22.5" customHeight="1">
      <c r="F967" s="58"/>
    </row>
    <row r="968" ht="22.5" customHeight="1">
      <c r="F968" s="58"/>
    </row>
    <row r="969" ht="22.5" customHeight="1">
      <c r="F969" s="58"/>
    </row>
    <row r="970" ht="22.5" customHeight="1">
      <c r="F970" s="58"/>
    </row>
    <row r="971" ht="22.5" customHeight="1">
      <c r="F971" s="58"/>
    </row>
    <row r="972" ht="22.5" customHeight="1">
      <c r="F972" s="58"/>
    </row>
    <row r="973" ht="22.5" customHeight="1">
      <c r="F973" s="58"/>
    </row>
    <row r="974" ht="22.5" customHeight="1">
      <c r="F974" s="58"/>
    </row>
    <row r="975" ht="22.5" customHeight="1">
      <c r="F975" s="58"/>
    </row>
    <row r="976" ht="22.5" customHeight="1">
      <c r="F976" s="58"/>
    </row>
    <row r="977" ht="22.5" customHeight="1">
      <c r="F977" s="58"/>
    </row>
    <row r="978" ht="22.5" customHeight="1">
      <c r="F978" s="58"/>
    </row>
    <row r="979" ht="22.5" customHeight="1">
      <c r="F979" s="58"/>
    </row>
    <row r="980" ht="22.5" customHeight="1">
      <c r="F980" s="58"/>
    </row>
    <row r="981" ht="22.5" customHeight="1">
      <c r="F981" s="58"/>
    </row>
    <row r="982" ht="22.5" customHeight="1">
      <c r="F982" s="58"/>
    </row>
    <row r="983" ht="22.5" customHeight="1">
      <c r="F983" s="58"/>
    </row>
    <row r="984" ht="22.5" customHeight="1">
      <c r="F984" s="58"/>
    </row>
    <row r="985" ht="22.5" customHeight="1">
      <c r="F985" s="58"/>
    </row>
    <row r="986" ht="22.5" customHeight="1">
      <c r="F986" s="58"/>
    </row>
    <row r="987" ht="22.5" customHeight="1">
      <c r="F987" s="58"/>
    </row>
    <row r="988" ht="22.5" customHeight="1">
      <c r="F988" s="58"/>
    </row>
    <row r="989" ht="22.5" customHeight="1">
      <c r="F989" s="58"/>
    </row>
    <row r="990" ht="22.5" customHeight="1">
      <c r="F990" s="58"/>
    </row>
    <row r="991" ht="22.5" customHeight="1">
      <c r="F991" s="58"/>
    </row>
    <row r="992" ht="22.5" customHeight="1">
      <c r="F992" s="58"/>
    </row>
    <row r="993" ht="22.5" customHeight="1">
      <c r="F993" s="58"/>
    </row>
    <row r="994" ht="22.5" customHeight="1">
      <c r="F994" s="58"/>
    </row>
    <row r="995" ht="22.5" customHeight="1">
      <c r="F995" s="58"/>
    </row>
    <row r="996" ht="22.5" customHeight="1">
      <c r="F996" s="58"/>
    </row>
    <row r="997" ht="22.5" customHeight="1">
      <c r="F997" s="58"/>
    </row>
    <row r="998" ht="22.5" customHeight="1">
      <c r="F998" s="58"/>
    </row>
    <row r="999" ht="22.5" customHeight="1">
      <c r="F999" s="58"/>
    </row>
    <row r="1000" ht="22.5" customHeight="1">
      <c r="F1000" s="58"/>
    </row>
  </sheetData>
  <conditionalFormatting sqref="K1:K2 M1:M2">
    <cfRule type="colorScale" priority="1">
      <colorScale>
        <cfvo type="min"/>
        <cfvo type="formula" val="0"/>
        <cfvo type="max"/>
        <color rgb="FFE67C73"/>
        <color rgb="FFFFFFFF"/>
        <color rgb="FF57BB8A"/>
      </colorScale>
    </cfRule>
  </conditionalFormatting>
  <conditionalFormatting sqref="I1:J2 L1:L2">
    <cfRule type="colorScale" priority="2">
      <colorScale>
        <cfvo type="min"/>
        <cfvo type="formula" val="0"/>
        <cfvo type="max"/>
        <color rgb="FFE67C73"/>
        <color rgb="FFFFFFFF"/>
        <color rgb="FF57BB8A"/>
      </colorScale>
    </cfRule>
  </conditionalFormatting>
  <dataValidations>
    <dataValidation type="custom" allowBlank="1" showDropDown="1" sqref="S2 U2 F2:F1000">
      <formula1>AND(ISNUMBER(F2),(NOT(OR(NOT(ISERROR(DATEVALUE(F2))), AND(ISNUMBER(F2), LEFT(CELL("format", F2))="D")))))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3.88"/>
    <col customWidth="1" min="3" max="3" width="19.38"/>
    <col customWidth="1" min="4" max="4" width="53.13"/>
    <col customWidth="1" min="5" max="5" width="16.25"/>
    <col customWidth="1" min="6" max="6" width="11.75"/>
    <col customWidth="1" min="7" max="7" width="16.25"/>
    <col customWidth="1" min="8" max="8" width="20.88"/>
    <col customWidth="1" min="9" max="9" width="13.5"/>
    <col customWidth="1" min="10" max="10" width="11.88"/>
    <col customWidth="1" min="11" max="11" width="16.63"/>
    <col customWidth="1" min="12" max="12" width="14.5"/>
    <col customWidth="1" min="13" max="13" width="10.13"/>
    <col customWidth="1" min="14" max="14" width="14.25"/>
    <col customWidth="1" min="15" max="15" width="11.38"/>
    <col customWidth="1" min="16" max="16" width="17.5"/>
    <col customWidth="1" min="17" max="17" width="11.5"/>
    <col customWidth="1" min="18" max="18" width="28.38"/>
    <col customWidth="1" min="19" max="19" width="24.13"/>
    <col customWidth="1" min="20" max="20" width="51.38"/>
    <col customWidth="1" min="21" max="21" width="23.25"/>
    <col customWidth="1" min="22" max="22" width="51.5"/>
    <col customWidth="1" min="25" max="25" width="14.5"/>
    <col customWidth="1" min="29" max="29" width="18.38"/>
    <col customWidth="1" min="31" max="31" width="22.13"/>
  </cols>
  <sheetData>
    <row r="1" ht="22.5" customHeight="1">
      <c r="A1" s="36" t="s">
        <v>83</v>
      </c>
      <c r="B1" s="1" t="s">
        <v>20</v>
      </c>
      <c r="C1" s="36" t="s">
        <v>84</v>
      </c>
      <c r="D1" s="9" t="s">
        <v>85</v>
      </c>
      <c r="E1" s="59" t="s">
        <v>86</v>
      </c>
      <c r="F1" s="59" t="s">
        <v>87</v>
      </c>
      <c r="G1" s="59" t="s">
        <v>88</v>
      </c>
      <c r="H1" s="59" t="s">
        <v>89</v>
      </c>
      <c r="I1" s="59" t="s">
        <v>90</v>
      </c>
      <c r="J1" s="59" t="s">
        <v>91</v>
      </c>
      <c r="K1" s="59" t="s">
        <v>92</v>
      </c>
      <c r="L1" s="59" t="s">
        <v>93</v>
      </c>
      <c r="M1" s="59" t="s">
        <v>94</v>
      </c>
      <c r="N1" s="59" t="s">
        <v>95</v>
      </c>
      <c r="O1" s="59" t="s">
        <v>96</v>
      </c>
      <c r="P1" s="59" t="s">
        <v>97</v>
      </c>
      <c r="Q1" s="59" t="s">
        <v>98</v>
      </c>
      <c r="R1" s="59" t="s">
        <v>99</v>
      </c>
      <c r="S1" s="59" t="s">
        <v>100</v>
      </c>
      <c r="T1" s="60" t="s">
        <v>101</v>
      </c>
      <c r="U1" s="36" t="s">
        <v>102</v>
      </c>
      <c r="V1" s="60" t="s">
        <v>103</v>
      </c>
      <c r="Y1" s="1" t="s">
        <v>104</v>
      </c>
      <c r="AA1" s="1" t="s">
        <v>105</v>
      </c>
      <c r="AC1" s="1" t="s">
        <v>106</v>
      </c>
      <c r="AE1" s="1" t="s">
        <v>107</v>
      </c>
      <c r="AG1" s="1" t="s">
        <v>7</v>
      </c>
    </row>
    <row r="2" ht="22.5" customHeight="1">
      <c r="A2" s="61" t="s">
        <v>108</v>
      </c>
      <c r="B2" s="62">
        <v>45987.0</v>
      </c>
      <c r="C2" s="63" t="s">
        <v>109</v>
      </c>
      <c r="D2" s="64" t="s">
        <v>110</v>
      </c>
      <c r="E2" s="65" t="s">
        <v>39</v>
      </c>
      <c r="F2" s="66" t="s">
        <v>111</v>
      </c>
      <c r="G2" s="66" t="s">
        <v>9</v>
      </c>
      <c r="H2" s="67" t="s">
        <v>10</v>
      </c>
      <c r="I2" s="68" t="b">
        <v>0</v>
      </c>
      <c r="J2" s="69" t="b">
        <v>0</v>
      </c>
      <c r="K2" s="69" t="b">
        <v>0</v>
      </c>
      <c r="L2" s="68" t="b">
        <v>0</v>
      </c>
      <c r="M2" s="70"/>
      <c r="N2" s="71"/>
      <c r="O2" s="72"/>
      <c r="P2" s="66" t="s">
        <v>112</v>
      </c>
      <c r="R2" s="64" t="s">
        <v>113</v>
      </c>
      <c r="S2" s="73" t="s">
        <v>114</v>
      </c>
      <c r="T2" s="74"/>
      <c r="U2" s="3" t="s">
        <v>115</v>
      </c>
      <c r="V2" s="74"/>
      <c r="Y2" s="15" t="s">
        <v>116</v>
      </c>
      <c r="AA2" s="15" t="s">
        <v>117</v>
      </c>
      <c r="AC2" s="15" t="s">
        <v>118</v>
      </c>
      <c r="AE2" s="15" t="s">
        <v>12</v>
      </c>
      <c r="AG2" s="15" t="s">
        <v>11</v>
      </c>
    </row>
    <row r="3" ht="22.5" customHeight="1">
      <c r="A3" s="75" t="s">
        <v>42</v>
      </c>
      <c r="B3" s="76">
        <v>45999.0</v>
      </c>
      <c r="C3" s="75" t="s">
        <v>118</v>
      </c>
      <c r="D3" s="77" t="s">
        <v>119</v>
      </c>
      <c r="E3" s="78" t="s">
        <v>34</v>
      </c>
      <c r="F3" s="79" t="s">
        <v>111</v>
      </c>
      <c r="G3" s="80" t="s">
        <v>9</v>
      </c>
      <c r="H3" s="79" t="s">
        <v>15</v>
      </c>
      <c r="I3" s="81" t="b">
        <v>0</v>
      </c>
      <c r="J3" s="81" t="b">
        <v>0</v>
      </c>
      <c r="K3" s="81" t="b">
        <v>0</v>
      </c>
      <c r="L3" s="82" t="b">
        <v>0</v>
      </c>
      <c r="M3" s="83"/>
      <c r="N3" s="84"/>
      <c r="O3" s="85"/>
      <c r="P3" s="66" t="s">
        <v>112</v>
      </c>
      <c r="R3" s="86" t="s">
        <v>120</v>
      </c>
      <c r="S3" s="87"/>
      <c r="T3" s="29" t="s">
        <v>121</v>
      </c>
      <c r="U3" s="3" t="s">
        <v>122</v>
      </c>
      <c r="V3" s="29" t="s">
        <v>123</v>
      </c>
      <c r="Y3" s="15" t="s">
        <v>111</v>
      </c>
      <c r="AA3" s="15" t="s">
        <v>124</v>
      </c>
      <c r="AC3" s="15" t="s">
        <v>125</v>
      </c>
      <c r="AE3" s="30" t="s">
        <v>13</v>
      </c>
      <c r="AG3" s="15" t="s">
        <v>9</v>
      </c>
    </row>
    <row r="4" ht="22.5" customHeight="1">
      <c r="A4" s="3" t="s">
        <v>126</v>
      </c>
      <c r="B4" s="26">
        <v>46006.0</v>
      </c>
      <c r="C4" s="3" t="s">
        <v>127</v>
      </c>
      <c r="D4" s="14" t="s">
        <v>128</v>
      </c>
      <c r="E4" s="19" t="s">
        <v>39</v>
      </c>
      <c r="F4" s="13" t="s">
        <v>111</v>
      </c>
      <c r="G4" s="13" t="s">
        <v>11</v>
      </c>
      <c r="H4" s="13" t="s">
        <v>16</v>
      </c>
      <c r="I4" s="35" t="b">
        <v>0</v>
      </c>
      <c r="J4" s="35" t="b">
        <v>0</v>
      </c>
      <c r="K4" s="35" t="b">
        <v>1</v>
      </c>
      <c r="L4" s="82" t="b">
        <v>0</v>
      </c>
      <c r="M4" s="83"/>
      <c r="N4" s="84"/>
      <c r="O4" s="88"/>
      <c r="P4" s="66" t="s">
        <v>112</v>
      </c>
      <c r="Q4" s="14"/>
      <c r="R4" s="14"/>
      <c r="S4" s="22"/>
      <c r="T4" s="74"/>
      <c r="U4" s="6"/>
      <c r="V4" s="74"/>
      <c r="Y4" s="15" t="s">
        <v>129</v>
      </c>
      <c r="AA4" s="15" t="s">
        <v>130</v>
      </c>
      <c r="AC4" s="15" t="s">
        <v>131</v>
      </c>
      <c r="AE4" s="30" t="s">
        <v>10</v>
      </c>
    </row>
    <row r="5" ht="22.5" customHeight="1">
      <c r="A5" s="3" t="s">
        <v>132</v>
      </c>
      <c r="B5" s="26">
        <v>46007.0</v>
      </c>
      <c r="C5" s="3" t="s">
        <v>127</v>
      </c>
      <c r="D5" s="14" t="s">
        <v>133</v>
      </c>
      <c r="E5" s="19" t="s">
        <v>39</v>
      </c>
      <c r="F5" s="13" t="s">
        <v>111</v>
      </c>
      <c r="G5" s="13" t="s">
        <v>11</v>
      </c>
      <c r="H5" s="13" t="s">
        <v>18</v>
      </c>
      <c r="I5" s="35" t="b">
        <v>0</v>
      </c>
      <c r="J5" s="35" t="b">
        <v>0</v>
      </c>
      <c r="K5" s="35" t="b">
        <v>0</v>
      </c>
      <c r="L5" s="82" t="b">
        <v>0</v>
      </c>
      <c r="M5" s="83"/>
      <c r="N5" s="84"/>
      <c r="O5" s="89"/>
      <c r="P5" s="66" t="s">
        <v>112</v>
      </c>
      <c r="Q5" s="22"/>
      <c r="R5" s="22"/>
      <c r="S5" s="22"/>
      <c r="T5" s="74"/>
      <c r="U5" s="3" t="s">
        <v>115</v>
      </c>
      <c r="V5" s="29" t="s">
        <v>134</v>
      </c>
      <c r="AA5" s="15" t="s">
        <v>135</v>
      </c>
      <c r="AC5" s="15" t="s">
        <v>136</v>
      </c>
      <c r="AE5" s="30" t="s">
        <v>14</v>
      </c>
    </row>
    <row r="6" ht="22.5" customHeight="1">
      <c r="A6" s="3" t="s">
        <v>137</v>
      </c>
      <c r="B6" s="26">
        <v>46007.0</v>
      </c>
      <c r="C6" s="3" t="s">
        <v>127</v>
      </c>
      <c r="D6" s="14" t="s">
        <v>138</v>
      </c>
      <c r="E6" s="19" t="s">
        <v>39</v>
      </c>
      <c r="F6" s="13" t="s">
        <v>111</v>
      </c>
      <c r="G6" s="13" t="s">
        <v>11</v>
      </c>
      <c r="H6" s="13" t="s">
        <v>18</v>
      </c>
      <c r="I6" s="35" t="b">
        <v>0</v>
      </c>
      <c r="J6" s="35" t="b">
        <v>0</v>
      </c>
      <c r="K6" s="35" t="b">
        <v>0</v>
      </c>
      <c r="L6" s="82" t="b">
        <v>0</v>
      </c>
      <c r="M6" s="83"/>
      <c r="N6" s="84"/>
      <c r="O6" s="89"/>
      <c r="P6" s="66" t="s">
        <v>112</v>
      </c>
      <c r="Q6" s="22"/>
      <c r="R6" s="22"/>
      <c r="S6" s="22"/>
      <c r="T6" s="74"/>
      <c r="U6" s="6"/>
      <c r="V6" s="74"/>
      <c r="AA6" s="15" t="s">
        <v>139</v>
      </c>
      <c r="AC6" s="15" t="s">
        <v>140</v>
      </c>
      <c r="AE6" s="30" t="s">
        <v>15</v>
      </c>
    </row>
    <row r="7" ht="22.5" customHeight="1">
      <c r="A7" s="3" t="s">
        <v>141</v>
      </c>
      <c r="B7" s="26">
        <v>46008.0</v>
      </c>
      <c r="C7" s="3" t="s">
        <v>118</v>
      </c>
      <c r="D7" s="14" t="s">
        <v>142</v>
      </c>
      <c r="E7" s="19" t="s">
        <v>143</v>
      </c>
      <c r="F7" s="13" t="s">
        <v>111</v>
      </c>
      <c r="G7" s="13" t="s">
        <v>9</v>
      </c>
      <c r="H7" s="13" t="s">
        <v>12</v>
      </c>
      <c r="I7" s="35" t="b">
        <v>0</v>
      </c>
      <c r="J7" s="35" t="b">
        <v>0</v>
      </c>
      <c r="K7" s="35" t="b">
        <v>0</v>
      </c>
      <c r="L7" s="82" t="b">
        <v>0</v>
      </c>
      <c r="M7" s="83"/>
      <c r="N7" s="84"/>
      <c r="O7" s="89"/>
      <c r="P7" s="66" t="s">
        <v>112</v>
      </c>
      <c r="Q7" s="22"/>
      <c r="R7" s="22"/>
      <c r="S7" s="22"/>
      <c r="T7" s="29" t="s">
        <v>144</v>
      </c>
      <c r="U7" s="6"/>
      <c r="V7" s="74"/>
      <c r="AA7" s="15" t="s">
        <v>145</v>
      </c>
      <c r="AC7" s="15" t="s">
        <v>127</v>
      </c>
      <c r="AE7" s="30" t="s">
        <v>16</v>
      </c>
    </row>
    <row r="8" ht="22.5" customHeight="1">
      <c r="A8" s="3" t="s">
        <v>146</v>
      </c>
      <c r="B8" s="26">
        <v>46008.0</v>
      </c>
      <c r="C8" s="3" t="s">
        <v>118</v>
      </c>
      <c r="D8" s="14" t="s">
        <v>147</v>
      </c>
      <c r="E8" s="19" t="s">
        <v>34</v>
      </c>
      <c r="F8" s="13" t="s">
        <v>111</v>
      </c>
      <c r="G8" s="13" t="s">
        <v>9</v>
      </c>
      <c r="H8" s="13" t="s">
        <v>12</v>
      </c>
      <c r="I8" s="35" t="b">
        <v>0</v>
      </c>
      <c r="J8" s="35" t="b">
        <v>0</v>
      </c>
      <c r="K8" s="35" t="b">
        <v>0</v>
      </c>
      <c r="L8" s="82" t="b">
        <v>0</v>
      </c>
      <c r="M8" s="83"/>
      <c r="N8" s="84"/>
      <c r="O8" s="89"/>
      <c r="P8" s="66" t="s">
        <v>112</v>
      </c>
      <c r="Q8" s="22"/>
      <c r="R8" s="22"/>
      <c r="S8" s="22"/>
      <c r="T8" s="29" t="s">
        <v>148</v>
      </c>
      <c r="U8" s="3" t="s">
        <v>122</v>
      </c>
      <c r="V8" s="29" t="s">
        <v>149</v>
      </c>
      <c r="AA8" s="15" t="s">
        <v>150</v>
      </c>
      <c r="AC8" s="15" t="s">
        <v>151</v>
      </c>
      <c r="AE8" s="30" t="s">
        <v>17</v>
      </c>
    </row>
    <row r="9" ht="22.5" customHeight="1">
      <c r="A9" s="3" t="s">
        <v>152</v>
      </c>
      <c r="B9" s="26">
        <v>46020.0</v>
      </c>
      <c r="C9" s="3" t="s">
        <v>118</v>
      </c>
      <c r="D9" s="14" t="s">
        <v>153</v>
      </c>
      <c r="E9" s="19" t="s">
        <v>34</v>
      </c>
      <c r="F9" s="13" t="s">
        <v>111</v>
      </c>
      <c r="G9" s="13" t="s">
        <v>9</v>
      </c>
      <c r="H9" s="13" t="s">
        <v>12</v>
      </c>
      <c r="I9" s="35" t="b">
        <v>1</v>
      </c>
      <c r="J9" s="35" t="b">
        <v>0</v>
      </c>
      <c r="K9" s="35" t="b">
        <v>0</v>
      </c>
      <c r="L9" s="82" t="b">
        <v>0</v>
      </c>
      <c r="M9" s="83"/>
      <c r="N9" s="84"/>
      <c r="O9" s="89"/>
      <c r="P9" s="66" t="s">
        <v>112</v>
      </c>
      <c r="Q9" s="22"/>
      <c r="R9" s="22"/>
      <c r="S9" s="22"/>
      <c r="T9" s="74"/>
      <c r="U9" s="6"/>
      <c r="V9" s="29" t="s">
        <v>154</v>
      </c>
      <c r="AA9" s="15" t="s">
        <v>155</v>
      </c>
      <c r="AC9" s="15" t="s">
        <v>156</v>
      </c>
      <c r="AE9" s="30" t="s">
        <v>18</v>
      </c>
    </row>
    <row r="10" ht="22.5" customHeight="1">
      <c r="A10" s="3" t="s">
        <v>157</v>
      </c>
      <c r="B10" s="26">
        <v>46028.0</v>
      </c>
      <c r="C10" s="3" t="s">
        <v>158</v>
      </c>
      <c r="D10" s="14" t="s">
        <v>159</v>
      </c>
      <c r="E10" s="19" t="s">
        <v>39</v>
      </c>
      <c r="F10" s="13" t="s">
        <v>111</v>
      </c>
      <c r="G10" s="13" t="s">
        <v>9</v>
      </c>
      <c r="H10" s="13" t="s">
        <v>10</v>
      </c>
      <c r="I10" s="35"/>
      <c r="J10" s="35"/>
      <c r="K10" s="35"/>
      <c r="L10" s="82" t="b">
        <v>0</v>
      </c>
      <c r="M10" s="83"/>
      <c r="N10" s="84"/>
      <c r="O10" s="89"/>
      <c r="P10" s="66" t="s">
        <v>112</v>
      </c>
      <c r="Q10" s="22"/>
      <c r="R10" s="22"/>
      <c r="S10" s="14" t="s">
        <v>160</v>
      </c>
      <c r="T10" s="74"/>
      <c r="U10" s="6"/>
      <c r="V10" s="74"/>
      <c r="AA10" s="15" t="s">
        <v>161</v>
      </c>
      <c r="AC10" s="30" t="s">
        <v>158</v>
      </c>
      <c r="AE10" s="30" t="s">
        <v>19</v>
      </c>
    </row>
    <row r="11" ht="22.5" customHeight="1">
      <c r="A11" s="3" t="s">
        <v>162</v>
      </c>
      <c r="B11" s="26">
        <v>46028.0</v>
      </c>
      <c r="C11" s="3" t="s">
        <v>125</v>
      </c>
      <c r="D11" s="14" t="s">
        <v>163</v>
      </c>
      <c r="E11" s="19" t="s">
        <v>39</v>
      </c>
      <c r="F11" s="13" t="s">
        <v>129</v>
      </c>
      <c r="G11" s="13" t="s">
        <v>9</v>
      </c>
      <c r="H11" s="13" t="s">
        <v>10</v>
      </c>
      <c r="I11" s="35"/>
      <c r="J11" s="35"/>
      <c r="K11" s="35"/>
      <c r="L11" s="82" t="b">
        <v>0</v>
      </c>
      <c r="M11" s="83"/>
      <c r="N11" s="84"/>
      <c r="O11" s="89"/>
      <c r="P11" s="66" t="s">
        <v>112</v>
      </c>
      <c r="Q11" s="22"/>
      <c r="R11" s="22"/>
      <c r="S11" s="14" t="s">
        <v>164</v>
      </c>
      <c r="T11" s="74"/>
      <c r="U11" s="6"/>
      <c r="V11" s="74"/>
      <c r="AA11" s="15" t="s">
        <v>141</v>
      </c>
      <c r="AC11" s="30" t="s">
        <v>165</v>
      </c>
      <c r="AE11" s="30" t="s">
        <v>166</v>
      </c>
    </row>
    <row r="12" ht="22.5" customHeight="1">
      <c r="A12" s="3" t="s">
        <v>167</v>
      </c>
      <c r="B12" s="26">
        <v>46028.0</v>
      </c>
      <c r="C12" s="3" t="s">
        <v>158</v>
      </c>
      <c r="D12" s="14" t="s">
        <v>168</v>
      </c>
      <c r="E12" s="19" t="s">
        <v>39</v>
      </c>
      <c r="F12" s="13" t="s">
        <v>111</v>
      </c>
      <c r="G12" s="13" t="s">
        <v>11</v>
      </c>
      <c r="H12" s="13" t="s">
        <v>18</v>
      </c>
      <c r="I12" s="35" t="b">
        <v>1</v>
      </c>
      <c r="J12" s="35"/>
      <c r="K12" s="35"/>
      <c r="L12" s="82" t="b">
        <v>0</v>
      </c>
      <c r="M12" s="83"/>
      <c r="N12" s="84"/>
      <c r="O12" s="88">
        <v>2.0</v>
      </c>
      <c r="P12" s="66" t="s">
        <v>112</v>
      </c>
      <c r="Q12" s="22"/>
      <c r="R12" s="22"/>
      <c r="S12" s="22"/>
      <c r="T12" s="29" t="s">
        <v>169</v>
      </c>
      <c r="U12" s="6"/>
      <c r="V12" s="74"/>
      <c r="AA12" s="15" t="s">
        <v>170</v>
      </c>
      <c r="AC12" s="30" t="s">
        <v>171</v>
      </c>
      <c r="AE12" s="30" t="s">
        <v>172</v>
      </c>
    </row>
    <row r="13" ht="22.5" customHeight="1">
      <c r="A13" s="90" t="s">
        <v>173</v>
      </c>
      <c r="B13" s="91">
        <v>46029.0</v>
      </c>
      <c r="C13" s="92" t="s">
        <v>127</v>
      </c>
      <c r="D13" s="93" t="s">
        <v>174</v>
      </c>
      <c r="E13" s="94" t="s">
        <v>39</v>
      </c>
      <c r="F13" s="95" t="s">
        <v>111</v>
      </c>
      <c r="G13" s="95" t="s">
        <v>11</v>
      </c>
      <c r="H13" s="95" t="s">
        <v>18</v>
      </c>
      <c r="I13" s="96" t="b">
        <v>1</v>
      </c>
      <c r="J13" s="96"/>
      <c r="K13" s="96"/>
      <c r="L13" s="68" t="b">
        <v>0</v>
      </c>
      <c r="M13" s="70"/>
      <c r="N13" s="71"/>
      <c r="O13" s="97">
        <v>1.5</v>
      </c>
      <c r="P13" s="66" t="s">
        <v>112</v>
      </c>
      <c r="Q13" s="22"/>
      <c r="R13" s="98"/>
      <c r="S13" s="99" t="s">
        <v>175</v>
      </c>
      <c r="U13" s="3" t="s">
        <v>115</v>
      </c>
      <c r="V13" s="74"/>
      <c r="AA13" s="15" t="s">
        <v>132</v>
      </c>
      <c r="AC13" s="30" t="s">
        <v>176</v>
      </c>
    </row>
    <row r="14" ht="22.5" customHeight="1">
      <c r="A14" s="3" t="s">
        <v>130</v>
      </c>
      <c r="B14" s="26">
        <v>46030.0</v>
      </c>
      <c r="C14" s="3" t="s">
        <v>127</v>
      </c>
      <c r="D14" s="14" t="s">
        <v>177</v>
      </c>
      <c r="E14" s="19" t="s">
        <v>39</v>
      </c>
      <c r="F14" s="13" t="s">
        <v>111</v>
      </c>
      <c r="G14" s="13" t="s">
        <v>11</v>
      </c>
      <c r="H14" s="13" t="s">
        <v>18</v>
      </c>
      <c r="I14" s="35" t="b">
        <v>1</v>
      </c>
      <c r="J14" s="35"/>
      <c r="K14" s="35" t="b">
        <v>1</v>
      </c>
      <c r="L14" s="82" t="b">
        <v>0</v>
      </c>
      <c r="M14" s="83"/>
      <c r="N14" s="84"/>
      <c r="O14" s="88">
        <v>4.0</v>
      </c>
      <c r="P14" s="66" t="s">
        <v>112</v>
      </c>
      <c r="Q14" s="14">
        <v>0.0</v>
      </c>
      <c r="R14" s="22"/>
      <c r="S14" s="14" t="s">
        <v>178</v>
      </c>
      <c r="T14" s="74"/>
      <c r="U14" s="6"/>
      <c r="V14" s="74"/>
      <c r="AA14" s="15" t="s">
        <v>173</v>
      </c>
      <c r="AC14" s="30" t="s">
        <v>179</v>
      </c>
    </row>
    <row r="15" ht="22.5" customHeight="1">
      <c r="A15" s="3" t="s">
        <v>145</v>
      </c>
      <c r="B15" s="26">
        <v>46030.0</v>
      </c>
      <c r="C15" s="3" t="s">
        <v>127</v>
      </c>
      <c r="D15" s="14" t="s">
        <v>180</v>
      </c>
      <c r="E15" s="19" t="s">
        <v>39</v>
      </c>
      <c r="F15" s="13" t="s">
        <v>111</v>
      </c>
      <c r="G15" s="13" t="s">
        <v>11</v>
      </c>
      <c r="H15" s="13" t="s">
        <v>18</v>
      </c>
      <c r="I15" s="35" t="b">
        <v>1</v>
      </c>
      <c r="J15" s="35"/>
      <c r="K15" s="35"/>
      <c r="L15" s="82" t="b">
        <v>0</v>
      </c>
      <c r="M15" s="83"/>
      <c r="N15" s="84"/>
      <c r="O15" s="88">
        <v>3.5</v>
      </c>
      <c r="P15" s="66" t="s">
        <v>112</v>
      </c>
      <c r="Q15" s="14">
        <v>0.0</v>
      </c>
      <c r="R15" s="22"/>
      <c r="S15" s="14" t="s">
        <v>178</v>
      </c>
      <c r="T15" s="74"/>
      <c r="U15" s="6"/>
      <c r="V15" s="74"/>
      <c r="AA15" s="15" t="s">
        <v>181</v>
      </c>
      <c r="AC15" s="30" t="s">
        <v>182</v>
      </c>
    </row>
    <row r="16" ht="22.5" customHeight="1">
      <c r="A16" s="3" t="s">
        <v>183</v>
      </c>
      <c r="B16" s="26">
        <v>46030.0</v>
      </c>
      <c r="C16" s="3" t="s">
        <v>125</v>
      </c>
      <c r="D16" s="14" t="s">
        <v>184</v>
      </c>
      <c r="E16" s="19" t="s">
        <v>39</v>
      </c>
      <c r="F16" s="13" t="s">
        <v>129</v>
      </c>
      <c r="G16" s="13" t="s">
        <v>9</v>
      </c>
      <c r="H16" s="13" t="s">
        <v>10</v>
      </c>
      <c r="I16" s="35"/>
      <c r="J16" s="35"/>
      <c r="K16" s="35"/>
      <c r="L16" s="82" t="b">
        <v>0</v>
      </c>
      <c r="M16" s="83"/>
      <c r="N16" s="84"/>
      <c r="O16" s="89"/>
      <c r="P16" s="66" t="s">
        <v>112</v>
      </c>
      <c r="Q16" s="22"/>
      <c r="R16" s="22"/>
      <c r="S16" s="22"/>
      <c r="T16" s="74"/>
      <c r="U16" s="6"/>
      <c r="V16" s="74"/>
      <c r="AA16" s="15" t="s">
        <v>185</v>
      </c>
      <c r="AC16" s="30">
        <v>111.0</v>
      </c>
    </row>
    <row r="17" ht="22.5" customHeight="1">
      <c r="A17" s="3" t="s">
        <v>146</v>
      </c>
      <c r="B17" s="26">
        <v>46031.0</v>
      </c>
      <c r="C17" s="3" t="s">
        <v>158</v>
      </c>
      <c r="D17" s="14" t="s">
        <v>186</v>
      </c>
      <c r="E17" s="19" t="s">
        <v>34</v>
      </c>
      <c r="F17" s="13" t="s">
        <v>111</v>
      </c>
      <c r="G17" s="13" t="s">
        <v>9</v>
      </c>
      <c r="H17" s="13" t="s">
        <v>12</v>
      </c>
      <c r="I17" s="35" t="b">
        <v>0</v>
      </c>
      <c r="J17" s="35"/>
      <c r="K17" s="35"/>
      <c r="L17" s="82" t="b">
        <v>0</v>
      </c>
      <c r="M17" s="83"/>
      <c r="N17" s="84"/>
      <c r="O17" s="89"/>
      <c r="P17" s="66" t="s">
        <v>112</v>
      </c>
      <c r="Q17" s="22"/>
      <c r="R17" s="22"/>
      <c r="S17" s="22"/>
      <c r="T17" s="29" t="s">
        <v>187</v>
      </c>
      <c r="U17" s="3" t="s">
        <v>188</v>
      </c>
      <c r="V17" s="29" t="s">
        <v>189</v>
      </c>
      <c r="AA17" s="15" t="s">
        <v>190</v>
      </c>
      <c r="AC17" s="30" t="s">
        <v>191</v>
      </c>
    </row>
    <row r="18" ht="22.5" customHeight="1">
      <c r="A18" s="3" t="s">
        <v>42</v>
      </c>
      <c r="B18" s="26">
        <v>46034.0</v>
      </c>
      <c r="C18" s="3" t="s">
        <v>118</v>
      </c>
      <c r="D18" s="14" t="s">
        <v>192</v>
      </c>
      <c r="E18" s="19" t="s">
        <v>39</v>
      </c>
      <c r="F18" s="13" t="s">
        <v>111</v>
      </c>
      <c r="G18" s="13" t="s">
        <v>9</v>
      </c>
      <c r="H18" s="13" t="s">
        <v>12</v>
      </c>
      <c r="I18" s="35"/>
      <c r="J18" s="35"/>
      <c r="K18" s="35"/>
      <c r="L18" s="82" t="b">
        <v>0</v>
      </c>
      <c r="M18" s="83"/>
      <c r="N18" s="84"/>
      <c r="O18" s="89"/>
      <c r="P18" s="66" t="s">
        <v>112</v>
      </c>
      <c r="Q18" s="22"/>
      <c r="R18" s="22"/>
      <c r="S18" s="22"/>
      <c r="T18" s="74"/>
      <c r="U18" s="6"/>
      <c r="V18" s="74"/>
      <c r="AA18" s="15" t="s">
        <v>167</v>
      </c>
      <c r="AC18" s="30" t="s">
        <v>193</v>
      </c>
    </row>
    <row r="19" ht="22.5" customHeight="1">
      <c r="A19" s="3" t="s">
        <v>152</v>
      </c>
      <c r="B19" s="26">
        <v>46036.0</v>
      </c>
      <c r="C19" s="3" t="s">
        <v>118</v>
      </c>
      <c r="D19" s="14" t="s">
        <v>194</v>
      </c>
      <c r="E19" s="19" t="s">
        <v>195</v>
      </c>
      <c r="F19" s="13" t="s">
        <v>111</v>
      </c>
      <c r="G19" s="13" t="s">
        <v>9</v>
      </c>
      <c r="H19" s="13" t="s">
        <v>12</v>
      </c>
      <c r="I19" s="35"/>
      <c r="J19" s="35"/>
      <c r="K19" s="35"/>
      <c r="L19" s="82" t="b">
        <v>0</v>
      </c>
      <c r="M19" s="83"/>
      <c r="N19" s="84"/>
      <c r="O19" s="89"/>
      <c r="P19" s="66" t="s">
        <v>112</v>
      </c>
      <c r="Q19" s="22"/>
      <c r="R19" s="22"/>
      <c r="S19" s="22"/>
      <c r="T19" s="74"/>
      <c r="U19" s="6"/>
      <c r="V19" s="74"/>
      <c r="AA19" s="15" t="s">
        <v>196</v>
      </c>
      <c r="AC19" s="30"/>
    </row>
    <row r="20" ht="22.5" customHeight="1">
      <c r="A20" s="3" t="s">
        <v>108</v>
      </c>
      <c r="B20" s="26">
        <v>46036.0</v>
      </c>
      <c r="C20" s="3" t="s">
        <v>125</v>
      </c>
      <c r="D20" s="14" t="s">
        <v>197</v>
      </c>
      <c r="E20" s="19" t="s">
        <v>39</v>
      </c>
      <c r="F20" s="13" t="s">
        <v>111</v>
      </c>
      <c r="G20" s="13" t="s">
        <v>9</v>
      </c>
      <c r="H20" s="13" t="s">
        <v>18</v>
      </c>
      <c r="I20" s="35"/>
      <c r="J20" s="35"/>
      <c r="K20" s="35" t="b">
        <v>1</v>
      </c>
      <c r="L20" s="82" t="b">
        <v>0</v>
      </c>
      <c r="M20" s="83"/>
      <c r="N20" s="84"/>
      <c r="O20" s="89"/>
      <c r="P20" s="66" t="s">
        <v>112</v>
      </c>
      <c r="Q20" s="22"/>
      <c r="R20" s="22"/>
      <c r="S20" s="22"/>
      <c r="T20" s="74"/>
      <c r="U20" s="6"/>
      <c r="V20" s="74"/>
      <c r="AA20" s="15" t="s">
        <v>198</v>
      </c>
      <c r="AC20" s="30"/>
    </row>
    <row r="21" ht="22.5" customHeight="1">
      <c r="A21" s="3" t="s">
        <v>155</v>
      </c>
      <c r="B21" s="26">
        <v>46038.0</v>
      </c>
      <c r="C21" s="3" t="s">
        <v>171</v>
      </c>
      <c r="D21" s="14" t="s">
        <v>199</v>
      </c>
      <c r="E21" s="19" t="s">
        <v>200</v>
      </c>
      <c r="F21" s="13" t="s">
        <v>111</v>
      </c>
      <c r="G21" s="13" t="s">
        <v>11</v>
      </c>
      <c r="H21" s="13" t="s">
        <v>18</v>
      </c>
      <c r="I21" s="35" t="b">
        <v>1</v>
      </c>
      <c r="J21" s="35"/>
      <c r="K21" s="35"/>
      <c r="L21" s="82" t="b">
        <v>0</v>
      </c>
      <c r="M21" s="83"/>
      <c r="N21" s="84"/>
      <c r="O21" s="88">
        <v>2.5</v>
      </c>
      <c r="P21" s="66" t="s">
        <v>112</v>
      </c>
      <c r="Q21" s="22"/>
      <c r="R21" s="14" t="s">
        <v>201</v>
      </c>
      <c r="S21" s="14" t="s">
        <v>202</v>
      </c>
      <c r="T21" s="74"/>
      <c r="U21" s="6"/>
      <c r="V21" s="74"/>
      <c r="AA21" s="15" t="s">
        <v>203</v>
      </c>
      <c r="AC21" s="30"/>
    </row>
    <row r="22" ht="22.5" customHeight="1">
      <c r="A22" s="3" t="s">
        <v>204</v>
      </c>
      <c r="B22" s="26">
        <v>46042.0</v>
      </c>
      <c r="C22" s="3" t="s">
        <v>171</v>
      </c>
      <c r="D22" s="14" t="s">
        <v>205</v>
      </c>
      <c r="E22" s="19" t="s">
        <v>34</v>
      </c>
      <c r="F22" s="13" t="s">
        <v>111</v>
      </c>
      <c r="G22" s="13" t="s">
        <v>11</v>
      </c>
      <c r="H22" s="13" t="s">
        <v>13</v>
      </c>
      <c r="I22" s="35" t="b">
        <v>1</v>
      </c>
      <c r="J22" s="35" t="b">
        <v>1</v>
      </c>
      <c r="K22" s="35"/>
      <c r="L22" s="82" t="b">
        <v>0</v>
      </c>
      <c r="M22" s="83"/>
      <c r="N22" s="84"/>
      <c r="O22" s="89"/>
      <c r="P22" s="66" t="s">
        <v>112</v>
      </c>
      <c r="Q22" s="22"/>
      <c r="R22" s="22"/>
      <c r="S22" s="14" t="s">
        <v>206</v>
      </c>
      <c r="T22" s="29" t="s">
        <v>207</v>
      </c>
      <c r="U22" s="3" t="s">
        <v>122</v>
      </c>
      <c r="V22" s="74"/>
      <c r="AA22" s="15" t="s">
        <v>208</v>
      </c>
      <c r="AC22" s="30"/>
    </row>
    <row r="23" ht="22.5" customHeight="1">
      <c r="A23" s="3" t="s">
        <v>209</v>
      </c>
      <c r="B23" s="26">
        <v>46042.0</v>
      </c>
      <c r="C23" s="3" t="s">
        <v>127</v>
      </c>
      <c r="D23" s="14" t="s">
        <v>210</v>
      </c>
      <c r="E23" s="19" t="s">
        <v>39</v>
      </c>
      <c r="F23" s="13" t="s">
        <v>111</v>
      </c>
      <c r="G23" s="13" t="s">
        <v>11</v>
      </c>
      <c r="H23" s="21"/>
      <c r="I23" s="35" t="b">
        <v>0</v>
      </c>
      <c r="J23" s="35"/>
      <c r="K23" s="35"/>
      <c r="L23" s="82" t="b">
        <v>0</v>
      </c>
      <c r="M23" s="83"/>
      <c r="N23" s="84"/>
      <c r="O23" s="89"/>
      <c r="P23" s="66" t="s">
        <v>112</v>
      </c>
      <c r="Q23" s="22"/>
      <c r="R23" s="22"/>
      <c r="S23" s="14" t="s">
        <v>211</v>
      </c>
      <c r="T23" s="29" t="s">
        <v>212</v>
      </c>
      <c r="U23" s="6"/>
      <c r="V23" s="74"/>
      <c r="AA23" s="15" t="s">
        <v>213</v>
      </c>
      <c r="AC23" s="30"/>
    </row>
    <row r="24" ht="22.5" customHeight="1">
      <c r="A24" s="3" t="s">
        <v>42</v>
      </c>
      <c r="B24" s="26">
        <v>46042.0</v>
      </c>
      <c r="C24" s="3" t="s">
        <v>131</v>
      </c>
      <c r="D24" s="14" t="s">
        <v>214</v>
      </c>
      <c r="E24" s="19" t="s">
        <v>39</v>
      </c>
      <c r="F24" s="13" t="s">
        <v>111</v>
      </c>
      <c r="G24" s="13" t="s">
        <v>9</v>
      </c>
      <c r="H24" s="13" t="s">
        <v>10</v>
      </c>
      <c r="I24" s="35"/>
      <c r="J24" s="35"/>
      <c r="K24" s="35"/>
      <c r="L24" s="82" t="b">
        <v>0</v>
      </c>
      <c r="M24" s="83"/>
      <c r="N24" s="84"/>
      <c r="O24" s="89"/>
      <c r="P24" s="66" t="s">
        <v>112</v>
      </c>
      <c r="Q24" s="22"/>
      <c r="R24" s="22"/>
      <c r="S24" s="14" t="s">
        <v>215</v>
      </c>
      <c r="T24" s="29" t="s">
        <v>216</v>
      </c>
      <c r="U24" s="6"/>
      <c r="V24" s="29"/>
      <c r="AA24" s="15" t="s">
        <v>217</v>
      </c>
      <c r="AC24" s="30"/>
    </row>
    <row r="25" ht="22.5" customHeight="1">
      <c r="A25" s="3" t="s">
        <v>218</v>
      </c>
      <c r="B25" s="26">
        <v>46043.0</v>
      </c>
      <c r="C25" s="3" t="s">
        <v>158</v>
      </c>
      <c r="D25" s="14" t="s">
        <v>219</v>
      </c>
      <c r="E25" s="19" t="s">
        <v>39</v>
      </c>
      <c r="F25" s="13" t="s">
        <v>111</v>
      </c>
      <c r="G25" s="13" t="s">
        <v>11</v>
      </c>
      <c r="H25" s="13" t="s">
        <v>13</v>
      </c>
      <c r="I25" s="35"/>
      <c r="J25" s="35"/>
      <c r="K25" s="35" t="b">
        <v>1</v>
      </c>
      <c r="L25" s="82" t="b">
        <v>0</v>
      </c>
      <c r="M25" s="83"/>
      <c r="N25" s="84"/>
      <c r="O25" s="89"/>
      <c r="P25" s="66" t="s">
        <v>112</v>
      </c>
      <c r="Q25" s="22"/>
      <c r="R25" s="22"/>
      <c r="S25" s="14" t="s">
        <v>220</v>
      </c>
      <c r="T25" s="74"/>
      <c r="U25" s="6"/>
      <c r="V25" s="74"/>
      <c r="AA25" s="15" t="s">
        <v>221</v>
      </c>
      <c r="AC25" s="30"/>
    </row>
    <row r="26" ht="22.5" customHeight="1">
      <c r="A26" s="3" t="s">
        <v>222</v>
      </c>
      <c r="B26" s="26">
        <v>46043.0</v>
      </c>
      <c r="C26" s="3" t="s">
        <v>131</v>
      </c>
      <c r="D26" s="14" t="s">
        <v>223</v>
      </c>
      <c r="E26" s="19" t="s">
        <v>39</v>
      </c>
      <c r="F26" s="13" t="s">
        <v>111</v>
      </c>
      <c r="G26" s="13" t="s">
        <v>9</v>
      </c>
      <c r="H26" s="13" t="s">
        <v>10</v>
      </c>
      <c r="I26" s="35" t="b">
        <v>1</v>
      </c>
      <c r="J26" s="35"/>
      <c r="K26" s="35"/>
      <c r="L26" s="82" t="b">
        <v>0</v>
      </c>
      <c r="M26" s="83"/>
      <c r="N26" s="84"/>
      <c r="O26" s="89"/>
      <c r="P26" s="66" t="s">
        <v>112</v>
      </c>
      <c r="Q26" s="22"/>
      <c r="R26" s="22"/>
      <c r="S26" s="14" t="s">
        <v>224</v>
      </c>
      <c r="T26" s="74"/>
      <c r="U26" s="6"/>
      <c r="V26" s="74"/>
      <c r="AA26" s="15" t="s">
        <v>225</v>
      </c>
      <c r="AC26" s="30"/>
    </row>
    <row r="27" ht="22.5" customHeight="1">
      <c r="A27" s="3" t="s">
        <v>190</v>
      </c>
      <c r="B27" s="26">
        <v>46043.0</v>
      </c>
      <c r="C27" s="3" t="s">
        <v>171</v>
      </c>
      <c r="D27" s="14" t="s">
        <v>226</v>
      </c>
      <c r="E27" s="19" t="s">
        <v>227</v>
      </c>
      <c r="F27" s="13" t="s">
        <v>111</v>
      </c>
      <c r="G27" s="13" t="s">
        <v>11</v>
      </c>
      <c r="H27" s="13" t="s">
        <v>18</v>
      </c>
      <c r="I27" s="35"/>
      <c r="J27" s="35"/>
      <c r="K27" s="35"/>
      <c r="L27" s="82" t="b">
        <v>0</v>
      </c>
      <c r="M27" s="83"/>
      <c r="N27" s="84"/>
      <c r="O27" s="89"/>
      <c r="P27" s="66" t="s">
        <v>112</v>
      </c>
      <c r="Q27" s="22"/>
      <c r="R27" s="22"/>
      <c r="S27" s="14" t="s">
        <v>228</v>
      </c>
      <c r="T27" s="74"/>
      <c r="U27" s="6"/>
      <c r="V27" s="74"/>
      <c r="AA27" s="15" t="s">
        <v>225</v>
      </c>
    </row>
    <row r="28" ht="22.5" customHeight="1">
      <c r="A28" s="3" t="s">
        <v>229</v>
      </c>
      <c r="B28" s="26">
        <v>46043.0</v>
      </c>
      <c r="C28" s="3" t="s">
        <v>171</v>
      </c>
      <c r="D28" s="14" t="s">
        <v>230</v>
      </c>
      <c r="E28" s="19" t="s">
        <v>200</v>
      </c>
      <c r="F28" s="13" t="s">
        <v>111</v>
      </c>
      <c r="G28" s="13" t="s">
        <v>11</v>
      </c>
      <c r="H28" s="13" t="s">
        <v>18</v>
      </c>
      <c r="I28" s="35"/>
      <c r="J28" s="35"/>
      <c r="K28" s="35"/>
      <c r="L28" s="82" t="b">
        <v>0</v>
      </c>
      <c r="M28" s="83"/>
      <c r="N28" s="84"/>
      <c r="O28" s="89"/>
      <c r="P28" s="66" t="s">
        <v>112</v>
      </c>
      <c r="Q28" s="22"/>
      <c r="R28" s="22"/>
      <c r="S28" s="22"/>
      <c r="T28" s="74"/>
      <c r="U28" s="6"/>
      <c r="V28" s="74"/>
      <c r="AA28" s="15" t="s">
        <v>231</v>
      </c>
    </row>
    <row r="29" ht="22.5" customHeight="1">
      <c r="A29" s="3" t="s">
        <v>146</v>
      </c>
      <c r="B29" s="26">
        <v>46044.0</v>
      </c>
      <c r="C29" s="3" t="s">
        <v>140</v>
      </c>
      <c r="D29" s="14" t="s">
        <v>232</v>
      </c>
      <c r="E29" s="19" t="s">
        <v>200</v>
      </c>
      <c r="F29" s="21"/>
      <c r="G29" s="13" t="s">
        <v>11</v>
      </c>
      <c r="H29" s="13"/>
      <c r="I29" s="35" t="b">
        <v>1</v>
      </c>
      <c r="J29" s="35"/>
      <c r="K29" s="35"/>
      <c r="L29" s="82" t="b">
        <v>0</v>
      </c>
      <c r="M29" s="83"/>
      <c r="N29" s="84"/>
      <c r="O29" s="89"/>
      <c r="P29" s="66" t="s">
        <v>112</v>
      </c>
      <c r="Q29" s="22"/>
      <c r="R29" s="22"/>
      <c r="S29" s="14" t="s">
        <v>233</v>
      </c>
      <c r="T29" s="74"/>
      <c r="U29" s="3" t="s">
        <v>115</v>
      </c>
      <c r="V29" s="29" t="s">
        <v>234</v>
      </c>
      <c r="AA29" s="15" t="s">
        <v>152</v>
      </c>
    </row>
    <row r="30" ht="22.5" customHeight="1">
      <c r="A30" s="3" t="s">
        <v>235</v>
      </c>
      <c r="B30" s="26">
        <v>46044.0</v>
      </c>
      <c r="C30" s="3" t="s">
        <v>158</v>
      </c>
      <c r="D30" s="14" t="s">
        <v>236</v>
      </c>
      <c r="E30" s="19" t="s">
        <v>39</v>
      </c>
      <c r="F30" s="13" t="s">
        <v>111</v>
      </c>
      <c r="G30" s="13" t="s">
        <v>11</v>
      </c>
      <c r="H30" s="13" t="s">
        <v>13</v>
      </c>
      <c r="I30" s="35"/>
      <c r="J30" s="35" t="b">
        <v>1</v>
      </c>
      <c r="K30" s="35"/>
      <c r="L30" s="82" t="b">
        <v>0</v>
      </c>
      <c r="M30" s="83"/>
      <c r="N30" s="84"/>
      <c r="O30" s="89"/>
      <c r="P30" s="66" t="s">
        <v>112</v>
      </c>
      <c r="Q30" s="22"/>
      <c r="R30" s="22"/>
      <c r="S30" s="22"/>
      <c r="T30" s="74"/>
      <c r="U30" s="6"/>
      <c r="V30" s="74"/>
      <c r="AA30" s="15" t="s">
        <v>237</v>
      </c>
    </row>
    <row r="31" ht="22.5" customHeight="1">
      <c r="A31" s="3" t="s">
        <v>237</v>
      </c>
      <c r="B31" s="26">
        <v>46044.0</v>
      </c>
      <c r="C31" s="3" t="s">
        <v>127</v>
      </c>
      <c r="D31" s="14" t="s">
        <v>238</v>
      </c>
      <c r="E31" s="19" t="s">
        <v>39</v>
      </c>
      <c r="F31" s="13" t="s">
        <v>111</v>
      </c>
      <c r="G31" s="13" t="s">
        <v>11</v>
      </c>
      <c r="H31" s="13" t="s">
        <v>13</v>
      </c>
      <c r="I31" s="35"/>
      <c r="J31" s="35" t="b">
        <v>1</v>
      </c>
      <c r="K31" s="35" t="b">
        <v>1</v>
      </c>
      <c r="L31" s="82" t="b">
        <v>0</v>
      </c>
      <c r="M31" s="83"/>
      <c r="N31" s="84"/>
      <c r="O31" s="89"/>
      <c r="P31" s="66" t="s">
        <v>112</v>
      </c>
      <c r="Q31" s="22"/>
      <c r="R31" s="22"/>
      <c r="S31" s="14" t="s">
        <v>239</v>
      </c>
      <c r="T31" s="74"/>
      <c r="U31" s="6"/>
      <c r="V31" s="74"/>
      <c r="AA31" s="15" t="s">
        <v>240</v>
      </c>
    </row>
    <row r="32" ht="22.5" customHeight="1">
      <c r="A32" s="3" t="s">
        <v>241</v>
      </c>
      <c r="B32" s="26">
        <v>46044.0</v>
      </c>
      <c r="C32" s="3" t="s">
        <v>136</v>
      </c>
      <c r="D32" s="14" t="s">
        <v>242</v>
      </c>
      <c r="E32" s="19" t="s">
        <v>34</v>
      </c>
      <c r="F32" s="13" t="s">
        <v>111</v>
      </c>
      <c r="G32" s="13" t="s">
        <v>11</v>
      </c>
      <c r="H32" s="13" t="s">
        <v>13</v>
      </c>
      <c r="I32" s="35"/>
      <c r="J32" s="35" t="b">
        <v>1</v>
      </c>
      <c r="K32" s="35"/>
      <c r="L32" s="82" t="b">
        <v>0</v>
      </c>
      <c r="M32" s="83"/>
      <c r="N32" s="84"/>
      <c r="O32" s="89"/>
      <c r="P32" s="66" t="s">
        <v>112</v>
      </c>
      <c r="Q32" s="22"/>
      <c r="R32" s="22"/>
      <c r="S32" s="22"/>
      <c r="T32" s="74"/>
      <c r="U32" s="6"/>
      <c r="V32" s="29" t="s">
        <v>243</v>
      </c>
      <c r="AA32" s="15" t="s">
        <v>244</v>
      </c>
    </row>
    <row r="33" ht="22.5" customHeight="1">
      <c r="A33" s="3" t="s">
        <v>245</v>
      </c>
      <c r="B33" s="26">
        <v>46045.0</v>
      </c>
      <c r="C33" s="3" t="s">
        <v>182</v>
      </c>
      <c r="D33" s="14" t="s">
        <v>246</v>
      </c>
      <c r="E33" s="19" t="s">
        <v>247</v>
      </c>
      <c r="F33" s="13" t="s">
        <v>111</v>
      </c>
      <c r="G33" s="13" t="s">
        <v>11</v>
      </c>
      <c r="H33" s="13" t="s">
        <v>13</v>
      </c>
      <c r="I33" s="35" t="b">
        <v>0</v>
      </c>
      <c r="J33" s="35" t="b">
        <v>1</v>
      </c>
      <c r="K33" s="35"/>
      <c r="L33" s="82" t="b">
        <v>0</v>
      </c>
      <c r="M33" s="83"/>
      <c r="N33" s="84"/>
      <c r="O33" s="89"/>
      <c r="P33" s="66" t="s">
        <v>112</v>
      </c>
      <c r="Q33" s="22"/>
      <c r="R33" s="22"/>
      <c r="S33" s="14" t="s">
        <v>248</v>
      </c>
      <c r="T33" s="74"/>
      <c r="U33" s="6"/>
      <c r="V33" s="74"/>
      <c r="AA33" s="15" t="s">
        <v>249</v>
      </c>
    </row>
    <row r="34" ht="22.5" customHeight="1">
      <c r="A34" s="3" t="s">
        <v>217</v>
      </c>
      <c r="B34" s="26">
        <v>46045.0</v>
      </c>
      <c r="C34" s="3" t="s">
        <v>127</v>
      </c>
      <c r="D34" s="14" t="s">
        <v>250</v>
      </c>
      <c r="E34" s="19" t="s">
        <v>39</v>
      </c>
      <c r="F34" s="13" t="s">
        <v>111</v>
      </c>
      <c r="G34" s="13" t="s">
        <v>11</v>
      </c>
      <c r="H34" s="13" t="s">
        <v>13</v>
      </c>
      <c r="I34" s="35"/>
      <c r="J34" s="35" t="b">
        <v>1</v>
      </c>
      <c r="K34" s="35"/>
      <c r="L34" s="82" t="b">
        <v>0</v>
      </c>
      <c r="M34" s="83"/>
      <c r="N34" s="84"/>
      <c r="O34" s="89"/>
      <c r="P34" s="66" t="s">
        <v>112</v>
      </c>
      <c r="Q34" s="22"/>
      <c r="R34" s="22"/>
      <c r="S34" s="22"/>
      <c r="T34" s="29"/>
      <c r="U34" s="6"/>
      <c r="V34" s="29"/>
      <c r="AA34" s="15" t="s">
        <v>108</v>
      </c>
    </row>
    <row r="35" ht="22.5" customHeight="1">
      <c r="A35" s="3" t="s">
        <v>251</v>
      </c>
      <c r="B35" s="26">
        <v>46045.0</v>
      </c>
      <c r="C35" s="3" t="s">
        <v>182</v>
      </c>
      <c r="D35" s="14" t="s">
        <v>252</v>
      </c>
      <c r="E35" s="19" t="s">
        <v>34</v>
      </c>
      <c r="F35" s="13" t="s">
        <v>116</v>
      </c>
      <c r="G35" s="13" t="s">
        <v>11</v>
      </c>
      <c r="H35" s="13"/>
      <c r="I35" s="35" t="b">
        <v>1</v>
      </c>
      <c r="J35" s="35"/>
      <c r="K35" s="35" t="b">
        <v>1</v>
      </c>
      <c r="L35" s="82" t="b">
        <v>0</v>
      </c>
      <c r="M35" s="83"/>
      <c r="N35" s="84"/>
      <c r="O35" s="88"/>
      <c r="P35" s="66" t="s">
        <v>112</v>
      </c>
      <c r="Q35" s="14"/>
      <c r="R35" s="14"/>
      <c r="S35" s="14" t="s">
        <v>253</v>
      </c>
      <c r="T35" s="74"/>
      <c r="U35" s="6"/>
      <c r="V35" s="74"/>
      <c r="AA35" s="15" t="s">
        <v>235</v>
      </c>
    </row>
    <row r="36" ht="22.5" customHeight="1">
      <c r="A36" s="3" t="s">
        <v>254</v>
      </c>
      <c r="B36" s="26">
        <v>46049.0</v>
      </c>
      <c r="C36" s="3" t="s">
        <v>127</v>
      </c>
      <c r="D36" s="14" t="s">
        <v>255</v>
      </c>
      <c r="E36" s="19" t="s">
        <v>39</v>
      </c>
      <c r="F36" s="13" t="s">
        <v>111</v>
      </c>
      <c r="G36" s="13" t="s">
        <v>11</v>
      </c>
      <c r="H36" s="13" t="s">
        <v>13</v>
      </c>
      <c r="I36" s="35"/>
      <c r="J36" s="35" t="b">
        <v>1</v>
      </c>
      <c r="K36" s="35" t="b">
        <v>1</v>
      </c>
      <c r="L36" s="35" t="b">
        <v>0</v>
      </c>
      <c r="M36" s="88"/>
      <c r="N36" s="100"/>
      <c r="O36" s="88"/>
      <c r="P36" s="95" t="s">
        <v>256</v>
      </c>
      <c r="Q36" s="14"/>
      <c r="R36" s="14"/>
      <c r="S36" s="14" t="s">
        <v>257</v>
      </c>
      <c r="T36" s="74"/>
      <c r="U36" s="6"/>
      <c r="V36" s="74"/>
      <c r="AA36" s="15" t="s">
        <v>258</v>
      </c>
    </row>
    <row r="37" ht="22.5" customHeight="1">
      <c r="A37" s="3" t="s">
        <v>259</v>
      </c>
      <c r="B37" s="26">
        <v>46049.0</v>
      </c>
      <c r="C37" s="3" t="s">
        <v>127</v>
      </c>
      <c r="D37" s="14" t="s">
        <v>260</v>
      </c>
      <c r="E37" s="19" t="s">
        <v>39</v>
      </c>
      <c r="F37" s="13" t="s">
        <v>111</v>
      </c>
      <c r="G37" s="13" t="s">
        <v>11</v>
      </c>
      <c r="H37" s="13" t="s">
        <v>13</v>
      </c>
      <c r="I37" s="35"/>
      <c r="J37" s="35" t="b">
        <v>1</v>
      </c>
      <c r="K37" s="35" t="b">
        <v>1</v>
      </c>
      <c r="L37" s="35" t="b">
        <v>0</v>
      </c>
      <c r="M37" s="88"/>
      <c r="N37" s="100"/>
      <c r="O37" s="88"/>
      <c r="P37" s="13" t="s">
        <v>112</v>
      </c>
      <c r="Q37" s="14"/>
      <c r="R37" s="14"/>
      <c r="S37" s="14" t="s">
        <v>261</v>
      </c>
      <c r="T37" s="74"/>
      <c r="U37" s="6"/>
      <c r="V37" s="74"/>
      <c r="AA37" s="15" t="s">
        <v>245</v>
      </c>
    </row>
    <row r="38" ht="22.5" customHeight="1">
      <c r="A38" s="3" t="s">
        <v>221</v>
      </c>
      <c r="B38" s="26">
        <v>46050.0</v>
      </c>
      <c r="C38" s="3" t="s">
        <v>125</v>
      </c>
      <c r="D38" s="14" t="s">
        <v>262</v>
      </c>
      <c r="E38" s="19" t="s">
        <v>39</v>
      </c>
      <c r="F38" s="13" t="s">
        <v>111</v>
      </c>
      <c r="G38" s="13" t="s">
        <v>9</v>
      </c>
      <c r="H38" s="13" t="s">
        <v>10</v>
      </c>
      <c r="I38" s="35"/>
      <c r="J38" s="35"/>
      <c r="K38" s="35"/>
      <c r="L38" s="82" t="b">
        <v>0</v>
      </c>
      <c r="M38" s="83"/>
      <c r="N38" s="84"/>
      <c r="O38" s="88"/>
      <c r="P38" s="80" t="s">
        <v>112</v>
      </c>
      <c r="Q38" s="14"/>
      <c r="R38" s="14"/>
      <c r="S38" s="22"/>
      <c r="T38" s="29" t="s">
        <v>263</v>
      </c>
      <c r="U38" s="3" t="s">
        <v>115</v>
      </c>
      <c r="V38" s="74"/>
      <c r="AA38" s="15" t="s">
        <v>222</v>
      </c>
    </row>
    <row r="39" ht="22.5" customHeight="1">
      <c r="A39" s="3" t="s">
        <v>264</v>
      </c>
      <c r="B39" s="26">
        <v>46050.0</v>
      </c>
      <c r="C39" s="3" t="s">
        <v>158</v>
      </c>
      <c r="D39" s="14" t="s">
        <v>265</v>
      </c>
      <c r="E39" s="19" t="s">
        <v>39</v>
      </c>
      <c r="F39" s="13" t="s">
        <v>111</v>
      </c>
      <c r="G39" s="13" t="s">
        <v>11</v>
      </c>
      <c r="H39" s="13" t="s">
        <v>13</v>
      </c>
      <c r="I39" s="35"/>
      <c r="J39" s="35" t="b">
        <v>1</v>
      </c>
      <c r="K39" s="35" t="b">
        <v>1</v>
      </c>
      <c r="L39" s="35" t="b">
        <v>0</v>
      </c>
      <c r="M39" s="88"/>
      <c r="N39" s="100"/>
      <c r="O39" s="89"/>
      <c r="P39" s="13" t="s">
        <v>256</v>
      </c>
      <c r="Q39" s="22"/>
      <c r="R39" s="22"/>
      <c r="S39" s="22"/>
      <c r="T39" s="74"/>
      <c r="U39" s="6"/>
      <c r="V39" s="74"/>
      <c r="AA39" s="15" t="s">
        <v>126</v>
      </c>
    </row>
    <row r="40" ht="22.5" customHeight="1">
      <c r="A40" s="3" t="s">
        <v>266</v>
      </c>
      <c r="B40" s="26">
        <v>46050.0</v>
      </c>
      <c r="C40" s="3" t="s">
        <v>171</v>
      </c>
      <c r="D40" s="14" t="s">
        <v>267</v>
      </c>
      <c r="E40" s="19" t="s">
        <v>200</v>
      </c>
      <c r="F40" s="13" t="s">
        <v>111</v>
      </c>
      <c r="G40" s="13" t="s">
        <v>11</v>
      </c>
      <c r="H40" s="13" t="s">
        <v>13</v>
      </c>
      <c r="I40" s="35"/>
      <c r="J40" s="35" t="b">
        <v>1</v>
      </c>
      <c r="K40" s="35" t="b">
        <v>0</v>
      </c>
      <c r="L40" s="35" t="b">
        <v>0</v>
      </c>
      <c r="M40" s="88"/>
      <c r="N40" s="100"/>
      <c r="O40" s="89"/>
      <c r="P40" s="13" t="s">
        <v>268</v>
      </c>
      <c r="Q40" s="22"/>
      <c r="R40" s="22"/>
      <c r="S40" s="22"/>
      <c r="T40" s="29" t="s">
        <v>269</v>
      </c>
      <c r="U40" s="6"/>
      <c r="V40" s="74"/>
      <c r="AA40" s="15" t="s">
        <v>270</v>
      </c>
    </row>
    <row r="41" ht="22.5" customHeight="1">
      <c r="A41" s="3" t="s">
        <v>271</v>
      </c>
      <c r="B41" s="26">
        <v>46050.0</v>
      </c>
      <c r="C41" s="3" t="s">
        <v>136</v>
      </c>
      <c r="D41" s="14" t="s">
        <v>272</v>
      </c>
      <c r="E41" s="19" t="s">
        <v>200</v>
      </c>
      <c r="F41" s="13" t="s">
        <v>111</v>
      </c>
      <c r="G41" s="13" t="s">
        <v>11</v>
      </c>
      <c r="H41" s="13" t="s">
        <v>13</v>
      </c>
      <c r="I41" s="35"/>
      <c r="J41" s="35" t="b">
        <v>1</v>
      </c>
      <c r="K41" s="35" t="b">
        <v>1</v>
      </c>
      <c r="L41" s="82" t="b">
        <v>0</v>
      </c>
      <c r="M41" s="83"/>
      <c r="N41" s="84"/>
      <c r="O41" s="88"/>
      <c r="P41" s="66" t="s">
        <v>256</v>
      </c>
      <c r="Q41" s="14"/>
      <c r="R41" s="14"/>
      <c r="S41" s="14"/>
      <c r="T41" s="74"/>
      <c r="U41" s="6"/>
      <c r="V41" s="74"/>
      <c r="AA41" s="15" t="s">
        <v>273</v>
      </c>
    </row>
    <row r="42" ht="22.5" customHeight="1">
      <c r="A42" s="3" t="s">
        <v>274</v>
      </c>
      <c r="B42" s="26">
        <v>46050.0</v>
      </c>
      <c r="C42" s="3" t="s">
        <v>127</v>
      </c>
      <c r="D42" s="14" t="s">
        <v>275</v>
      </c>
      <c r="E42" s="19" t="s">
        <v>39</v>
      </c>
      <c r="F42" s="13" t="s">
        <v>111</v>
      </c>
      <c r="G42" s="13" t="s">
        <v>11</v>
      </c>
      <c r="H42" s="13" t="s">
        <v>13</v>
      </c>
      <c r="I42" s="35"/>
      <c r="J42" s="35" t="b">
        <v>1</v>
      </c>
      <c r="K42" s="35" t="b">
        <v>1</v>
      </c>
      <c r="L42" s="82" t="b">
        <v>0</v>
      </c>
      <c r="M42" s="83"/>
      <c r="N42" s="84"/>
      <c r="O42" s="88"/>
      <c r="P42" s="66" t="s">
        <v>268</v>
      </c>
      <c r="Q42" s="14"/>
      <c r="R42" s="14"/>
      <c r="S42" s="14"/>
      <c r="T42" s="74"/>
      <c r="U42" s="6"/>
      <c r="V42" s="74"/>
      <c r="AA42" s="31" t="s">
        <v>266</v>
      </c>
    </row>
    <row r="43" ht="22.5" customHeight="1">
      <c r="A43" s="3" t="s">
        <v>276</v>
      </c>
      <c r="B43" s="26">
        <v>46051.0</v>
      </c>
      <c r="C43" s="3" t="s">
        <v>118</v>
      </c>
      <c r="D43" s="14" t="s">
        <v>277</v>
      </c>
      <c r="E43" s="19" t="s">
        <v>195</v>
      </c>
      <c r="F43" s="13" t="s">
        <v>111</v>
      </c>
      <c r="G43" s="13" t="s">
        <v>11</v>
      </c>
      <c r="H43" s="13" t="s">
        <v>15</v>
      </c>
      <c r="I43" s="35"/>
      <c r="J43" s="35" t="b">
        <v>1</v>
      </c>
      <c r="K43" s="35"/>
      <c r="L43" s="82" t="b">
        <v>0</v>
      </c>
      <c r="M43" s="83"/>
      <c r="N43" s="84"/>
      <c r="O43" s="89"/>
      <c r="P43" s="66" t="s">
        <v>112</v>
      </c>
      <c r="Q43" s="22"/>
      <c r="R43" s="22"/>
      <c r="S43" s="14" t="s">
        <v>278</v>
      </c>
      <c r="T43" s="74"/>
      <c r="U43" s="6"/>
      <c r="V43" s="74"/>
      <c r="AA43" s="15" t="s">
        <v>276</v>
      </c>
    </row>
    <row r="44" ht="22.5" customHeight="1">
      <c r="A44" s="3" t="s">
        <v>42</v>
      </c>
      <c r="B44" s="26">
        <v>46052.0</v>
      </c>
      <c r="C44" s="3" t="s">
        <v>118</v>
      </c>
      <c r="D44" s="14" t="s">
        <v>279</v>
      </c>
      <c r="E44" s="19" t="s">
        <v>39</v>
      </c>
      <c r="F44" s="13" t="s">
        <v>111</v>
      </c>
      <c r="G44" s="13" t="s">
        <v>9</v>
      </c>
      <c r="H44" s="13" t="s">
        <v>15</v>
      </c>
      <c r="I44" s="35" t="b">
        <v>1</v>
      </c>
      <c r="J44" s="35"/>
      <c r="K44" s="35"/>
      <c r="L44" s="82" t="b">
        <v>0</v>
      </c>
      <c r="M44" s="83"/>
      <c r="N44" s="84"/>
      <c r="O44" s="88"/>
      <c r="P44" s="66" t="s">
        <v>112</v>
      </c>
      <c r="Q44" s="14"/>
      <c r="R44" s="14"/>
      <c r="S44" s="14" t="s">
        <v>278</v>
      </c>
      <c r="T44" s="74"/>
      <c r="U44" s="3" t="s">
        <v>115</v>
      </c>
      <c r="V44" s="74"/>
      <c r="AA44" s="15" t="s">
        <v>280</v>
      </c>
    </row>
    <row r="45" ht="22.5" customHeight="1">
      <c r="A45" s="3" t="s">
        <v>162</v>
      </c>
      <c r="B45" s="26">
        <v>46052.0</v>
      </c>
      <c r="C45" s="3">
        <v>111.0</v>
      </c>
      <c r="D45" s="14" t="s">
        <v>281</v>
      </c>
      <c r="E45" s="19" t="s">
        <v>39</v>
      </c>
      <c r="F45" s="13" t="s">
        <v>111</v>
      </c>
      <c r="G45" s="13" t="s">
        <v>9</v>
      </c>
      <c r="H45" s="13" t="s">
        <v>15</v>
      </c>
      <c r="I45" s="35"/>
      <c r="J45" s="35"/>
      <c r="K45" s="35"/>
      <c r="L45" s="82" t="b">
        <v>0</v>
      </c>
      <c r="M45" s="83"/>
      <c r="N45" s="84"/>
      <c r="O45" s="89"/>
      <c r="P45" s="66" t="s">
        <v>112</v>
      </c>
      <c r="Q45" s="22"/>
      <c r="R45" s="22"/>
      <c r="S45" s="22"/>
      <c r="T45" s="74"/>
      <c r="U45" s="6"/>
      <c r="V45" s="74"/>
      <c r="AA45" s="15" t="s">
        <v>282</v>
      </c>
    </row>
    <row r="46" ht="22.5" customHeight="1">
      <c r="A46" s="3" t="s">
        <v>283</v>
      </c>
      <c r="B46" s="26">
        <v>46052.0</v>
      </c>
      <c r="C46" s="3" t="s">
        <v>176</v>
      </c>
      <c r="D46" s="14" t="s">
        <v>284</v>
      </c>
      <c r="E46" s="19" t="s">
        <v>39</v>
      </c>
      <c r="F46" s="13" t="s">
        <v>111</v>
      </c>
      <c r="G46" s="13" t="s">
        <v>11</v>
      </c>
      <c r="H46" s="13" t="s">
        <v>13</v>
      </c>
      <c r="I46" s="35"/>
      <c r="J46" s="35" t="b">
        <v>1</v>
      </c>
      <c r="K46" s="35" t="b">
        <v>1</v>
      </c>
      <c r="L46" s="82" t="b">
        <v>0</v>
      </c>
      <c r="M46" s="83"/>
      <c r="N46" s="84"/>
      <c r="O46" s="88"/>
      <c r="P46" s="66" t="s">
        <v>256</v>
      </c>
      <c r="Q46" s="14"/>
      <c r="R46" s="14"/>
      <c r="S46" s="22"/>
      <c r="T46" s="74"/>
      <c r="U46" s="3" t="s">
        <v>122</v>
      </c>
      <c r="V46" s="29" t="s">
        <v>285</v>
      </c>
      <c r="AA46" s="15" t="s">
        <v>157</v>
      </c>
    </row>
    <row r="47" ht="22.5" customHeight="1">
      <c r="A47" s="3" t="s">
        <v>286</v>
      </c>
      <c r="B47" s="26">
        <v>46052.0</v>
      </c>
      <c r="C47" s="3" t="s">
        <v>127</v>
      </c>
      <c r="D47" s="14" t="s">
        <v>287</v>
      </c>
      <c r="E47" s="19" t="s">
        <v>39</v>
      </c>
      <c r="F47" s="13" t="s">
        <v>111</v>
      </c>
      <c r="G47" s="13" t="s">
        <v>11</v>
      </c>
      <c r="H47" s="13" t="s">
        <v>13</v>
      </c>
      <c r="I47" s="35"/>
      <c r="J47" s="35" t="b">
        <v>1</v>
      </c>
      <c r="K47" s="35"/>
      <c r="L47" s="82" t="b">
        <v>0</v>
      </c>
      <c r="M47" s="83"/>
      <c r="N47" s="84"/>
      <c r="O47" s="88"/>
      <c r="P47" s="66" t="s">
        <v>256</v>
      </c>
      <c r="Q47" s="14"/>
      <c r="R47" s="14"/>
      <c r="S47" s="22"/>
      <c r="T47" s="29" t="s">
        <v>288</v>
      </c>
      <c r="U47" s="3" t="s">
        <v>122</v>
      </c>
      <c r="V47" s="74"/>
      <c r="AA47" s="15" t="s">
        <v>137</v>
      </c>
    </row>
    <row r="48" ht="22.5" customHeight="1">
      <c r="A48" s="3" t="s">
        <v>196</v>
      </c>
      <c r="B48" s="26">
        <v>46052.0</v>
      </c>
      <c r="C48" s="3" t="s">
        <v>127</v>
      </c>
      <c r="D48" s="14" t="s">
        <v>289</v>
      </c>
      <c r="E48" s="19" t="s">
        <v>39</v>
      </c>
      <c r="F48" s="13" t="s">
        <v>111</v>
      </c>
      <c r="G48" s="13" t="s">
        <v>11</v>
      </c>
      <c r="H48" s="13" t="s">
        <v>13</v>
      </c>
      <c r="I48" s="35"/>
      <c r="J48" s="35" t="b">
        <v>1</v>
      </c>
      <c r="K48" s="35"/>
      <c r="L48" s="82" t="b">
        <v>0</v>
      </c>
      <c r="M48" s="83"/>
      <c r="N48" s="84"/>
      <c r="O48" s="88"/>
      <c r="P48" s="66" t="s">
        <v>256</v>
      </c>
      <c r="Q48" s="14"/>
      <c r="R48" s="14"/>
      <c r="S48" s="22"/>
      <c r="T48" s="29"/>
      <c r="U48" s="6"/>
      <c r="V48" s="29"/>
      <c r="AA48" s="15" t="s">
        <v>290</v>
      </c>
    </row>
    <row r="49" ht="22.5" customHeight="1">
      <c r="A49" s="3" t="s">
        <v>150</v>
      </c>
      <c r="B49" s="26">
        <v>46055.0</v>
      </c>
      <c r="C49" s="3" t="s">
        <v>127</v>
      </c>
      <c r="D49" s="14" t="s">
        <v>291</v>
      </c>
      <c r="E49" s="19" t="s">
        <v>39</v>
      </c>
      <c r="F49" s="13" t="s">
        <v>111</v>
      </c>
      <c r="G49" s="13" t="s">
        <v>11</v>
      </c>
      <c r="H49" s="13" t="s">
        <v>19</v>
      </c>
      <c r="I49" s="35"/>
      <c r="J49" s="35"/>
      <c r="K49" s="35" t="b">
        <v>1</v>
      </c>
      <c r="L49" s="82" t="b">
        <v>0</v>
      </c>
      <c r="M49" s="83"/>
      <c r="N49" s="84"/>
      <c r="O49" s="89"/>
      <c r="P49" s="66" t="s">
        <v>256</v>
      </c>
      <c r="Q49" s="22"/>
      <c r="R49" s="22"/>
      <c r="S49" s="22"/>
      <c r="T49" s="74"/>
      <c r="U49" s="6"/>
      <c r="V49" s="74"/>
      <c r="AA49" s="31" t="s">
        <v>254</v>
      </c>
    </row>
    <row r="50" ht="22.5" customHeight="1">
      <c r="A50" s="3" t="s">
        <v>152</v>
      </c>
      <c r="B50" s="26">
        <v>46055.0</v>
      </c>
      <c r="C50" s="3" t="s">
        <v>118</v>
      </c>
      <c r="D50" s="14" t="s">
        <v>292</v>
      </c>
      <c r="E50" s="19" t="s">
        <v>143</v>
      </c>
      <c r="F50" s="13" t="s">
        <v>111</v>
      </c>
      <c r="G50" s="13" t="s">
        <v>9</v>
      </c>
      <c r="H50" s="13" t="s">
        <v>12</v>
      </c>
      <c r="I50" s="35"/>
      <c r="J50" s="35"/>
      <c r="K50" s="35"/>
      <c r="L50" s="82" t="b">
        <v>0</v>
      </c>
      <c r="M50" s="83"/>
      <c r="N50" s="84"/>
      <c r="O50" s="88"/>
      <c r="P50" s="66" t="s">
        <v>268</v>
      </c>
      <c r="Q50" s="14"/>
      <c r="R50" s="14"/>
      <c r="S50" s="14"/>
      <c r="T50" s="74"/>
      <c r="U50" s="6"/>
      <c r="V50" s="74"/>
      <c r="AA50" s="15" t="s">
        <v>218</v>
      </c>
    </row>
    <row r="51" ht="22.5" customHeight="1">
      <c r="A51" s="3" t="s">
        <v>293</v>
      </c>
      <c r="B51" s="26">
        <v>46055.0</v>
      </c>
      <c r="C51" s="3" t="s">
        <v>136</v>
      </c>
      <c r="D51" s="14" t="s">
        <v>294</v>
      </c>
      <c r="E51" s="19" t="s">
        <v>200</v>
      </c>
      <c r="F51" s="13" t="s">
        <v>111</v>
      </c>
      <c r="G51" s="13" t="s">
        <v>11</v>
      </c>
      <c r="H51" s="13" t="s">
        <v>13</v>
      </c>
      <c r="I51" s="35"/>
      <c r="J51" s="35" t="b">
        <v>1</v>
      </c>
      <c r="K51" s="35"/>
      <c r="L51" s="82" t="b">
        <v>0</v>
      </c>
      <c r="M51" s="83"/>
      <c r="N51" s="84"/>
      <c r="O51" s="88"/>
      <c r="P51" s="66" t="s">
        <v>268</v>
      </c>
      <c r="Q51" s="14"/>
      <c r="R51" s="14"/>
      <c r="S51" s="22"/>
      <c r="T51" s="74"/>
      <c r="U51" s="6"/>
      <c r="V51" s="74"/>
      <c r="AA51" s="15" t="s">
        <v>218</v>
      </c>
    </row>
    <row r="52" ht="22.5" customHeight="1">
      <c r="A52" s="3" t="s">
        <v>280</v>
      </c>
      <c r="B52" s="26">
        <v>46056.0</v>
      </c>
      <c r="C52" s="3" t="s">
        <v>127</v>
      </c>
      <c r="D52" s="14" t="s">
        <v>295</v>
      </c>
      <c r="E52" s="19" t="s">
        <v>39</v>
      </c>
      <c r="F52" s="13" t="s">
        <v>111</v>
      </c>
      <c r="G52" s="13" t="s">
        <v>11</v>
      </c>
      <c r="H52" s="13" t="s">
        <v>13</v>
      </c>
      <c r="I52" s="35"/>
      <c r="J52" s="35" t="b">
        <v>1</v>
      </c>
      <c r="K52" s="35" t="b">
        <v>1</v>
      </c>
      <c r="L52" s="82" t="b">
        <v>0</v>
      </c>
      <c r="M52" s="83"/>
      <c r="N52" s="84"/>
      <c r="O52" s="88">
        <v>1.5</v>
      </c>
      <c r="P52" s="66" t="s">
        <v>256</v>
      </c>
      <c r="Q52" s="14"/>
      <c r="R52" s="14"/>
      <c r="S52" s="14" t="s">
        <v>257</v>
      </c>
      <c r="T52" s="74"/>
      <c r="U52" s="6"/>
      <c r="V52" s="74"/>
      <c r="AA52" s="15" t="s">
        <v>146</v>
      </c>
    </row>
    <row r="53" ht="22.5" customHeight="1">
      <c r="A53" s="3" t="s">
        <v>117</v>
      </c>
      <c r="B53" s="26">
        <v>46058.0</v>
      </c>
      <c r="C53" s="3" t="s">
        <v>191</v>
      </c>
      <c r="D53" s="14" t="s">
        <v>296</v>
      </c>
      <c r="E53" s="19" t="s">
        <v>39</v>
      </c>
      <c r="F53" s="13" t="s">
        <v>111</v>
      </c>
      <c r="G53" s="13" t="s">
        <v>11</v>
      </c>
      <c r="H53" s="13" t="s">
        <v>166</v>
      </c>
      <c r="I53" s="35" t="b">
        <v>0</v>
      </c>
      <c r="J53" s="35"/>
      <c r="K53" s="35" t="b">
        <v>1</v>
      </c>
      <c r="L53" s="82" t="b">
        <v>0</v>
      </c>
      <c r="M53" s="83"/>
      <c r="N53" s="84"/>
      <c r="O53" s="88"/>
      <c r="P53" s="66" t="s">
        <v>256</v>
      </c>
      <c r="Q53" s="14"/>
      <c r="R53" s="14"/>
      <c r="S53" s="14" t="s">
        <v>257</v>
      </c>
      <c r="T53" s="29"/>
      <c r="U53" s="6"/>
      <c r="V53" s="29"/>
      <c r="AA53" s="15" t="s">
        <v>297</v>
      </c>
    </row>
    <row r="54" ht="22.5" customHeight="1">
      <c r="A54" s="3" t="s">
        <v>124</v>
      </c>
      <c r="B54" s="26">
        <v>46058.0</v>
      </c>
      <c r="C54" s="3" t="s">
        <v>191</v>
      </c>
      <c r="D54" s="14" t="s">
        <v>296</v>
      </c>
      <c r="E54" s="19" t="s">
        <v>39</v>
      </c>
      <c r="F54" s="13" t="s">
        <v>111</v>
      </c>
      <c r="G54" s="13" t="s">
        <v>11</v>
      </c>
      <c r="H54" s="13" t="s">
        <v>166</v>
      </c>
      <c r="I54" s="35" t="b">
        <v>1</v>
      </c>
      <c r="J54" s="35"/>
      <c r="K54" s="35"/>
      <c r="L54" s="82" t="b">
        <v>0</v>
      </c>
      <c r="M54" s="83"/>
      <c r="N54" s="84"/>
      <c r="O54" s="89"/>
      <c r="P54" s="66" t="s">
        <v>256</v>
      </c>
      <c r="Q54" s="22"/>
      <c r="R54" s="22"/>
      <c r="S54" s="14" t="s">
        <v>257</v>
      </c>
      <c r="T54" s="29"/>
      <c r="U54" s="6"/>
      <c r="V54" s="29"/>
      <c r="AA54" s="15" t="s">
        <v>209</v>
      </c>
    </row>
    <row r="55" ht="22.5" customHeight="1">
      <c r="A55" s="3" t="s">
        <v>290</v>
      </c>
      <c r="B55" s="26">
        <v>46059.0</v>
      </c>
      <c r="C55" s="3" t="s">
        <v>191</v>
      </c>
      <c r="D55" s="14" t="s">
        <v>298</v>
      </c>
      <c r="E55" s="19" t="s">
        <v>39</v>
      </c>
      <c r="F55" s="13" t="s">
        <v>111</v>
      </c>
      <c r="G55" s="13" t="s">
        <v>11</v>
      </c>
      <c r="H55" s="13" t="s">
        <v>166</v>
      </c>
      <c r="I55" s="35"/>
      <c r="J55" s="35"/>
      <c r="K55" s="35" t="b">
        <v>1</v>
      </c>
      <c r="L55" s="82" t="b">
        <v>0</v>
      </c>
      <c r="M55" s="83"/>
      <c r="N55" s="84"/>
      <c r="O55" s="89"/>
      <c r="P55" s="66" t="s">
        <v>256</v>
      </c>
      <c r="Q55" s="22"/>
      <c r="R55" s="22"/>
      <c r="S55" s="14" t="s">
        <v>257</v>
      </c>
      <c r="T55" s="74"/>
      <c r="U55" s="6"/>
      <c r="V55" s="74"/>
      <c r="AA55" s="15" t="s">
        <v>299</v>
      </c>
    </row>
    <row r="56" ht="22.5" customHeight="1">
      <c r="A56" s="3" t="s">
        <v>213</v>
      </c>
      <c r="B56" s="26">
        <v>46059.0</v>
      </c>
      <c r="C56" s="3" t="s">
        <v>191</v>
      </c>
      <c r="D56" s="14" t="s">
        <v>300</v>
      </c>
      <c r="E56" s="19" t="s">
        <v>39</v>
      </c>
      <c r="F56" s="13" t="s">
        <v>111</v>
      </c>
      <c r="G56" s="13" t="s">
        <v>11</v>
      </c>
      <c r="H56" s="13" t="s">
        <v>13</v>
      </c>
      <c r="I56" s="35"/>
      <c r="J56" s="35" t="b">
        <v>1</v>
      </c>
      <c r="K56" s="35"/>
      <c r="L56" s="82" t="b">
        <v>0</v>
      </c>
      <c r="M56" s="83"/>
      <c r="N56" s="84"/>
      <c r="O56" s="89"/>
      <c r="P56" s="66" t="s">
        <v>256</v>
      </c>
      <c r="Q56" s="22"/>
      <c r="R56" s="22"/>
      <c r="S56" s="14" t="s">
        <v>257</v>
      </c>
      <c r="T56" s="74"/>
      <c r="U56" s="6"/>
      <c r="V56" s="74"/>
      <c r="AA56" s="15" t="s">
        <v>241</v>
      </c>
    </row>
    <row r="57" ht="22.5" customHeight="1">
      <c r="A57" s="3" t="s">
        <v>208</v>
      </c>
      <c r="B57" s="26">
        <v>46059.0</v>
      </c>
      <c r="C57" s="3" t="s">
        <v>176</v>
      </c>
      <c r="D57" s="14" t="s">
        <v>301</v>
      </c>
      <c r="E57" s="19" t="s">
        <v>200</v>
      </c>
      <c r="F57" s="13" t="s">
        <v>111</v>
      </c>
      <c r="G57" s="13" t="s">
        <v>11</v>
      </c>
      <c r="H57" s="13" t="s">
        <v>19</v>
      </c>
      <c r="I57" s="35"/>
      <c r="J57" s="35"/>
      <c r="K57" s="35"/>
      <c r="L57" s="82" t="b">
        <v>0</v>
      </c>
      <c r="M57" s="83"/>
      <c r="N57" s="84"/>
      <c r="O57" s="88"/>
      <c r="P57" s="66" t="s">
        <v>268</v>
      </c>
      <c r="Q57" s="14"/>
      <c r="R57" s="14"/>
      <c r="S57" s="14" t="s">
        <v>257</v>
      </c>
      <c r="T57" s="29"/>
      <c r="U57" s="3" t="s">
        <v>115</v>
      </c>
      <c r="V57" s="29" t="s">
        <v>302</v>
      </c>
      <c r="AA57" s="15" t="s">
        <v>251</v>
      </c>
    </row>
    <row r="58" ht="22.5" customHeight="1">
      <c r="A58" s="3" t="s">
        <v>244</v>
      </c>
      <c r="B58" s="26">
        <v>46059.0</v>
      </c>
      <c r="C58" s="3" t="s">
        <v>158</v>
      </c>
      <c r="D58" s="14" t="s">
        <v>303</v>
      </c>
      <c r="E58" s="19" t="s">
        <v>39</v>
      </c>
      <c r="F58" s="13" t="s">
        <v>111</v>
      </c>
      <c r="G58" s="13" t="s">
        <v>11</v>
      </c>
      <c r="H58" s="13" t="s">
        <v>166</v>
      </c>
      <c r="I58" s="35"/>
      <c r="J58" s="35" t="b">
        <v>1</v>
      </c>
      <c r="K58" s="35" t="b">
        <v>1</v>
      </c>
      <c r="L58" s="82" t="b">
        <v>0</v>
      </c>
      <c r="M58" s="83"/>
      <c r="N58" s="84"/>
      <c r="O58" s="89"/>
      <c r="P58" s="66" t="s">
        <v>256</v>
      </c>
      <c r="Q58" s="22"/>
      <c r="R58" s="22"/>
      <c r="S58" s="14" t="s">
        <v>257</v>
      </c>
      <c r="T58" s="29"/>
      <c r="U58" s="6"/>
      <c r="V58" s="29"/>
      <c r="AA58" s="15" t="s">
        <v>304</v>
      </c>
    </row>
    <row r="59" ht="22.5" customHeight="1">
      <c r="A59" s="3" t="s">
        <v>305</v>
      </c>
      <c r="B59" s="26">
        <v>46059.0</v>
      </c>
      <c r="C59" s="3" t="s">
        <v>136</v>
      </c>
      <c r="D59" s="14" t="s">
        <v>306</v>
      </c>
      <c r="E59" s="19" t="s">
        <v>200</v>
      </c>
      <c r="F59" s="13" t="s">
        <v>111</v>
      </c>
      <c r="G59" s="13" t="s">
        <v>11</v>
      </c>
      <c r="H59" s="13" t="s">
        <v>13</v>
      </c>
      <c r="I59" s="35"/>
      <c r="J59" s="35"/>
      <c r="K59" s="35"/>
      <c r="L59" s="82" t="b">
        <v>0</v>
      </c>
      <c r="M59" s="83"/>
      <c r="N59" s="84"/>
      <c r="O59" s="88"/>
      <c r="P59" s="66" t="s">
        <v>268</v>
      </c>
      <c r="Q59" s="14"/>
      <c r="R59" s="14"/>
      <c r="S59" s="14" t="s">
        <v>307</v>
      </c>
      <c r="T59" s="29"/>
      <c r="U59" s="6"/>
      <c r="V59" s="74"/>
      <c r="AA59" s="15" t="s">
        <v>308</v>
      </c>
    </row>
    <row r="60" ht="22.5" customHeight="1">
      <c r="A60" s="3" t="s">
        <v>161</v>
      </c>
      <c r="B60" s="26">
        <v>46059.0</v>
      </c>
      <c r="C60" s="3" t="s">
        <v>127</v>
      </c>
      <c r="D60" s="14" t="s">
        <v>309</v>
      </c>
      <c r="E60" s="19" t="s">
        <v>39</v>
      </c>
      <c r="F60" s="13" t="s">
        <v>111</v>
      </c>
      <c r="G60" s="13" t="s">
        <v>11</v>
      </c>
      <c r="H60" s="13" t="s">
        <v>13</v>
      </c>
      <c r="I60" s="35"/>
      <c r="J60" s="35" t="b">
        <v>1</v>
      </c>
      <c r="K60" s="35"/>
      <c r="L60" s="82" t="b">
        <v>0</v>
      </c>
      <c r="M60" s="83"/>
      <c r="N60" s="84"/>
      <c r="O60" s="89"/>
      <c r="P60" s="66" t="s">
        <v>256</v>
      </c>
      <c r="Q60" s="22"/>
      <c r="R60" s="22"/>
      <c r="S60" s="14" t="s">
        <v>257</v>
      </c>
      <c r="T60" s="29"/>
      <c r="U60" s="6"/>
      <c r="V60" s="29"/>
      <c r="AA60" s="15" t="s">
        <v>310</v>
      </c>
    </row>
    <row r="61" ht="22.5" customHeight="1">
      <c r="A61" s="3" t="s">
        <v>310</v>
      </c>
      <c r="B61" s="26">
        <v>46063.0</v>
      </c>
      <c r="C61" s="3" t="s">
        <v>171</v>
      </c>
      <c r="D61" s="14" t="s">
        <v>311</v>
      </c>
      <c r="E61" s="19" t="s">
        <v>200</v>
      </c>
      <c r="F61" s="13" t="s">
        <v>111</v>
      </c>
      <c r="G61" s="13" t="s">
        <v>11</v>
      </c>
      <c r="H61" s="13" t="s">
        <v>13</v>
      </c>
      <c r="I61" s="35"/>
      <c r="J61" s="35" t="b">
        <v>1</v>
      </c>
      <c r="K61" s="35"/>
      <c r="L61" s="82" t="b">
        <v>0</v>
      </c>
      <c r="M61" s="83"/>
      <c r="N61" s="84"/>
      <c r="O61" s="88"/>
      <c r="P61" s="66" t="s">
        <v>268</v>
      </c>
      <c r="Q61" s="14"/>
      <c r="R61" s="14"/>
      <c r="S61" s="14" t="s">
        <v>312</v>
      </c>
      <c r="T61" s="74"/>
      <c r="U61" s="6"/>
      <c r="V61" s="74"/>
      <c r="AA61" s="15" t="s">
        <v>313</v>
      </c>
    </row>
    <row r="62" ht="22.5" customHeight="1">
      <c r="A62" s="3" t="s">
        <v>314</v>
      </c>
      <c r="B62" s="26">
        <v>46064.0</v>
      </c>
      <c r="C62" s="3" t="s">
        <v>131</v>
      </c>
      <c r="D62" s="14" t="s">
        <v>315</v>
      </c>
      <c r="E62" s="19" t="s">
        <v>195</v>
      </c>
      <c r="F62" s="13" t="s">
        <v>111</v>
      </c>
      <c r="G62" s="13" t="s">
        <v>11</v>
      </c>
      <c r="H62" s="13" t="s">
        <v>166</v>
      </c>
      <c r="I62" s="35"/>
      <c r="J62" s="35"/>
      <c r="K62" s="35" t="b">
        <v>1</v>
      </c>
      <c r="L62" s="82" t="b">
        <v>0</v>
      </c>
      <c r="M62" s="83"/>
      <c r="N62" s="84"/>
      <c r="O62" s="89"/>
      <c r="P62" s="66" t="s">
        <v>256</v>
      </c>
      <c r="Q62" s="22"/>
      <c r="R62" s="22"/>
      <c r="S62" s="14" t="s">
        <v>316</v>
      </c>
      <c r="T62" s="29"/>
      <c r="U62" s="6"/>
      <c r="V62" s="29"/>
      <c r="AA62" s="15" t="s">
        <v>317</v>
      </c>
    </row>
    <row r="63" ht="22.5" customHeight="1">
      <c r="A63" s="3" t="s">
        <v>318</v>
      </c>
      <c r="B63" s="26">
        <v>46064.0</v>
      </c>
      <c r="C63" s="3" t="s">
        <v>127</v>
      </c>
      <c r="D63" s="14" t="s">
        <v>319</v>
      </c>
      <c r="E63" s="19" t="s">
        <v>39</v>
      </c>
      <c r="F63" s="13" t="s">
        <v>111</v>
      </c>
      <c r="G63" s="13" t="s">
        <v>11</v>
      </c>
      <c r="H63" s="13" t="s">
        <v>166</v>
      </c>
      <c r="I63" s="35"/>
      <c r="J63" s="35" t="b">
        <v>1</v>
      </c>
      <c r="K63" s="35" t="b">
        <v>1</v>
      </c>
      <c r="L63" s="82" t="b">
        <v>0</v>
      </c>
      <c r="M63" s="83"/>
      <c r="N63" s="84"/>
      <c r="O63" s="88"/>
      <c r="P63" s="66" t="s">
        <v>256</v>
      </c>
      <c r="Q63" s="14"/>
      <c r="R63" s="14"/>
      <c r="S63" s="14" t="s">
        <v>320</v>
      </c>
      <c r="T63" s="29" t="s">
        <v>321</v>
      </c>
      <c r="U63" s="6"/>
      <c r="V63" s="74"/>
      <c r="AA63" s="15" t="s">
        <v>322</v>
      </c>
    </row>
    <row r="64" ht="22.5" customHeight="1">
      <c r="A64" s="3" t="s">
        <v>198</v>
      </c>
      <c r="B64" s="26">
        <v>46064.0</v>
      </c>
      <c r="C64" s="3" t="s">
        <v>127</v>
      </c>
      <c r="D64" s="14" t="s">
        <v>323</v>
      </c>
      <c r="E64" s="19" t="s">
        <v>39</v>
      </c>
      <c r="F64" s="13" t="s">
        <v>111</v>
      </c>
      <c r="G64" s="13" t="s">
        <v>11</v>
      </c>
      <c r="H64" s="13" t="s">
        <v>166</v>
      </c>
      <c r="I64" s="35"/>
      <c r="J64" s="35"/>
      <c r="K64" s="35"/>
      <c r="L64" s="82" t="b">
        <v>0</v>
      </c>
      <c r="M64" s="83"/>
      <c r="N64" s="84"/>
      <c r="O64" s="89"/>
      <c r="P64" s="66" t="s">
        <v>256</v>
      </c>
      <c r="Q64" s="22"/>
      <c r="R64" s="22"/>
      <c r="S64" s="14" t="s">
        <v>324</v>
      </c>
      <c r="T64" s="74"/>
      <c r="U64" s="6"/>
      <c r="V64" s="74"/>
      <c r="AA64" s="15" t="s">
        <v>229</v>
      </c>
    </row>
    <row r="65" ht="22.5" customHeight="1">
      <c r="A65" s="3" t="s">
        <v>325</v>
      </c>
      <c r="B65" s="26">
        <v>46064.0</v>
      </c>
      <c r="C65" s="3" t="s">
        <v>127</v>
      </c>
      <c r="D65" s="14" t="s">
        <v>323</v>
      </c>
      <c r="E65" s="19" t="s">
        <v>39</v>
      </c>
      <c r="F65" s="13" t="s">
        <v>111</v>
      </c>
      <c r="G65" s="13" t="s">
        <v>11</v>
      </c>
      <c r="H65" s="13" t="s">
        <v>166</v>
      </c>
      <c r="I65" s="35"/>
      <c r="J65" s="35"/>
      <c r="K65" s="35"/>
      <c r="L65" s="82" t="b">
        <v>0</v>
      </c>
      <c r="M65" s="83"/>
      <c r="N65" s="84"/>
      <c r="O65" s="88"/>
      <c r="P65" s="66" t="s">
        <v>256</v>
      </c>
      <c r="Q65" s="14"/>
      <c r="R65" s="14"/>
      <c r="S65" s="14" t="s">
        <v>326</v>
      </c>
      <c r="T65" s="74"/>
      <c r="U65" s="6"/>
      <c r="V65" s="74"/>
      <c r="AA65" s="15" t="s">
        <v>42</v>
      </c>
    </row>
    <row r="66" ht="22.5" customHeight="1">
      <c r="A66" s="3" t="s">
        <v>139</v>
      </c>
      <c r="B66" s="26">
        <v>46064.0</v>
      </c>
      <c r="C66" s="3" t="s">
        <v>127</v>
      </c>
      <c r="D66" s="14" t="s">
        <v>323</v>
      </c>
      <c r="E66" s="19" t="s">
        <v>39</v>
      </c>
      <c r="F66" s="13" t="s">
        <v>111</v>
      </c>
      <c r="G66" s="13" t="s">
        <v>11</v>
      </c>
      <c r="H66" s="13" t="s">
        <v>166</v>
      </c>
      <c r="I66" s="35"/>
      <c r="J66" s="35"/>
      <c r="K66" s="35"/>
      <c r="L66" s="82" t="b">
        <v>0</v>
      </c>
      <c r="M66" s="83"/>
      <c r="N66" s="84"/>
      <c r="O66" s="88"/>
      <c r="P66" s="66" t="s">
        <v>256</v>
      </c>
      <c r="Q66" s="14"/>
      <c r="R66" s="14"/>
      <c r="S66" s="14" t="s">
        <v>327</v>
      </c>
      <c r="T66" s="74"/>
      <c r="U66" s="6"/>
      <c r="V66" s="74"/>
      <c r="AA66" s="15" t="s">
        <v>283</v>
      </c>
    </row>
    <row r="67" ht="22.5" customHeight="1">
      <c r="A67" s="3" t="s">
        <v>328</v>
      </c>
      <c r="B67" s="26">
        <v>46065.0</v>
      </c>
      <c r="C67" s="3" t="s">
        <v>131</v>
      </c>
      <c r="D67" s="14" t="s">
        <v>329</v>
      </c>
      <c r="E67" s="19" t="s">
        <v>39</v>
      </c>
      <c r="F67" s="13" t="s">
        <v>111</v>
      </c>
      <c r="G67" s="13" t="s">
        <v>11</v>
      </c>
      <c r="H67" s="13" t="s">
        <v>166</v>
      </c>
      <c r="I67" s="35"/>
      <c r="J67" s="35" t="b">
        <v>1</v>
      </c>
      <c r="K67" s="35" t="b">
        <v>0</v>
      </c>
      <c r="L67" s="82" t="b">
        <v>0</v>
      </c>
      <c r="M67" s="83"/>
      <c r="N67" s="84"/>
      <c r="O67" s="88"/>
      <c r="P67" s="66" t="s">
        <v>256</v>
      </c>
      <c r="Q67" s="14"/>
      <c r="R67" s="14"/>
      <c r="S67" s="14" t="s">
        <v>330</v>
      </c>
      <c r="T67" s="29"/>
      <c r="U67" s="6"/>
      <c r="V67" s="29"/>
      <c r="AA67" s="15" t="s">
        <v>293</v>
      </c>
    </row>
    <row r="68" ht="22.5" customHeight="1">
      <c r="A68" s="3" t="s">
        <v>249</v>
      </c>
      <c r="B68" s="26">
        <v>46065.0</v>
      </c>
      <c r="C68" s="3" t="s">
        <v>136</v>
      </c>
      <c r="D68" s="14" t="s">
        <v>331</v>
      </c>
      <c r="E68" s="19" t="s">
        <v>200</v>
      </c>
      <c r="F68" s="13" t="s">
        <v>111</v>
      </c>
      <c r="G68" s="13" t="s">
        <v>11</v>
      </c>
      <c r="H68" s="13" t="s">
        <v>18</v>
      </c>
      <c r="I68" s="35"/>
      <c r="J68" s="35"/>
      <c r="K68" s="35" t="b">
        <v>1</v>
      </c>
      <c r="L68" s="82" t="b">
        <v>0</v>
      </c>
      <c r="M68" s="83"/>
      <c r="N68" s="84"/>
      <c r="O68" s="88"/>
      <c r="P68" s="66" t="s">
        <v>268</v>
      </c>
      <c r="Q68" s="14"/>
      <c r="R68" s="14"/>
      <c r="S68" s="14" t="s">
        <v>332</v>
      </c>
      <c r="T68" s="29"/>
      <c r="U68" s="6"/>
      <c r="V68" s="29"/>
      <c r="AA68" s="15" t="s">
        <v>333</v>
      </c>
    </row>
    <row r="69" ht="22.5" customHeight="1">
      <c r="A69" s="3" t="s">
        <v>218</v>
      </c>
      <c r="B69" s="26">
        <v>46065.0</v>
      </c>
      <c r="C69" s="3" t="s">
        <v>136</v>
      </c>
      <c r="D69" s="14" t="s">
        <v>334</v>
      </c>
      <c r="E69" s="19" t="s">
        <v>200</v>
      </c>
      <c r="F69" s="13" t="s">
        <v>111</v>
      </c>
      <c r="G69" s="13" t="s">
        <v>11</v>
      </c>
      <c r="H69" s="13" t="s">
        <v>18</v>
      </c>
      <c r="I69" s="35"/>
      <c r="J69" s="35"/>
      <c r="K69" s="35" t="b">
        <v>1</v>
      </c>
      <c r="L69" s="82" t="b">
        <v>0</v>
      </c>
      <c r="M69" s="83"/>
      <c r="N69" s="84"/>
      <c r="O69" s="89"/>
      <c r="P69" s="66" t="s">
        <v>268</v>
      </c>
      <c r="Q69" s="22"/>
      <c r="R69" s="22"/>
      <c r="S69" s="14" t="s">
        <v>335</v>
      </c>
      <c r="T69" s="29"/>
      <c r="U69" s="6"/>
      <c r="V69" s="29"/>
      <c r="AA69" s="15" t="s">
        <v>336</v>
      </c>
    </row>
    <row r="70" ht="22.5" customHeight="1">
      <c r="A70" s="3" t="s">
        <v>337</v>
      </c>
      <c r="B70" s="26">
        <v>46065.0</v>
      </c>
      <c r="C70" s="3" t="s">
        <v>136</v>
      </c>
      <c r="D70" s="14" t="s">
        <v>338</v>
      </c>
      <c r="E70" s="19" t="s">
        <v>200</v>
      </c>
      <c r="F70" s="13" t="s">
        <v>111</v>
      </c>
      <c r="G70" s="13" t="s">
        <v>11</v>
      </c>
      <c r="H70" s="13" t="s">
        <v>13</v>
      </c>
      <c r="I70" s="35"/>
      <c r="J70" s="35" t="b">
        <v>1</v>
      </c>
      <c r="K70" s="35" t="b">
        <v>1</v>
      </c>
      <c r="L70" s="82" t="b">
        <v>0</v>
      </c>
      <c r="M70" s="83"/>
      <c r="N70" s="84"/>
      <c r="O70" s="89"/>
      <c r="P70" s="66" t="s">
        <v>268</v>
      </c>
      <c r="Q70" s="22"/>
      <c r="R70" s="22"/>
      <c r="S70" s="14" t="s">
        <v>339</v>
      </c>
      <c r="T70" s="74"/>
      <c r="U70" s="6"/>
      <c r="V70" s="74"/>
      <c r="AA70" s="31" t="s">
        <v>259</v>
      </c>
    </row>
    <row r="71" ht="22.5" customHeight="1">
      <c r="A71" s="3" t="s">
        <v>270</v>
      </c>
      <c r="B71" s="26">
        <v>46065.0</v>
      </c>
      <c r="C71" s="3" t="s">
        <v>127</v>
      </c>
      <c r="D71" s="14" t="s">
        <v>340</v>
      </c>
      <c r="E71" s="19" t="s">
        <v>39</v>
      </c>
      <c r="F71" s="13" t="s">
        <v>111</v>
      </c>
      <c r="G71" s="13" t="s">
        <v>11</v>
      </c>
      <c r="H71" s="13" t="s">
        <v>13</v>
      </c>
      <c r="I71" s="35" t="b">
        <v>0</v>
      </c>
      <c r="J71" s="35" t="b">
        <v>1</v>
      </c>
      <c r="K71" s="35" t="b">
        <v>1</v>
      </c>
      <c r="L71" s="82" t="b">
        <v>0</v>
      </c>
      <c r="M71" s="83"/>
      <c r="N71" s="84"/>
      <c r="O71" s="88"/>
      <c r="P71" s="66" t="s">
        <v>256</v>
      </c>
      <c r="Q71" s="14"/>
      <c r="R71" s="14"/>
      <c r="S71" s="14" t="s">
        <v>341</v>
      </c>
      <c r="T71" s="74"/>
      <c r="U71" s="6"/>
      <c r="V71" s="74"/>
      <c r="AA71" s="15" t="s">
        <v>286</v>
      </c>
    </row>
    <row r="72" ht="22.5" customHeight="1">
      <c r="A72" s="3" t="s">
        <v>152</v>
      </c>
      <c r="B72" s="26">
        <v>46065.0</v>
      </c>
      <c r="C72" s="3" t="s">
        <v>118</v>
      </c>
      <c r="D72" s="14" t="s">
        <v>342</v>
      </c>
      <c r="E72" s="19" t="s">
        <v>39</v>
      </c>
      <c r="F72" s="13" t="s">
        <v>111</v>
      </c>
      <c r="G72" s="13" t="s">
        <v>9</v>
      </c>
      <c r="H72" s="13" t="s">
        <v>10</v>
      </c>
      <c r="I72" s="35"/>
      <c r="J72" s="35"/>
      <c r="K72" s="35"/>
      <c r="L72" s="82" t="b">
        <v>0</v>
      </c>
      <c r="M72" s="83"/>
      <c r="N72" s="84"/>
      <c r="O72" s="88"/>
      <c r="P72" s="66" t="s">
        <v>256</v>
      </c>
      <c r="Q72" s="14"/>
      <c r="R72" s="14"/>
      <c r="S72" s="14" t="s">
        <v>343</v>
      </c>
      <c r="T72" s="29" t="s">
        <v>344</v>
      </c>
      <c r="U72" s="3" t="s">
        <v>115</v>
      </c>
      <c r="V72" s="29"/>
      <c r="AA72" s="15" t="s">
        <v>345</v>
      </c>
    </row>
    <row r="73" ht="22.5" customHeight="1">
      <c r="A73" s="3" t="s">
        <v>108</v>
      </c>
      <c r="B73" s="26">
        <v>46066.0</v>
      </c>
      <c r="C73" s="3" t="s">
        <v>127</v>
      </c>
      <c r="D73" s="14" t="s">
        <v>346</v>
      </c>
      <c r="E73" s="19" t="s">
        <v>39</v>
      </c>
      <c r="F73" s="13" t="s">
        <v>111</v>
      </c>
      <c r="G73" s="13" t="s">
        <v>11</v>
      </c>
      <c r="H73" s="13" t="s">
        <v>14</v>
      </c>
      <c r="I73" s="35"/>
      <c r="J73" s="35"/>
      <c r="K73" s="35"/>
      <c r="L73" s="82" t="b">
        <v>0</v>
      </c>
      <c r="M73" s="83"/>
      <c r="N73" s="84"/>
      <c r="O73" s="88"/>
      <c r="P73" s="66" t="s">
        <v>112</v>
      </c>
      <c r="Q73" s="14"/>
      <c r="R73" s="14"/>
      <c r="S73" s="14" t="s">
        <v>347</v>
      </c>
      <c r="T73" s="29"/>
      <c r="U73" s="3" t="s">
        <v>115</v>
      </c>
      <c r="V73" s="29"/>
      <c r="AA73" s="15" t="s">
        <v>348</v>
      </c>
    </row>
    <row r="74" ht="22.5" customHeight="1">
      <c r="A74" s="3" t="s">
        <v>349</v>
      </c>
      <c r="B74" s="26">
        <v>46066.0</v>
      </c>
      <c r="C74" s="3" t="s">
        <v>127</v>
      </c>
      <c r="D74" s="14" t="s">
        <v>350</v>
      </c>
      <c r="E74" s="19" t="s">
        <v>39</v>
      </c>
      <c r="F74" s="13" t="s">
        <v>111</v>
      </c>
      <c r="G74" s="13" t="s">
        <v>11</v>
      </c>
      <c r="H74" s="13" t="s">
        <v>166</v>
      </c>
      <c r="I74" s="35"/>
      <c r="J74" s="35" t="b">
        <v>1</v>
      </c>
      <c r="K74" s="35" t="b">
        <v>1</v>
      </c>
      <c r="L74" s="82" t="b">
        <v>1</v>
      </c>
      <c r="M74" s="83"/>
      <c r="N74" s="84"/>
      <c r="O74" s="88"/>
      <c r="P74" s="66" t="s">
        <v>256</v>
      </c>
      <c r="Q74" s="14"/>
      <c r="R74" s="14"/>
      <c r="S74" s="14" t="s">
        <v>351</v>
      </c>
      <c r="T74" s="74"/>
      <c r="U74" s="6"/>
      <c r="V74" s="74"/>
      <c r="AA74" s="15" t="s">
        <v>183</v>
      </c>
    </row>
    <row r="75" ht="22.5" customHeight="1">
      <c r="A75" s="3" t="s">
        <v>352</v>
      </c>
      <c r="B75" s="26">
        <v>46066.0</v>
      </c>
      <c r="C75" s="3" t="s">
        <v>127</v>
      </c>
      <c r="D75" s="14" t="s">
        <v>353</v>
      </c>
      <c r="E75" s="19" t="s">
        <v>39</v>
      </c>
      <c r="F75" s="13" t="s">
        <v>111</v>
      </c>
      <c r="G75" s="13" t="s">
        <v>11</v>
      </c>
      <c r="H75" s="13" t="s">
        <v>166</v>
      </c>
      <c r="I75" s="35"/>
      <c r="J75" s="35" t="b">
        <v>1</v>
      </c>
      <c r="K75" s="35"/>
      <c r="L75" s="82" t="b">
        <v>1</v>
      </c>
      <c r="M75" s="83"/>
      <c r="N75" s="84"/>
      <c r="O75" s="88"/>
      <c r="P75" s="66" t="s">
        <v>256</v>
      </c>
      <c r="Q75" s="14"/>
      <c r="R75" s="14"/>
      <c r="S75" s="14" t="s">
        <v>354</v>
      </c>
      <c r="T75" s="74"/>
      <c r="U75" s="6"/>
      <c r="V75" s="74"/>
      <c r="AA75" s="15" t="s">
        <v>314</v>
      </c>
    </row>
    <row r="76" ht="22.5" customHeight="1">
      <c r="A76" s="3" t="s">
        <v>355</v>
      </c>
      <c r="B76" s="26">
        <v>46066.0</v>
      </c>
      <c r="C76" s="3" t="s">
        <v>171</v>
      </c>
      <c r="D76" s="14" t="s">
        <v>356</v>
      </c>
      <c r="E76" s="19" t="s">
        <v>200</v>
      </c>
      <c r="F76" s="13" t="s">
        <v>111</v>
      </c>
      <c r="G76" s="13" t="s">
        <v>11</v>
      </c>
      <c r="H76" s="13" t="s">
        <v>18</v>
      </c>
      <c r="I76" s="35"/>
      <c r="J76" s="35" t="b">
        <v>1</v>
      </c>
      <c r="K76" s="35" t="b">
        <v>1</v>
      </c>
      <c r="L76" s="82" t="b">
        <v>0</v>
      </c>
      <c r="M76" s="83"/>
      <c r="N76" s="84"/>
      <c r="O76" s="89"/>
      <c r="P76" s="66" t="s">
        <v>357</v>
      </c>
      <c r="Q76" s="22"/>
      <c r="R76" s="22"/>
      <c r="S76" s="14" t="s">
        <v>358</v>
      </c>
      <c r="T76" s="29"/>
      <c r="U76" s="6"/>
      <c r="V76" s="29"/>
      <c r="AA76" s="31" t="s">
        <v>264</v>
      </c>
    </row>
    <row r="77" ht="22.5" customHeight="1">
      <c r="A77" s="3" t="s">
        <v>359</v>
      </c>
      <c r="B77" s="26">
        <v>46070.0</v>
      </c>
      <c r="C77" s="3" t="s">
        <v>127</v>
      </c>
      <c r="D77" s="14" t="s">
        <v>360</v>
      </c>
      <c r="E77" s="19" t="s">
        <v>39</v>
      </c>
      <c r="F77" s="13" t="s">
        <v>111</v>
      </c>
      <c r="G77" s="13" t="s">
        <v>11</v>
      </c>
      <c r="H77" s="13" t="s">
        <v>166</v>
      </c>
      <c r="I77" s="35"/>
      <c r="J77" s="35" t="b">
        <v>1</v>
      </c>
      <c r="K77" s="35"/>
      <c r="L77" s="82" t="b">
        <v>0</v>
      </c>
      <c r="M77" s="83"/>
      <c r="N77" s="84"/>
      <c r="O77" s="88"/>
      <c r="P77" s="66" t="s">
        <v>256</v>
      </c>
      <c r="Q77" s="14"/>
      <c r="R77" s="14"/>
      <c r="S77" s="14" t="s">
        <v>361</v>
      </c>
      <c r="T77" s="74"/>
      <c r="U77" s="6"/>
      <c r="V77" s="74"/>
      <c r="AA77" s="31" t="s">
        <v>271</v>
      </c>
    </row>
    <row r="78" ht="22.5" customHeight="1">
      <c r="A78" s="3" t="s">
        <v>362</v>
      </c>
      <c r="B78" s="26">
        <v>46070.0</v>
      </c>
      <c r="C78" s="3" t="s">
        <v>191</v>
      </c>
      <c r="D78" s="14" t="s">
        <v>363</v>
      </c>
      <c r="E78" s="19" t="s">
        <v>39</v>
      </c>
      <c r="F78" s="13" t="s">
        <v>111</v>
      </c>
      <c r="G78" s="13" t="s">
        <v>11</v>
      </c>
      <c r="H78" s="13" t="s">
        <v>166</v>
      </c>
      <c r="I78" s="35" t="b">
        <v>0</v>
      </c>
      <c r="J78" s="35" t="b">
        <v>0</v>
      </c>
      <c r="K78" s="35" t="b">
        <v>1</v>
      </c>
      <c r="L78" s="82" t="b">
        <v>1</v>
      </c>
      <c r="M78" s="83"/>
      <c r="N78" s="84"/>
      <c r="O78" s="89"/>
      <c r="P78" s="66" t="s">
        <v>112</v>
      </c>
      <c r="Q78" s="22"/>
      <c r="R78" s="22"/>
      <c r="S78" s="22"/>
      <c r="T78" s="74"/>
      <c r="U78" s="6"/>
      <c r="V78" s="74"/>
      <c r="AA78" s="15" t="s">
        <v>337</v>
      </c>
    </row>
    <row r="79" ht="22.5" customHeight="1">
      <c r="A79" s="3" t="s">
        <v>152</v>
      </c>
      <c r="B79" s="26">
        <v>46076.0</v>
      </c>
      <c r="C79" s="3" t="s">
        <v>118</v>
      </c>
      <c r="D79" s="14" t="s">
        <v>364</v>
      </c>
      <c r="E79" s="19" t="s">
        <v>39</v>
      </c>
      <c r="F79" s="13" t="s">
        <v>111</v>
      </c>
      <c r="G79" s="13" t="s">
        <v>9</v>
      </c>
      <c r="H79" s="13" t="s">
        <v>10</v>
      </c>
      <c r="I79" s="35" t="b">
        <v>1</v>
      </c>
      <c r="J79" s="35"/>
      <c r="K79" s="35"/>
      <c r="L79" s="82" t="b">
        <v>0</v>
      </c>
      <c r="M79" s="83"/>
      <c r="N79" s="84"/>
      <c r="O79" s="89"/>
      <c r="P79" s="66" t="s">
        <v>112</v>
      </c>
      <c r="Q79" s="22"/>
      <c r="R79" s="22"/>
      <c r="S79" s="14"/>
      <c r="T79" s="29" t="s">
        <v>365</v>
      </c>
      <c r="U79" s="3" t="s">
        <v>115</v>
      </c>
      <c r="V79" s="74"/>
      <c r="AA79" s="15" t="s">
        <v>305</v>
      </c>
    </row>
    <row r="80" ht="22.5" customHeight="1">
      <c r="A80" s="3" t="s">
        <v>366</v>
      </c>
      <c r="B80" s="26">
        <v>46077.0</v>
      </c>
      <c r="C80" s="3" t="s">
        <v>127</v>
      </c>
      <c r="D80" s="14" t="s">
        <v>367</v>
      </c>
      <c r="E80" s="19" t="s">
        <v>39</v>
      </c>
      <c r="F80" s="13" t="s">
        <v>111</v>
      </c>
      <c r="G80" s="13" t="s">
        <v>11</v>
      </c>
      <c r="H80" s="13" t="s">
        <v>166</v>
      </c>
      <c r="I80" s="35"/>
      <c r="J80" s="35"/>
      <c r="K80" s="35"/>
      <c r="L80" s="82" t="b">
        <v>0</v>
      </c>
      <c r="M80" s="83"/>
      <c r="N80" s="84"/>
      <c r="O80" s="88"/>
      <c r="P80" s="66" t="s">
        <v>112</v>
      </c>
      <c r="Q80" s="14"/>
      <c r="R80" s="14"/>
      <c r="S80" s="14"/>
      <c r="T80" s="74"/>
      <c r="U80" s="6"/>
      <c r="V80" s="74"/>
      <c r="AA80" s="15" t="s">
        <v>368</v>
      </c>
    </row>
    <row r="81" ht="22.5" customHeight="1">
      <c r="A81" s="3" t="s">
        <v>369</v>
      </c>
      <c r="B81" s="26">
        <v>46078.0</v>
      </c>
      <c r="C81" s="3" t="s">
        <v>127</v>
      </c>
      <c r="D81" s="14" t="s">
        <v>370</v>
      </c>
      <c r="E81" s="19" t="s">
        <v>39</v>
      </c>
      <c r="F81" s="13" t="s">
        <v>111</v>
      </c>
      <c r="G81" s="13" t="s">
        <v>11</v>
      </c>
      <c r="H81" s="13" t="s">
        <v>172</v>
      </c>
      <c r="I81" s="35"/>
      <c r="J81" s="35"/>
      <c r="K81" s="35" t="b">
        <v>1</v>
      </c>
      <c r="L81" s="82" t="b">
        <v>0</v>
      </c>
      <c r="M81" s="101">
        <f>round(50.3/20, 1)</f>
        <v>2.5</v>
      </c>
      <c r="N81" s="102">
        <f>1/4</f>
        <v>0.25</v>
      </c>
      <c r="O81" s="101">
        <f>round(19/8.4, 1)</f>
        <v>2.3</v>
      </c>
      <c r="P81" s="66" t="s">
        <v>112</v>
      </c>
      <c r="Q81" s="22"/>
      <c r="R81" s="22"/>
      <c r="S81" s="14"/>
      <c r="T81" s="29"/>
      <c r="U81" s="6"/>
      <c r="V81" s="29"/>
      <c r="AA81" s="31" t="s">
        <v>274</v>
      </c>
    </row>
    <row r="82" ht="22.5" customHeight="1">
      <c r="A82" s="3" t="s">
        <v>218</v>
      </c>
      <c r="B82" s="26">
        <v>46078.0</v>
      </c>
      <c r="C82" s="3" t="s">
        <v>158</v>
      </c>
      <c r="D82" s="14" t="s">
        <v>370</v>
      </c>
      <c r="E82" s="19" t="s">
        <v>39</v>
      </c>
      <c r="F82" s="13" t="s">
        <v>111</v>
      </c>
      <c r="G82" s="13" t="s">
        <v>11</v>
      </c>
      <c r="H82" s="13" t="s">
        <v>172</v>
      </c>
      <c r="I82" s="35"/>
      <c r="J82" s="35"/>
      <c r="K82" s="35"/>
      <c r="L82" s="82" t="b">
        <v>0</v>
      </c>
      <c r="M82" s="83">
        <v>1.5</v>
      </c>
      <c r="N82" s="84">
        <v>0.2</v>
      </c>
      <c r="O82" s="88">
        <v>2.0</v>
      </c>
      <c r="P82" s="66" t="s">
        <v>112</v>
      </c>
      <c r="Q82" s="14"/>
      <c r="R82" s="14"/>
      <c r="S82" s="14"/>
      <c r="T82" s="74"/>
      <c r="U82" s="6"/>
      <c r="V82" s="74"/>
      <c r="AA82" s="15" t="s">
        <v>371</v>
      </c>
    </row>
    <row r="83" ht="22.5" customHeight="1">
      <c r="A83" s="3" t="s">
        <v>372</v>
      </c>
      <c r="B83" s="26">
        <v>46078.0</v>
      </c>
      <c r="C83" s="3" t="s">
        <v>127</v>
      </c>
      <c r="D83" s="14" t="s">
        <v>373</v>
      </c>
      <c r="E83" s="19" t="s">
        <v>39</v>
      </c>
      <c r="F83" s="13" t="s">
        <v>111</v>
      </c>
      <c r="G83" s="13" t="s">
        <v>11</v>
      </c>
      <c r="H83" s="13" t="s">
        <v>172</v>
      </c>
      <c r="I83" s="35"/>
      <c r="J83" s="35"/>
      <c r="K83" s="35"/>
      <c r="L83" s="82" t="b">
        <v>0</v>
      </c>
      <c r="M83" s="83">
        <f>28/21</f>
        <v>1.333333333</v>
      </c>
      <c r="N83" s="84">
        <f>28/80</f>
        <v>0.35</v>
      </c>
      <c r="O83" s="88">
        <v>2.0</v>
      </c>
      <c r="P83" s="66" t="s">
        <v>112</v>
      </c>
      <c r="Q83" s="14"/>
      <c r="R83" s="14"/>
      <c r="S83" s="14"/>
      <c r="T83" s="29"/>
      <c r="U83" s="6"/>
      <c r="AA83" s="15" t="s">
        <v>374</v>
      </c>
    </row>
    <row r="84" ht="22.5" customHeight="1">
      <c r="A84" s="3" t="s">
        <v>375</v>
      </c>
      <c r="B84" s="103">
        <v>46080.0</v>
      </c>
      <c r="C84" s="3" t="s">
        <v>127</v>
      </c>
      <c r="D84" s="14" t="s">
        <v>376</v>
      </c>
      <c r="E84" s="19" t="s">
        <v>39</v>
      </c>
      <c r="F84" s="13" t="s">
        <v>111</v>
      </c>
      <c r="G84" s="13" t="s">
        <v>11</v>
      </c>
      <c r="H84" s="13" t="s">
        <v>172</v>
      </c>
      <c r="I84" s="35"/>
      <c r="J84" s="35"/>
      <c r="K84" s="35"/>
      <c r="L84" s="82" t="b">
        <v>0</v>
      </c>
      <c r="M84" s="83">
        <f>6.5/2.6</f>
        <v>2.5</v>
      </c>
      <c r="N84" s="84">
        <f>0.04</f>
        <v>0.04</v>
      </c>
      <c r="O84" s="88">
        <v>2.0</v>
      </c>
      <c r="P84" s="66" t="s">
        <v>112</v>
      </c>
      <c r="Q84" s="22"/>
      <c r="R84" s="22"/>
      <c r="S84" s="14"/>
      <c r="T84" s="74"/>
      <c r="U84" s="6"/>
      <c r="V84" s="74"/>
      <c r="AA84" s="15" t="s">
        <v>318</v>
      </c>
    </row>
    <row r="85" ht="22.5" customHeight="1">
      <c r="A85" s="3" t="s">
        <v>377</v>
      </c>
      <c r="B85" s="103">
        <v>46080.0</v>
      </c>
      <c r="C85" s="3" t="s">
        <v>127</v>
      </c>
      <c r="D85" s="14" t="s">
        <v>378</v>
      </c>
      <c r="E85" s="19" t="s">
        <v>39</v>
      </c>
      <c r="F85" s="13" t="s">
        <v>111</v>
      </c>
      <c r="G85" s="13" t="s">
        <v>11</v>
      </c>
      <c r="H85" s="13" t="s">
        <v>172</v>
      </c>
      <c r="I85" s="35"/>
      <c r="J85" s="35" t="b">
        <v>1</v>
      </c>
      <c r="K85" s="35"/>
      <c r="L85" s="82" t="b">
        <v>0</v>
      </c>
      <c r="M85" s="83">
        <f>4.3/1.6</f>
        <v>2.6875</v>
      </c>
      <c r="N85" s="84">
        <f>1.6/4.3</f>
        <v>0.3720930233</v>
      </c>
      <c r="O85" s="88">
        <f>15.5/4.1</f>
        <v>3.780487805</v>
      </c>
      <c r="P85" s="66" t="s">
        <v>112</v>
      </c>
      <c r="Q85" s="14"/>
      <c r="R85" s="14"/>
      <c r="S85" s="14"/>
      <c r="T85" s="74"/>
      <c r="U85" s="6"/>
      <c r="V85" s="74"/>
      <c r="AA85" s="15" t="s">
        <v>328</v>
      </c>
    </row>
    <row r="86" ht="22.5" customHeight="1">
      <c r="A86" s="3" t="s">
        <v>379</v>
      </c>
      <c r="B86" s="103">
        <v>46080.0</v>
      </c>
      <c r="C86" s="3" t="s">
        <v>127</v>
      </c>
      <c r="D86" s="14" t="s">
        <v>380</v>
      </c>
      <c r="E86" s="19" t="s">
        <v>39</v>
      </c>
      <c r="F86" s="13" t="s">
        <v>111</v>
      </c>
      <c r="G86" s="13" t="s">
        <v>11</v>
      </c>
      <c r="H86" s="13" t="s">
        <v>172</v>
      </c>
      <c r="I86" s="35"/>
      <c r="J86" s="35"/>
      <c r="K86" s="35"/>
      <c r="L86" s="82" t="b">
        <v>0</v>
      </c>
      <c r="M86" s="83">
        <v>1.92</v>
      </c>
      <c r="N86" s="84">
        <f>0.04</f>
        <v>0.04</v>
      </c>
      <c r="O86" s="88">
        <f>6/2.9</f>
        <v>2.068965517</v>
      </c>
      <c r="P86" s="66" t="s">
        <v>112</v>
      </c>
      <c r="Q86" s="14"/>
      <c r="R86" s="14"/>
      <c r="S86" s="14"/>
      <c r="T86" s="74"/>
      <c r="U86" s="6"/>
      <c r="V86" s="74"/>
      <c r="AA86" s="15" t="s">
        <v>204</v>
      </c>
    </row>
    <row r="87" ht="22.5" customHeight="1">
      <c r="A87" s="3" t="s">
        <v>381</v>
      </c>
      <c r="B87" s="103">
        <v>46080.0</v>
      </c>
      <c r="C87" s="3" t="s">
        <v>127</v>
      </c>
      <c r="D87" s="14" t="s">
        <v>382</v>
      </c>
      <c r="E87" s="19" t="s">
        <v>39</v>
      </c>
      <c r="F87" s="13" t="s">
        <v>111</v>
      </c>
      <c r="G87" s="13" t="s">
        <v>11</v>
      </c>
      <c r="H87" s="13" t="s">
        <v>14</v>
      </c>
      <c r="I87" s="35"/>
      <c r="J87" s="35" t="b">
        <v>1</v>
      </c>
      <c r="K87" s="35"/>
      <c r="L87" s="82" t="b">
        <v>0</v>
      </c>
      <c r="M87" s="83">
        <v>2.03</v>
      </c>
      <c r="N87" s="84">
        <v>0.06</v>
      </c>
      <c r="O87" s="89">
        <f>-10/6.9</f>
        <v>-1.449275362</v>
      </c>
      <c r="P87" s="66" t="s">
        <v>112</v>
      </c>
      <c r="Q87" s="22"/>
      <c r="R87" s="22"/>
      <c r="S87" s="22"/>
      <c r="T87" s="74"/>
      <c r="U87" s="6"/>
      <c r="V87" s="74"/>
      <c r="AA87" s="15" t="s">
        <v>325</v>
      </c>
    </row>
    <row r="88" ht="22.5" customHeight="1">
      <c r="A88" s="3" t="s">
        <v>383</v>
      </c>
      <c r="B88" s="103">
        <v>46080.0</v>
      </c>
      <c r="C88" s="3" t="s">
        <v>127</v>
      </c>
      <c r="D88" s="14" t="s">
        <v>384</v>
      </c>
      <c r="E88" s="19" t="s">
        <v>39</v>
      </c>
      <c r="F88" s="13" t="s">
        <v>111</v>
      </c>
      <c r="G88" s="13" t="s">
        <v>11</v>
      </c>
      <c r="H88" s="13" t="s">
        <v>14</v>
      </c>
      <c r="I88" s="35"/>
      <c r="J88" s="35" t="b">
        <v>1</v>
      </c>
      <c r="K88" s="35" t="b">
        <v>1</v>
      </c>
      <c r="L88" s="82" t="b">
        <v>1</v>
      </c>
      <c r="M88" s="83">
        <v>1.85</v>
      </c>
      <c r="N88" s="84">
        <v>4.64</v>
      </c>
      <c r="O88" s="89">
        <f>-1.57/1.84</f>
        <v>-0.8532608696</v>
      </c>
      <c r="P88" s="66" t="s">
        <v>112</v>
      </c>
      <c r="Q88" s="22"/>
      <c r="R88" s="22"/>
      <c r="S88" s="14"/>
      <c r="T88" s="29"/>
      <c r="U88" s="6"/>
      <c r="V88" s="74"/>
      <c r="AA88" s="15" t="s">
        <v>385</v>
      </c>
    </row>
    <row r="89" ht="22.5" customHeight="1">
      <c r="A89" s="3" t="s">
        <v>386</v>
      </c>
      <c r="B89" s="26">
        <v>46083.0</v>
      </c>
      <c r="C89" s="3" t="s">
        <v>127</v>
      </c>
      <c r="D89" s="14" t="s">
        <v>387</v>
      </c>
      <c r="E89" s="19" t="s">
        <v>39</v>
      </c>
      <c r="F89" s="13" t="s">
        <v>111</v>
      </c>
      <c r="G89" s="13" t="s">
        <v>11</v>
      </c>
      <c r="H89" s="13" t="s">
        <v>13</v>
      </c>
      <c r="I89" s="35"/>
      <c r="J89" s="35" t="b">
        <v>1</v>
      </c>
      <c r="K89" s="35"/>
      <c r="L89" s="82" t="b">
        <v>0</v>
      </c>
      <c r="M89" s="83">
        <f>2.5/1.5</f>
        <v>1.666666667</v>
      </c>
      <c r="N89" s="84"/>
      <c r="O89" s="88">
        <v>2.0</v>
      </c>
      <c r="P89" s="66" t="s">
        <v>112</v>
      </c>
      <c r="Q89" s="22"/>
      <c r="R89" s="22"/>
      <c r="S89" s="14"/>
      <c r="T89" s="29"/>
      <c r="U89" s="6"/>
      <c r="V89" s="29"/>
      <c r="AA89" s="15" t="s">
        <v>388</v>
      </c>
    </row>
    <row r="90" ht="22.5" customHeight="1">
      <c r="A90" s="3" t="s">
        <v>152</v>
      </c>
      <c r="B90" s="26">
        <v>46083.0</v>
      </c>
      <c r="C90" s="3">
        <v>111.0</v>
      </c>
      <c r="D90" s="14" t="s">
        <v>389</v>
      </c>
      <c r="E90" s="19" t="s">
        <v>39</v>
      </c>
      <c r="F90" s="13" t="s">
        <v>111</v>
      </c>
      <c r="G90" s="13" t="s">
        <v>9</v>
      </c>
      <c r="H90" s="13" t="s">
        <v>10</v>
      </c>
      <c r="I90" s="35"/>
      <c r="J90" s="35"/>
      <c r="K90" s="35"/>
      <c r="L90" s="82" t="b">
        <v>0</v>
      </c>
      <c r="M90" s="83"/>
      <c r="N90" s="84"/>
      <c r="O90" s="89"/>
      <c r="P90" s="66" t="s">
        <v>112</v>
      </c>
      <c r="Q90" s="22"/>
      <c r="R90" s="22"/>
      <c r="S90" s="14"/>
      <c r="T90" s="74"/>
      <c r="U90" s="6"/>
      <c r="V90" s="74"/>
      <c r="AA90" s="15" t="s">
        <v>162</v>
      </c>
    </row>
    <row r="91" ht="22.5" customHeight="1">
      <c r="A91" s="3" t="s">
        <v>162</v>
      </c>
      <c r="B91" s="26">
        <v>46084.0</v>
      </c>
      <c r="C91" s="3">
        <v>111.0</v>
      </c>
      <c r="D91" s="14" t="s">
        <v>390</v>
      </c>
      <c r="E91" s="19" t="s">
        <v>39</v>
      </c>
      <c r="F91" s="13" t="s">
        <v>111</v>
      </c>
      <c r="G91" s="13" t="s">
        <v>9</v>
      </c>
      <c r="H91" s="13" t="s">
        <v>10</v>
      </c>
      <c r="I91" s="35"/>
      <c r="J91" s="35"/>
      <c r="K91" s="35"/>
      <c r="L91" s="82" t="b">
        <v>0</v>
      </c>
      <c r="M91" s="83"/>
      <c r="N91" s="84"/>
      <c r="O91" s="88"/>
      <c r="P91" s="66" t="s">
        <v>112</v>
      </c>
      <c r="Q91" s="14"/>
      <c r="R91" s="14"/>
      <c r="S91" s="14"/>
      <c r="T91" s="74"/>
      <c r="U91" s="6"/>
      <c r="V91" s="74"/>
      <c r="AA91" s="15" t="s">
        <v>391</v>
      </c>
    </row>
    <row r="92" ht="22.5" customHeight="1">
      <c r="A92" s="3" t="s">
        <v>392</v>
      </c>
      <c r="B92" s="26">
        <v>46084.0</v>
      </c>
      <c r="C92" s="3" t="s">
        <v>182</v>
      </c>
      <c r="D92" s="14" t="s">
        <v>393</v>
      </c>
      <c r="E92" s="19" t="s">
        <v>34</v>
      </c>
      <c r="F92" s="13" t="s">
        <v>111</v>
      </c>
      <c r="G92" s="13" t="s">
        <v>11</v>
      </c>
      <c r="H92" s="13" t="s">
        <v>14</v>
      </c>
      <c r="I92" s="35"/>
      <c r="J92" s="35"/>
      <c r="K92" s="35"/>
      <c r="L92" s="82" t="b">
        <v>0</v>
      </c>
      <c r="M92" s="83"/>
      <c r="N92" s="84"/>
      <c r="O92" s="88"/>
      <c r="P92" s="66" t="s">
        <v>112</v>
      </c>
      <c r="Q92" s="14"/>
      <c r="R92" s="14"/>
      <c r="S92" s="14"/>
      <c r="T92" s="29"/>
      <c r="U92" s="6"/>
      <c r="V92" s="74"/>
      <c r="AA92" s="15" t="s">
        <v>108</v>
      </c>
    </row>
    <row r="93" ht="22.5" customHeight="1">
      <c r="A93" s="3" t="s">
        <v>394</v>
      </c>
      <c r="B93" s="26">
        <v>46084.0</v>
      </c>
      <c r="C93" s="3" t="s">
        <v>127</v>
      </c>
      <c r="D93" s="14" t="s">
        <v>395</v>
      </c>
      <c r="E93" s="19" t="s">
        <v>39</v>
      </c>
      <c r="F93" s="13" t="s">
        <v>111</v>
      </c>
      <c r="G93" s="13" t="s">
        <v>9</v>
      </c>
      <c r="H93" s="13" t="s">
        <v>19</v>
      </c>
      <c r="I93" s="35"/>
      <c r="J93" s="35"/>
      <c r="K93" s="35"/>
      <c r="L93" s="82" t="b">
        <v>0</v>
      </c>
      <c r="M93" s="83"/>
      <c r="N93" s="84"/>
      <c r="O93" s="88"/>
      <c r="P93" s="66" t="s">
        <v>112</v>
      </c>
      <c r="Q93" s="14"/>
      <c r="R93" s="14"/>
      <c r="S93" s="14"/>
      <c r="T93" s="74"/>
      <c r="U93" s="6"/>
      <c r="V93" s="74"/>
      <c r="AA93" s="15" t="s">
        <v>349</v>
      </c>
    </row>
    <row r="94" ht="22.5" customHeight="1">
      <c r="A94" s="3" t="s">
        <v>396</v>
      </c>
      <c r="B94" s="26">
        <v>46084.0</v>
      </c>
      <c r="C94" s="3" t="s">
        <v>136</v>
      </c>
      <c r="D94" s="14" t="s">
        <v>397</v>
      </c>
      <c r="E94" s="19" t="s">
        <v>200</v>
      </c>
      <c r="F94" s="13" t="s">
        <v>111</v>
      </c>
      <c r="G94" s="13" t="s">
        <v>11</v>
      </c>
      <c r="H94" s="13" t="s">
        <v>13</v>
      </c>
      <c r="I94" s="35"/>
      <c r="J94" s="35" t="b">
        <v>1</v>
      </c>
      <c r="K94" s="35" t="b">
        <v>1</v>
      </c>
      <c r="L94" s="82" t="b">
        <v>0</v>
      </c>
      <c r="M94" s="83"/>
      <c r="N94" s="84"/>
      <c r="O94" s="88"/>
      <c r="P94" s="66" t="s">
        <v>112</v>
      </c>
      <c r="Q94" s="14"/>
      <c r="R94" s="14"/>
      <c r="S94" s="14"/>
      <c r="T94" s="29"/>
      <c r="U94" s="6"/>
      <c r="V94" s="74"/>
      <c r="AA94" s="15" t="s">
        <v>352</v>
      </c>
    </row>
    <row r="95" ht="22.5" customHeight="1">
      <c r="A95" s="3" t="s">
        <v>286</v>
      </c>
      <c r="B95" s="26">
        <v>46085.0</v>
      </c>
      <c r="C95" s="3" t="s">
        <v>127</v>
      </c>
      <c r="D95" s="15" t="s">
        <v>398</v>
      </c>
      <c r="E95" s="16" t="s">
        <v>39</v>
      </c>
      <c r="F95" s="3" t="s">
        <v>111</v>
      </c>
      <c r="G95" s="3" t="s">
        <v>11</v>
      </c>
      <c r="H95" s="3" t="s">
        <v>14</v>
      </c>
      <c r="I95" s="104"/>
      <c r="J95" s="104"/>
      <c r="K95" s="105" t="b">
        <v>1</v>
      </c>
      <c r="L95" s="82" t="b">
        <v>0</v>
      </c>
      <c r="M95" s="83"/>
      <c r="N95" s="84"/>
      <c r="O95" s="101"/>
      <c r="P95" s="66" t="s">
        <v>112</v>
      </c>
      <c r="U95" s="6"/>
      <c r="AA95" s="15" t="s">
        <v>355</v>
      </c>
    </row>
    <row r="96" ht="22.5" customHeight="1">
      <c r="A96" s="3" t="s">
        <v>399</v>
      </c>
      <c r="B96" s="26">
        <v>46085.0</v>
      </c>
      <c r="C96" s="3" t="s">
        <v>191</v>
      </c>
      <c r="D96" s="15" t="s">
        <v>400</v>
      </c>
      <c r="E96" s="16" t="s">
        <v>39</v>
      </c>
      <c r="F96" s="3" t="s">
        <v>111</v>
      </c>
      <c r="G96" s="3" t="s">
        <v>11</v>
      </c>
      <c r="H96" s="3" t="s">
        <v>14</v>
      </c>
      <c r="I96" s="104"/>
      <c r="J96" s="104"/>
      <c r="K96" s="104"/>
      <c r="L96" s="82" t="b">
        <v>0</v>
      </c>
      <c r="M96" s="83"/>
      <c r="N96" s="84"/>
      <c r="O96" s="101"/>
      <c r="P96" s="66" t="s">
        <v>112</v>
      </c>
      <c r="U96" s="6"/>
      <c r="AA96" s="15" t="s">
        <v>359</v>
      </c>
    </row>
    <row r="97" ht="22.5" customHeight="1">
      <c r="A97" s="3" t="s">
        <v>401</v>
      </c>
      <c r="B97" s="26">
        <v>46085.0</v>
      </c>
      <c r="C97" s="3" t="s">
        <v>191</v>
      </c>
      <c r="D97" s="15" t="s">
        <v>402</v>
      </c>
      <c r="E97" s="16" t="s">
        <v>39</v>
      </c>
      <c r="F97" s="3" t="s">
        <v>111</v>
      </c>
      <c r="G97" s="3" t="s">
        <v>11</v>
      </c>
      <c r="H97" s="3" t="s">
        <v>14</v>
      </c>
      <c r="I97" s="104"/>
      <c r="J97" s="104"/>
      <c r="K97" s="104"/>
      <c r="L97" s="82" t="b">
        <v>0</v>
      </c>
      <c r="M97" s="83"/>
      <c r="N97" s="84"/>
      <c r="O97" s="101"/>
      <c r="P97" s="66" t="s">
        <v>112</v>
      </c>
      <c r="U97" s="6"/>
      <c r="AA97" s="15" t="s">
        <v>369</v>
      </c>
    </row>
    <row r="98" ht="22.5" customHeight="1">
      <c r="A98" s="3" t="s">
        <v>403</v>
      </c>
      <c r="B98" s="26">
        <v>46087.0</v>
      </c>
      <c r="C98" s="3" t="s">
        <v>127</v>
      </c>
      <c r="D98" s="15" t="s">
        <v>404</v>
      </c>
      <c r="E98" s="16" t="s">
        <v>39</v>
      </c>
      <c r="F98" s="3" t="s">
        <v>111</v>
      </c>
      <c r="G98" s="3" t="s">
        <v>11</v>
      </c>
      <c r="H98" s="3" t="s">
        <v>13</v>
      </c>
      <c r="I98" s="104"/>
      <c r="J98" s="105" t="b">
        <v>1</v>
      </c>
      <c r="K98" s="104"/>
      <c r="L98" s="82" t="b">
        <v>0</v>
      </c>
      <c r="M98" s="83"/>
      <c r="N98" s="84"/>
      <c r="O98" s="101"/>
      <c r="P98" s="66" t="s">
        <v>112</v>
      </c>
      <c r="U98" s="6"/>
      <c r="AA98" s="15" t="s">
        <v>218</v>
      </c>
    </row>
    <row r="99" ht="22.5" customHeight="1">
      <c r="A99" s="3" t="s">
        <v>374</v>
      </c>
      <c r="B99" s="26">
        <v>46087.0</v>
      </c>
      <c r="C99" s="3" t="s">
        <v>171</v>
      </c>
      <c r="D99" s="15" t="s">
        <v>405</v>
      </c>
      <c r="E99" s="16" t="s">
        <v>200</v>
      </c>
      <c r="F99" s="3" t="s">
        <v>111</v>
      </c>
      <c r="G99" s="3" t="s">
        <v>9</v>
      </c>
      <c r="H99" s="3" t="s">
        <v>12</v>
      </c>
      <c r="I99" s="104"/>
      <c r="J99" s="104"/>
      <c r="K99" s="104"/>
      <c r="L99" s="82" t="b">
        <v>0</v>
      </c>
      <c r="M99" s="83"/>
      <c r="N99" s="84"/>
      <c r="O99" s="101"/>
      <c r="P99" s="66" t="s">
        <v>112</v>
      </c>
      <c r="U99" s="6"/>
      <c r="AA99" s="15" t="s">
        <v>366</v>
      </c>
    </row>
    <row r="100" ht="22.5" customHeight="1">
      <c r="A100" s="3" t="s">
        <v>406</v>
      </c>
      <c r="B100" s="26">
        <v>46087.0</v>
      </c>
      <c r="C100" s="3" t="s">
        <v>127</v>
      </c>
      <c r="D100" s="15" t="s">
        <v>407</v>
      </c>
      <c r="E100" s="16" t="s">
        <v>39</v>
      </c>
      <c r="F100" s="3" t="s">
        <v>111</v>
      </c>
      <c r="G100" s="3" t="s">
        <v>9</v>
      </c>
      <c r="H100" s="3" t="s">
        <v>10</v>
      </c>
      <c r="I100" s="104"/>
      <c r="J100" s="104"/>
      <c r="K100" s="104"/>
      <c r="L100" s="82" t="b">
        <v>0</v>
      </c>
      <c r="M100" s="83"/>
      <c r="N100" s="84"/>
      <c r="O100" s="101"/>
      <c r="P100" s="66" t="s">
        <v>112</v>
      </c>
      <c r="U100" s="6"/>
      <c r="AA100" s="15" t="s">
        <v>372</v>
      </c>
    </row>
    <row r="101" ht="22.5" customHeight="1">
      <c r="A101" s="3" t="s">
        <v>408</v>
      </c>
      <c r="B101" s="26">
        <v>46087.0</v>
      </c>
      <c r="C101" s="3" t="s">
        <v>158</v>
      </c>
      <c r="D101" s="15" t="s">
        <v>407</v>
      </c>
      <c r="E101" s="16" t="s">
        <v>39</v>
      </c>
      <c r="F101" s="3" t="s">
        <v>111</v>
      </c>
      <c r="G101" s="3" t="s">
        <v>9</v>
      </c>
      <c r="H101" s="3" t="s">
        <v>10</v>
      </c>
      <c r="I101" s="104"/>
      <c r="J101" s="104"/>
      <c r="K101" s="104"/>
      <c r="L101" s="82" t="b">
        <v>0</v>
      </c>
      <c r="M101" s="83"/>
      <c r="N101" s="84"/>
      <c r="O101" s="101"/>
      <c r="P101" s="66" t="s">
        <v>112</v>
      </c>
      <c r="U101" s="6"/>
      <c r="AA101" s="15" t="s">
        <v>381</v>
      </c>
    </row>
    <row r="102" ht="22.5" customHeight="1">
      <c r="A102" s="3" t="s">
        <v>221</v>
      </c>
      <c r="B102" s="26">
        <v>46090.0</v>
      </c>
      <c r="C102" s="3" t="s">
        <v>125</v>
      </c>
      <c r="D102" s="14" t="s">
        <v>409</v>
      </c>
      <c r="E102" s="19" t="s">
        <v>39</v>
      </c>
      <c r="F102" s="13" t="s">
        <v>111</v>
      </c>
      <c r="G102" s="13" t="s">
        <v>9</v>
      </c>
      <c r="H102" s="13" t="s">
        <v>10</v>
      </c>
      <c r="I102" s="35" t="b">
        <v>0</v>
      </c>
      <c r="J102" s="35" t="b">
        <v>0</v>
      </c>
      <c r="K102" s="35" t="b">
        <v>0</v>
      </c>
      <c r="L102" s="82" t="b">
        <v>0</v>
      </c>
      <c r="M102" s="83"/>
      <c r="N102" s="84"/>
      <c r="O102" s="89"/>
      <c r="P102" s="66" t="s">
        <v>112</v>
      </c>
      <c r="Q102" s="22"/>
      <c r="R102" s="22"/>
      <c r="S102" s="22"/>
      <c r="T102" s="74"/>
      <c r="U102" s="6"/>
      <c r="V102" s="74"/>
      <c r="AA102" s="15" t="s">
        <v>375</v>
      </c>
    </row>
    <row r="103" ht="22.5" customHeight="1">
      <c r="A103" s="3" t="s">
        <v>145</v>
      </c>
      <c r="B103" s="26">
        <v>46090.0</v>
      </c>
      <c r="C103" s="3" t="s">
        <v>191</v>
      </c>
      <c r="D103" s="14" t="s">
        <v>410</v>
      </c>
      <c r="E103" s="19" t="s">
        <v>39</v>
      </c>
      <c r="F103" s="13" t="s">
        <v>111</v>
      </c>
      <c r="G103" s="13" t="s">
        <v>11</v>
      </c>
      <c r="H103" s="13" t="s">
        <v>166</v>
      </c>
      <c r="I103" s="35" t="b">
        <v>0</v>
      </c>
      <c r="J103" s="35" t="b">
        <v>0</v>
      </c>
      <c r="K103" s="35" t="b">
        <v>1</v>
      </c>
      <c r="L103" s="82" t="b">
        <v>1</v>
      </c>
      <c r="M103" s="83">
        <v>6.0</v>
      </c>
      <c r="N103" s="84">
        <v>0.5</v>
      </c>
      <c r="O103" s="88">
        <v>6.0</v>
      </c>
      <c r="P103" s="66" t="s">
        <v>112</v>
      </c>
      <c r="Q103" s="22"/>
      <c r="R103" s="22"/>
      <c r="S103" s="22"/>
      <c r="T103" s="74"/>
      <c r="U103" s="6"/>
      <c r="V103" s="74"/>
      <c r="AA103" s="15" t="s">
        <v>377</v>
      </c>
    </row>
    <row r="104" ht="22.5" customHeight="1">
      <c r="A104" s="3" t="s">
        <v>203</v>
      </c>
      <c r="B104" s="26">
        <v>46090.0</v>
      </c>
      <c r="C104" s="3" t="s">
        <v>136</v>
      </c>
      <c r="D104" s="14" t="s">
        <v>411</v>
      </c>
      <c r="E104" s="19" t="s">
        <v>200</v>
      </c>
      <c r="F104" s="13" t="s">
        <v>111</v>
      </c>
      <c r="G104" s="13" t="s">
        <v>11</v>
      </c>
      <c r="H104" s="13" t="s">
        <v>18</v>
      </c>
      <c r="I104" s="35" t="b">
        <v>0</v>
      </c>
      <c r="J104" s="35" t="b">
        <v>0</v>
      </c>
      <c r="K104" s="35" t="b">
        <v>1</v>
      </c>
      <c r="L104" s="82" t="b">
        <v>0</v>
      </c>
      <c r="M104" s="83"/>
      <c r="N104" s="84"/>
      <c r="O104" s="89"/>
      <c r="P104" s="66" t="s">
        <v>112</v>
      </c>
      <c r="Q104" s="22"/>
      <c r="R104" s="22"/>
      <c r="S104" s="22"/>
      <c r="T104" s="74"/>
      <c r="U104" s="6"/>
      <c r="V104" s="74"/>
      <c r="AA104" s="15" t="s">
        <v>379</v>
      </c>
    </row>
    <row r="105" ht="22.5" customHeight="1">
      <c r="A105" s="3" t="s">
        <v>412</v>
      </c>
      <c r="B105" s="26">
        <v>46090.0</v>
      </c>
      <c r="C105" s="3" t="s">
        <v>191</v>
      </c>
      <c r="D105" s="14" t="s">
        <v>413</v>
      </c>
      <c r="E105" s="19" t="s">
        <v>39</v>
      </c>
      <c r="F105" s="13" t="s">
        <v>111</v>
      </c>
      <c r="G105" s="13" t="s">
        <v>11</v>
      </c>
      <c r="H105" s="13" t="s">
        <v>166</v>
      </c>
      <c r="I105" s="35" t="b">
        <v>0</v>
      </c>
      <c r="J105" s="35" t="b">
        <v>0</v>
      </c>
      <c r="K105" s="35" t="b">
        <v>1</v>
      </c>
      <c r="L105" s="82" t="b">
        <v>1</v>
      </c>
      <c r="M105" s="83">
        <v>2.0</v>
      </c>
      <c r="N105" s="84">
        <v>0.1</v>
      </c>
      <c r="O105" s="88">
        <v>2.5</v>
      </c>
      <c r="P105" s="66" t="s">
        <v>112</v>
      </c>
      <c r="Q105" s="22"/>
      <c r="R105" s="22"/>
      <c r="S105" s="22"/>
      <c r="T105" s="74"/>
      <c r="U105" s="6"/>
      <c r="V105" s="74"/>
      <c r="AA105" s="15" t="s">
        <v>383</v>
      </c>
    </row>
    <row r="106" ht="22.5" customHeight="1">
      <c r="A106" s="3" t="s">
        <v>414</v>
      </c>
      <c r="B106" s="26">
        <v>46090.0</v>
      </c>
      <c r="C106" s="3" t="s">
        <v>191</v>
      </c>
      <c r="D106" s="14" t="s">
        <v>415</v>
      </c>
      <c r="E106" s="19" t="s">
        <v>39</v>
      </c>
      <c r="F106" s="13" t="s">
        <v>111</v>
      </c>
      <c r="G106" s="13" t="s">
        <v>11</v>
      </c>
      <c r="H106" s="13" t="s">
        <v>18</v>
      </c>
      <c r="I106" s="35" t="b">
        <v>0</v>
      </c>
      <c r="J106" s="35" t="b">
        <v>0</v>
      </c>
      <c r="K106" s="35" t="b">
        <v>0</v>
      </c>
      <c r="L106" s="82" t="b">
        <v>0</v>
      </c>
      <c r="M106" s="83"/>
      <c r="N106" s="84"/>
      <c r="O106" s="89"/>
      <c r="P106" s="66" t="s">
        <v>112</v>
      </c>
      <c r="Q106" s="22"/>
      <c r="R106" s="22"/>
      <c r="S106" s="22"/>
      <c r="T106" s="74"/>
      <c r="U106" s="6"/>
      <c r="V106" s="74"/>
      <c r="AA106" s="15" t="s">
        <v>386</v>
      </c>
    </row>
    <row r="107" ht="22.5" customHeight="1">
      <c r="A107" s="3" t="s">
        <v>416</v>
      </c>
      <c r="B107" s="26">
        <v>46091.0</v>
      </c>
      <c r="C107" s="3" t="s">
        <v>191</v>
      </c>
      <c r="D107" s="14" t="s">
        <v>417</v>
      </c>
      <c r="E107" s="19" t="s">
        <v>39</v>
      </c>
      <c r="F107" s="13" t="s">
        <v>111</v>
      </c>
      <c r="G107" s="13" t="s">
        <v>11</v>
      </c>
      <c r="H107" s="13" t="s">
        <v>166</v>
      </c>
      <c r="I107" s="35" t="b">
        <v>0</v>
      </c>
      <c r="J107" s="35" t="b">
        <v>0</v>
      </c>
      <c r="K107" s="35" t="b">
        <v>1</v>
      </c>
      <c r="L107" s="82" t="b">
        <v>1</v>
      </c>
      <c r="M107" s="83">
        <v>1.5</v>
      </c>
      <c r="N107" s="84">
        <f>146/2000</f>
        <v>0.073</v>
      </c>
      <c r="O107" s="89">
        <f>3.8/5.7</f>
        <v>0.6666666667</v>
      </c>
      <c r="P107" s="66" t="s">
        <v>112</v>
      </c>
      <c r="Q107" s="22"/>
      <c r="R107" s="22"/>
      <c r="S107" s="22"/>
      <c r="T107" s="74"/>
      <c r="U107" s="6"/>
      <c r="V107" s="74"/>
      <c r="AA107" s="15" t="s">
        <v>392</v>
      </c>
    </row>
    <row r="108" ht="22.5" customHeight="1">
      <c r="A108" s="3" t="s">
        <v>418</v>
      </c>
      <c r="B108" s="26">
        <v>46091.0</v>
      </c>
      <c r="C108" s="3" t="s">
        <v>193</v>
      </c>
      <c r="D108" s="14" t="s">
        <v>419</v>
      </c>
      <c r="E108" s="19" t="s">
        <v>200</v>
      </c>
      <c r="F108" s="13" t="s">
        <v>111</v>
      </c>
      <c r="G108" s="13" t="s">
        <v>11</v>
      </c>
      <c r="H108" s="13" t="s">
        <v>18</v>
      </c>
      <c r="I108" s="35" t="b">
        <v>0</v>
      </c>
      <c r="J108" s="35" t="b">
        <v>0</v>
      </c>
      <c r="K108" s="35" t="b">
        <v>0</v>
      </c>
      <c r="L108" s="82" t="b">
        <v>0</v>
      </c>
      <c r="M108" s="83">
        <f>1.2/1.7</f>
        <v>0.7058823529</v>
      </c>
      <c r="N108" s="84"/>
      <c r="O108" s="89">
        <f>5/8</f>
        <v>0.625</v>
      </c>
      <c r="P108" s="66" t="s">
        <v>112</v>
      </c>
      <c r="Q108" s="22"/>
      <c r="R108" s="22"/>
      <c r="S108" s="22"/>
      <c r="T108" s="74"/>
      <c r="U108" s="6"/>
      <c r="V108" s="74"/>
      <c r="AA108" s="15" t="s">
        <v>396</v>
      </c>
    </row>
    <row r="109" ht="22.5" customHeight="1">
      <c r="A109" s="3" t="s">
        <v>420</v>
      </c>
      <c r="B109" s="26">
        <v>46092.0</v>
      </c>
      <c r="C109" s="3" t="s">
        <v>191</v>
      </c>
      <c r="D109" s="14" t="s">
        <v>421</v>
      </c>
      <c r="E109" s="19" t="s">
        <v>39</v>
      </c>
      <c r="F109" s="13" t="s">
        <v>111</v>
      </c>
      <c r="G109" s="13" t="s">
        <v>11</v>
      </c>
      <c r="H109" s="13" t="s">
        <v>166</v>
      </c>
      <c r="I109" s="35" t="b">
        <v>0</v>
      </c>
      <c r="J109" s="35" t="b">
        <v>0</v>
      </c>
      <c r="K109" s="35" t="b">
        <v>0</v>
      </c>
      <c r="L109" s="82" t="b">
        <v>1</v>
      </c>
      <c r="M109" s="83">
        <v>2.5</v>
      </c>
      <c r="N109" s="84"/>
      <c r="O109" s="88">
        <v>1.0</v>
      </c>
      <c r="P109" s="66" t="s">
        <v>112</v>
      </c>
      <c r="Q109" s="22"/>
      <c r="R109" s="22"/>
      <c r="S109" s="22"/>
      <c r="T109" s="74"/>
      <c r="U109" s="6"/>
      <c r="V109" s="29" t="s">
        <v>422</v>
      </c>
      <c r="AA109" s="15" t="s">
        <v>394</v>
      </c>
    </row>
    <row r="110" ht="22.5" customHeight="1">
      <c r="A110" s="3" t="s">
        <v>423</v>
      </c>
      <c r="B110" s="26">
        <v>46091.0</v>
      </c>
      <c r="C110" s="3" t="s">
        <v>127</v>
      </c>
      <c r="D110" s="14" t="s">
        <v>424</v>
      </c>
      <c r="E110" s="19" t="s">
        <v>39</v>
      </c>
      <c r="F110" s="13" t="s">
        <v>111</v>
      </c>
      <c r="G110" s="13" t="s">
        <v>11</v>
      </c>
      <c r="H110" s="13" t="s">
        <v>18</v>
      </c>
      <c r="I110" s="35" t="b">
        <v>0</v>
      </c>
      <c r="J110" s="35" t="b">
        <v>0</v>
      </c>
      <c r="K110" s="35" t="b">
        <v>0</v>
      </c>
      <c r="L110" s="82" t="b">
        <v>0</v>
      </c>
      <c r="M110" s="83">
        <v>2.5</v>
      </c>
      <c r="N110" s="84">
        <v>0.1</v>
      </c>
      <c r="O110" s="88">
        <v>1.2</v>
      </c>
      <c r="P110" s="66" t="s">
        <v>112</v>
      </c>
      <c r="Q110" s="22"/>
      <c r="R110" s="22"/>
      <c r="S110" s="22"/>
      <c r="T110" s="74"/>
      <c r="U110" s="6"/>
      <c r="V110" s="74"/>
      <c r="AA110" s="15" t="s">
        <v>399</v>
      </c>
    </row>
    <row r="111" ht="22.5" customHeight="1">
      <c r="A111" s="6"/>
      <c r="C111" s="6"/>
      <c r="D111" s="22"/>
      <c r="E111" s="20"/>
      <c r="F111" s="21"/>
      <c r="G111" s="21"/>
      <c r="H111" s="21"/>
      <c r="I111" s="35" t="b">
        <v>0</v>
      </c>
      <c r="J111" s="35" t="b">
        <v>0</v>
      </c>
      <c r="K111" s="35" t="b">
        <v>0</v>
      </c>
      <c r="L111" s="82" t="b">
        <v>0</v>
      </c>
      <c r="M111" s="83"/>
      <c r="N111" s="84"/>
      <c r="O111" s="89"/>
      <c r="P111" s="66" t="s">
        <v>112</v>
      </c>
      <c r="Q111" s="22"/>
      <c r="R111" s="22"/>
      <c r="S111" s="22"/>
      <c r="T111" s="74"/>
      <c r="U111" s="6"/>
      <c r="V111" s="74"/>
      <c r="AA111" s="15" t="s">
        <v>401</v>
      </c>
    </row>
    <row r="112" ht="22.5" customHeight="1">
      <c r="A112" s="6"/>
      <c r="C112" s="6"/>
      <c r="D112" s="22"/>
      <c r="E112" s="20"/>
      <c r="F112" s="21"/>
      <c r="G112" s="21"/>
      <c r="H112" s="21"/>
      <c r="I112" s="35" t="b">
        <v>0</v>
      </c>
      <c r="J112" s="35" t="b">
        <v>0</v>
      </c>
      <c r="K112" s="35" t="b">
        <v>0</v>
      </c>
      <c r="L112" s="82" t="b">
        <v>0</v>
      </c>
      <c r="M112" s="83"/>
      <c r="N112" s="84"/>
      <c r="O112" s="89"/>
      <c r="P112" s="66" t="s">
        <v>112</v>
      </c>
      <c r="Q112" s="22"/>
      <c r="R112" s="22"/>
      <c r="S112" s="22"/>
      <c r="T112" s="74"/>
      <c r="U112" s="6"/>
      <c r="V112" s="74"/>
      <c r="AA112" s="15" t="s">
        <v>403</v>
      </c>
    </row>
    <row r="113" ht="22.5" customHeight="1">
      <c r="A113" s="6"/>
      <c r="C113" s="6"/>
      <c r="D113" s="22"/>
      <c r="E113" s="20"/>
      <c r="F113" s="21"/>
      <c r="G113" s="21"/>
      <c r="H113" s="21"/>
      <c r="I113" s="35" t="b">
        <v>0</v>
      </c>
      <c r="J113" s="35" t="b">
        <v>0</v>
      </c>
      <c r="K113" s="35" t="b">
        <v>0</v>
      </c>
      <c r="L113" s="82" t="b">
        <v>0</v>
      </c>
      <c r="M113" s="83"/>
      <c r="N113" s="84"/>
      <c r="O113" s="89"/>
      <c r="P113" s="66" t="s">
        <v>112</v>
      </c>
      <c r="Q113" s="22"/>
      <c r="R113" s="22"/>
      <c r="S113" s="22"/>
      <c r="T113" s="74"/>
      <c r="U113" s="6"/>
      <c r="V113" s="74"/>
      <c r="AA113" s="15" t="s">
        <v>408</v>
      </c>
    </row>
    <row r="114" ht="22.5" customHeight="1">
      <c r="A114" s="6"/>
      <c r="C114" s="6"/>
      <c r="D114" s="22"/>
      <c r="E114" s="20"/>
      <c r="F114" s="21"/>
      <c r="G114" s="21"/>
      <c r="H114" s="21"/>
      <c r="I114" s="35" t="b">
        <v>0</v>
      </c>
      <c r="J114" s="35" t="b">
        <v>0</v>
      </c>
      <c r="K114" s="35" t="b">
        <v>0</v>
      </c>
      <c r="L114" s="82" t="b">
        <v>0</v>
      </c>
      <c r="M114" s="83"/>
      <c r="N114" s="84"/>
      <c r="O114" s="89"/>
      <c r="P114" s="66" t="s">
        <v>112</v>
      </c>
      <c r="Q114" s="22"/>
      <c r="R114" s="22"/>
      <c r="S114" s="22"/>
      <c r="T114" s="74"/>
      <c r="U114" s="6"/>
      <c r="V114" s="74"/>
      <c r="AA114" s="15" t="s">
        <v>406</v>
      </c>
    </row>
    <row r="115" ht="22.5" customHeight="1">
      <c r="A115" s="6"/>
      <c r="C115" s="6"/>
      <c r="D115" s="22"/>
      <c r="E115" s="20"/>
      <c r="F115" s="21"/>
      <c r="G115" s="21"/>
      <c r="H115" s="21"/>
      <c r="I115" s="35" t="b">
        <v>0</v>
      </c>
      <c r="J115" s="35" t="b">
        <v>0</v>
      </c>
      <c r="K115" s="35" t="b">
        <v>0</v>
      </c>
      <c r="L115" s="82" t="b">
        <v>0</v>
      </c>
      <c r="M115" s="83"/>
      <c r="N115" s="84"/>
      <c r="O115" s="89"/>
      <c r="P115" s="66" t="s">
        <v>112</v>
      </c>
      <c r="Q115" s="22"/>
      <c r="R115" s="22"/>
      <c r="S115" s="22"/>
      <c r="T115" s="74"/>
      <c r="U115" s="6"/>
      <c r="V115" s="74"/>
      <c r="AA115" s="15" t="s">
        <v>374</v>
      </c>
    </row>
    <row r="116" ht="22.5" customHeight="1">
      <c r="A116" s="6"/>
      <c r="C116" s="6"/>
      <c r="D116" s="22"/>
      <c r="E116" s="20"/>
      <c r="F116" s="21"/>
      <c r="G116" s="21"/>
      <c r="H116" s="21"/>
      <c r="I116" s="35" t="b">
        <v>0</v>
      </c>
      <c r="J116" s="35" t="b">
        <v>0</v>
      </c>
      <c r="K116" s="35" t="b">
        <v>0</v>
      </c>
      <c r="L116" s="82" t="b">
        <v>0</v>
      </c>
      <c r="M116" s="83"/>
      <c r="N116" s="84"/>
      <c r="O116" s="89"/>
      <c r="P116" s="66" t="s">
        <v>112</v>
      </c>
      <c r="Q116" s="22"/>
      <c r="R116" s="22"/>
      <c r="S116" s="22"/>
      <c r="T116" s="74"/>
      <c r="U116" s="6"/>
      <c r="V116" s="74"/>
      <c r="AA116" s="15" t="s">
        <v>362</v>
      </c>
    </row>
    <row r="117" ht="22.5" customHeight="1">
      <c r="A117" s="6"/>
      <c r="C117" s="6"/>
      <c r="D117" s="22"/>
      <c r="E117" s="20"/>
      <c r="F117" s="21"/>
      <c r="G117" s="21"/>
      <c r="H117" s="21"/>
      <c r="I117" s="35" t="b">
        <v>0</v>
      </c>
      <c r="J117" s="35" t="b">
        <v>0</v>
      </c>
      <c r="K117" s="35" t="b">
        <v>0</v>
      </c>
      <c r="L117" s="82" t="b">
        <v>0</v>
      </c>
      <c r="M117" s="83"/>
      <c r="N117" s="84"/>
      <c r="O117" s="89"/>
      <c r="P117" s="66" t="s">
        <v>112</v>
      </c>
      <c r="Q117" s="22"/>
      <c r="R117" s="22"/>
      <c r="S117" s="22"/>
      <c r="T117" s="74"/>
      <c r="U117" s="6"/>
      <c r="V117" s="74"/>
      <c r="AA117" s="15" t="s">
        <v>412</v>
      </c>
    </row>
    <row r="118" ht="22.5" customHeight="1">
      <c r="A118" s="6"/>
      <c r="C118" s="6"/>
      <c r="D118" s="22"/>
      <c r="E118" s="20"/>
      <c r="F118" s="21"/>
      <c r="G118" s="21"/>
      <c r="H118" s="21"/>
      <c r="I118" s="35" t="b">
        <v>0</v>
      </c>
      <c r="J118" s="35" t="b">
        <v>0</v>
      </c>
      <c r="K118" s="35" t="b">
        <v>0</v>
      </c>
      <c r="L118" s="82" t="b">
        <v>0</v>
      </c>
      <c r="M118" s="83"/>
      <c r="N118" s="84"/>
      <c r="O118" s="89"/>
      <c r="P118" s="66" t="s">
        <v>112</v>
      </c>
      <c r="Q118" s="22"/>
      <c r="R118" s="22"/>
      <c r="S118" s="22"/>
      <c r="T118" s="74"/>
      <c r="U118" s="6"/>
      <c r="V118" s="74"/>
      <c r="AA118" s="15" t="s">
        <v>414</v>
      </c>
    </row>
    <row r="119" ht="22.5" customHeight="1">
      <c r="A119" s="6"/>
      <c r="C119" s="6"/>
      <c r="D119" s="22"/>
      <c r="E119" s="20"/>
      <c r="F119" s="21"/>
      <c r="G119" s="21"/>
      <c r="H119" s="21"/>
      <c r="I119" s="35" t="b">
        <v>0</v>
      </c>
      <c r="J119" s="35" t="b">
        <v>0</v>
      </c>
      <c r="K119" s="35" t="b">
        <v>0</v>
      </c>
      <c r="L119" s="82" t="b">
        <v>0</v>
      </c>
      <c r="M119" s="83"/>
      <c r="N119" s="84"/>
      <c r="O119" s="89"/>
      <c r="P119" s="66" t="s">
        <v>112</v>
      </c>
      <c r="Q119" s="22"/>
      <c r="R119" s="22"/>
      <c r="S119" s="22"/>
      <c r="T119" s="74"/>
      <c r="U119" s="6"/>
      <c r="V119" s="74"/>
      <c r="AA119" s="15" t="s">
        <v>416</v>
      </c>
    </row>
    <row r="120" ht="22.5" customHeight="1">
      <c r="A120" s="6"/>
      <c r="C120" s="6"/>
      <c r="D120" s="22"/>
      <c r="E120" s="20"/>
      <c r="F120" s="21"/>
      <c r="G120" s="21"/>
      <c r="H120" s="21"/>
      <c r="I120" s="35" t="b">
        <v>0</v>
      </c>
      <c r="J120" s="35" t="b">
        <v>0</v>
      </c>
      <c r="K120" s="35" t="b">
        <v>0</v>
      </c>
      <c r="L120" s="82" t="b">
        <v>0</v>
      </c>
      <c r="M120" s="83"/>
      <c r="N120" s="84"/>
      <c r="O120" s="89"/>
      <c r="P120" s="66" t="s">
        <v>112</v>
      </c>
      <c r="Q120" s="22"/>
      <c r="R120" s="22"/>
      <c r="S120" s="22"/>
      <c r="T120" s="74"/>
      <c r="U120" s="6"/>
      <c r="V120" s="74"/>
      <c r="AA120" s="15" t="s">
        <v>418</v>
      </c>
    </row>
    <row r="121" ht="22.5" customHeight="1">
      <c r="A121" s="6"/>
      <c r="C121" s="6"/>
      <c r="D121" s="22"/>
      <c r="E121" s="20"/>
      <c r="F121" s="21"/>
      <c r="G121" s="21"/>
      <c r="H121" s="21"/>
      <c r="I121" s="35" t="b">
        <v>0</v>
      </c>
      <c r="J121" s="35" t="b">
        <v>0</v>
      </c>
      <c r="K121" s="35" t="b">
        <v>0</v>
      </c>
      <c r="L121" s="82" t="b">
        <v>0</v>
      </c>
      <c r="M121" s="83"/>
      <c r="N121" s="84"/>
      <c r="O121" s="89"/>
      <c r="P121" s="66" t="s">
        <v>112</v>
      </c>
      <c r="Q121" s="22"/>
      <c r="R121" s="22"/>
      <c r="S121" s="22"/>
      <c r="T121" s="74"/>
      <c r="U121" s="6"/>
      <c r="V121" s="74"/>
      <c r="AA121" s="15" t="s">
        <v>420</v>
      </c>
    </row>
    <row r="122" ht="22.5" customHeight="1">
      <c r="A122" s="6"/>
      <c r="C122" s="6"/>
      <c r="D122" s="22"/>
      <c r="E122" s="20"/>
      <c r="F122" s="21"/>
      <c r="G122" s="21"/>
      <c r="H122" s="21"/>
      <c r="I122" s="35" t="b">
        <v>0</v>
      </c>
      <c r="J122" s="35" t="b">
        <v>0</v>
      </c>
      <c r="K122" s="35" t="b">
        <v>0</v>
      </c>
      <c r="L122" s="82" t="b">
        <v>0</v>
      </c>
      <c r="M122" s="83"/>
      <c r="N122" s="84"/>
      <c r="O122" s="89"/>
      <c r="P122" s="66" t="s">
        <v>112</v>
      </c>
      <c r="Q122" s="22"/>
      <c r="R122" s="22"/>
      <c r="S122" s="22"/>
      <c r="T122" s="74"/>
      <c r="U122" s="6"/>
      <c r="V122" s="74"/>
      <c r="AA122" s="15" t="s">
        <v>423</v>
      </c>
    </row>
    <row r="123" ht="22.5" customHeight="1">
      <c r="A123" s="6"/>
      <c r="C123" s="6"/>
      <c r="D123" s="22"/>
      <c r="E123" s="20"/>
      <c r="F123" s="21"/>
      <c r="G123" s="21"/>
      <c r="H123" s="21"/>
      <c r="I123" s="35" t="b">
        <v>0</v>
      </c>
      <c r="J123" s="35" t="b">
        <v>0</v>
      </c>
      <c r="K123" s="35" t="b">
        <v>0</v>
      </c>
      <c r="L123" s="82" t="b">
        <v>0</v>
      </c>
      <c r="M123" s="83"/>
      <c r="N123" s="84"/>
      <c r="O123" s="89"/>
      <c r="P123" s="66" t="s">
        <v>112</v>
      </c>
      <c r="Q123" s="22"/>
      <c r="R123" s="22"/>
      <c r="S123" s="22"/>
      <c r="T123" s="74"/>
      <c r="U123" s="6"/>
      <c r="V123" s="74"/>
    </row>
    <row r="124" ht="22.5" customHeight="1">
      <c r="A124" s="6"/>
      <c r="C124" s="6"/>
      <c r="D124" s="22"/>
      <c r="E124" s="20"/>
      <c r="F124" s="21"/>
      <c r="G124" s="21"/>
      <c r="H124" s="21"/>
      <c r="I124" s="35" t="b">
        <v>0</v>
      </c>
      <c r="J124" s="35" t="b">
        <v>0</v>
      </c>
      <c r="K124" s="35" t="b">
        <v>0</v>
      </c>
      <c r="L124" s="82" t="b">
        <v>0</v>
      </c>
      <c r="M124" s="83"/>
      <c r="N124" s="84"/>
      <c r="O124" s="89"/>
      <c r="P124" s="66" t="s">
        <v>112</v>
      </c>
      <c r="Q124" s="22"/>
      <c r="R124" s="22"/>
      <c r="S124" s="22"/>
      <c r="T124" s="74"/>
      <c r="U124" s="6"/>
      <c r="V124" s="74"/>
    </row>
    <row r="125" ht="22.5" customHeight="1">
      <c r="A125" s="6"/>
      <c r="C125" s="6"/>
      <c r="D125" s="22"/>
      <c r="E125" s="20"/>
      <c r="F125" s="21"/>
      <c r="G125" s="21"/>
      <c r="H125" s="21"/>
      <c r="I125" s="35" t="b">
        <v>0</v>
      </c>
      <c r="J125" s="35" t="b">
        <v>0</v>
      </c>
      <c r="K125" s="35" t="b">
        <v>0</v>
      </c>
      <c r="L125" s="82" t="b">
        <v>0</v>
      </c>
      <c r="M125" s="83"/>
      <c r="N125" s="84"/>
      <c r="O125" s="89"/>
      <c r="P125" s="66" t="s">
        <v>112</v>
      </c>
      <c r="Q125" s="22"/>
      <c r="R125" s="22"/>
      <c r="S125" s="22"/>
      <c r="T125" s="74"/>
      <c r="U125" s="6"/>
      <c r="V125" s="74"/>
    </row>
    <row r="126" ht="22.5" customHeight="1">
      <c r="A126" s="6"/>
      <c r="C126" s="6"/>
      <c r="D126" s="22"/>
      <c r="E126" s="20"/>
      <c r="F126" s="21"/>
      <c r="G126" s="21"/>
      <c r="H126" s="21"/>
      <c r="I126" s="35" t="b">
        <v>0</v>
      </c>
      <c r="J126" s="35" t="b">
        <v>0</v>
      </c>
      <c r="K126" s="35" t="b">
        <v>0</v>
      </c>
      <c r="L126" s="82" t="b">
        <v>0</v>
      </c>
      <c r="M126" s="83"/>
      <c r="N126" s="84"/>
      <c r="O126" s="89"/>
      <c r="P126" s="66" t="s">
        <v>112</v>
      </c>
      <c r="Q126" s="22"/>
      <c r="R126" s="22"/>
      <c r="S126" s="22"/>
      <c r="T126" s="74"/>
      <c r="U126" s="6"/>
      <c r="V126" s="74"/>
    </row>
    <row r="127" ht="22.5" customHeight="1">
      <c r="A127" s="6"/>
      <c r="C127" s="6"/>
      <c r="D127" s="22"/>
      <c r="E127" s="20"/>
      <c r="F127" s="21"/>
      <c r="G127" s="21"/>
      <c r="H127" s="21"/>
      <c r="I127" s="35" t="b">
        <v>0</v>
      </c>
      <c r="J127" s="35" t="b">
        <v>0</v>
      </c>
      <c r="K127" s="35" t="b">
        <v>0</v>
      </c>
      <c r="L127" s="82" t="b">
        <v>0</v>
      </c>
      <c r="M127" s="83"/>
      <c r="N127" s="84"/>
      <c r="O127" s="89"/>
      <c r="P127" s="66" t="s">
        <v>112</v>
      </c>
      <c r="Q127" s="22"/>
      <c r="R127" s="22"/>
      <c r="S127" s="22"/>
      <c r="T127" s="74"/>
      <c r="U127" s="6"/>
      <c r="V127" s="74"/>
    </row>
    <row r="128" ht="22.5" customHeight="1">
      <c r="A128" s="6"/>
      <c r="C128" s="6"/>
      <c r="D128" s="22"/>
      <c r="E128" s="20"/>
      <c r="F128" s="21"/>
      <c r="G128" s="21"/>
      <c r="H128" s="21"/>
      <c r="I128" s="35" t="b">
        <v>0</v>
      </c>
      <c r="J128" s="35" t="b">
        <v>0</v>
      </c>
      <c r="K128" s="35" t="b">
        <v>0</v>
      </c>
      <c r="L128" s="82" t="b">
        <v>0</v>
      </c>
      <c r="M128" s="83"/>
      <c r="N128" s="84"/>
      <c r="O128" s="89"/>
      <c r="P128" s="66" t="s">
        <v>112</v>
      </c>
      <c r="Q128" s="22"/>
      <c r="R128" s="22"/>
      <c r="S128" s="22"/>
      <c r="T128" s="74"/>
      <c r="U128" s="6"/>
      <c r="V128" s="74"/>
    </row>
    <row r="129" ht="22.5" customHeight="1">
      <c r="A129" s="6"/>
      <c r="C129" s="6"/>
      <c r="D129" s="22"/>
      <c r="E129" s="20"/>
      <c r="F129" s="21"/>
      <c r="G129" s="21"/>
      <c r="H129" s="21"/>
      <c r="I129" s="35" t="b">
        <v>0</v>
      </c>
      <c r="J129" s="35" t="b">
        <v>0</v>
      </c>
      <c r="K129" s="35" t="b">
        <v>0</v>
      </c>
      <c r="L129" s="82" t="b">
        <v>0</v>
      </c>
      <c r="M129" s="83"/>
      <c r="N129" s="84"/>
      <c r="O129" s="89"/>
      <c r="P129" s="66" t="s">
        <v>112</v>
      </c>
      <c r="Q129" s="22"/>
      <c r="R129" s="22"/>
      <c r="S129" s="22"/>
      <c r="T129" s="74"/>
      <c r="U129" s="6"/>
      <c r="V129" s="74"/>
    </row>
    <row r="130" ht="22.5" customHeight="1">
      <c r="A130" s="6"/>
      <c r="C130" s="6"/>
      <c r="D130" s="22"/>
      <c r="E130" s="20"/>
      <c r="F130" s="21"/>
      <c r="G130" s="21"/>
      <c r="H130" s="21"/>
      <c r="I130" s="35" t="b">
        <v>0</v>
      </c>
      <c r="J130" s="35" t="b">
        <v>0</v>
      </c>
      <c r="K130" s="35" t="b">
        <v>0</v>
      </c>
      <c r="L130" s="82" t="b">
        <v>0</v>
      </c>
      <c r="M130" s="83"/>
      <c r="N130" s="84"/>
      <c r="O130" s="89"/>
      <c r="P130" s="66" t="s">
        <v>112</v>
      </c>
      <c r="Q130" s="22"/>
      <c r="R130" s="22"/>
      <c r="S130" s="22"/>
      <c r="T130" s="74"/>
      <c r="U130" s="6"/>
      <c r="V130" s="74"/>
    </row>
    <row r="131" ht="22.5" customHeight="1">
      <c r="A131" s="6"/>
      <c r="C131" s="6"/>
      <c r="D131" s="22"/>
      <c r="E131" s="20"/>
      <c r="F131" s="21"/>
      <c r="G131" s="21"/>
      <c r="H131" s="21"/>
      <c r="I131" s="35" t="b">
        <v>0</v>
      </c>
      <c r="J131" s="35" t="b">
        <v>0</v>
      </c>
      <c r="K131" s="35" t="b">
        <v>0</v>
      </c>
      <c r="L131" s="82" t="b">
        <v>0</v>
      </c>
      <c r="M131" s="83"/>
      <c r="N131" s="84"/>
      <c r="O131" s="89"/>
      <c r="P131" s="66" t="s">
        <v>112</v>
      </c>
      <c r="Q131" s="22"/>
      <c r="R131" s="22"/>
      <c r="S131" s="22"/>
      <c r="T131" s="74"/>
      <c r="U131" s="6"/>
      <c r="V131" s="74"/>
    </row>
    <row r="132" ht="22.5" customHeight="1">
      <c r="A132" s="6"/>
      <c r="C132" s="6"/>
      <c r="D132" s="22"/>
      <c r="E132" s="20"/>
      <c r="F132" s="21"/>
      <c r="G132" s="21"/>
      <c r="H132" s="21"/>
      <c r="I132" s="35" t="b">
        <v>0</v>
      </c>
      <c r="J132" s="35" t="b">
        <v>0</v>
      </c>
      <c r="K132" s="35" t="b">
        <v>0</v>
      </c>
      <c r="L132" s="82" t="b">
        <v>0</v>
      </c>
      <c r="M132" s="83"/>
      <c r="N132" s="84"/>
      <c r="O132" s="89"/>
      <c r="P132" s="66" t="s">
        <v>112</v>
      </c>
      <c r="Q132" s="22"/>
      <c r="R132" s="22"/>
      <c r="S132" s="22"/>
      <c r="T132" s="74"/>
      <c r="U132" s="6"/>
      <c r="V132" s="74"/>
    </row>
    <row r="133" ht="22.5" customHeight="1">
      <c r="A133" s="6"/>
      <c r="C133" s="6"/>
      <c r="D133" s="22"/>
      <c r="E133" s="20"/>
      <c r="F133" s="21"/>
      <c r="G133" s="21"/>
      <c r="H133" s="21"/>
      <c r="I133" s="35" t="b">
        <v>0</v>
      </c>
      <c r="J133" s="35" t="b">
        <v>0</v>
      </c>
      <c r="K133" s="35" t="b">
        <v>0</v>
      </c>
      <c r="L133" s="82" t="b">
        <v>0</v>
      </c>
      <c r="M133" s="83"/>
      <c r="N133" s="84"/>
      <c r="O133" s="89"/>
      <c r="P133" s="66" t="s">
        <v>112</v>
      </c>
      <c r="Q133" s="22"/>
      <c r="R133" s="22"/>
      <c r="S133" s="22"/>
      <c r="T133" s="74"/>
      <c r="U133" s="6"/>
      <c r="V133" s="74"/>
    </row>
    <row r="134" ht="22.5" customHeight="1">
      <c r="A134" s="6"/>
      <c r="C134" s="6"/>
      <c r="D134" s="22"/>
      <c r="E134" s="20"/>
      <c r="F134" s="21"/>
      <c r="G134" s="21"/>
      <c r="H134" s="21"/>
      <c r="I134" s="35" t="b">
        <v>0</v>
      </c>
      <c r="J134" s="35" t="b">
        <v>0</v>
      </c>
      <c r="K134" s="35" t="b">
        <v>0</v>
      </c>
      <c r="L134" s="82" t="b">
        <v>0</v>
      </c>
      <c r="M134" s="83"/>
      <c r="N134" s="84"/>
      <c r="O134" s="89"/>
      <c r="P134" s="66" t="s">
        <v>112</v>
      </c>
      <c r="Q134" s="22"/>
      <c r="R134" s="22"/>
      <c r="S134" s="22"/>
      <c r="T134" s="74"/>
      <c r="U134" s="6"/>
      <c r="V134" s="74"/>
    </row>
    <row r="135" ht="22.5" customHeight="1">
      <c r="A135" s="6"/>
      <c r="C135" s="6"/>
      <c r="D135" s="22"/>
      <c r="E135" s="20"/>
      <c r="F135" s="21"/>
      <c r="G135" s="21"/>
      <c r="H135" s="21"/>
      <c r="I135" s="35" t="b">
        <v>0</v>
      </c>
      <c r="J135" s="35" t="b">
        <v>0</v>
      </c>
      <c r="K135" s="35" t="b">
        <v>0</v>
      </c>
      <c r="L135" s="82" t="b">
        <v>0</v>
      </c>
      <c r="M135" s="83"/>
      <c r="N135" s="84"/>
      <c r="O135" s="89"/>
      <c r="P135" s="66" t="s">
        <v>112</v>
      </c>
      <c r="Q135" s="22"/>
      <c r="R135" s="22"/>
      <c r="S135" s="22"/>
      <c r="T135" s="74"/>
      <c r="U135" s="6"/>
      <c r="V135" s="74"/>
    </row>
    <row r="136" ht="22.5" customHeight="1">
      <c r="A136" s="6"/>
      <c r="C136" s="6"/>
      <c r="D136" s="22"/>
      <c r="E136" s="20"/>
      <c r="F136" s="21"/>
      <c r="G136" s="21"/>
      <c r="H136" s="21"/>
      <c r="I136" s="35" t="b">
        <v>0</v>
      </c>
      <c r="J136" s="35" t="b">
        <v>0</v>
      </c>
      <c r="K136" s="35" t="b">
        <v>0</v>
      </c>
      <c r="L136" s="82" t="b">
        <v>0</v>
      </c>
      <c r="M136" s="83"/>
      <c r="N136" s="84"/>
      <c r="O136" s="89"/>
      <c r="P136" s="66" t="s">
        <v>112</v>
      </c>
      <c r="Q136" s="22"/>
      <c r="R136" s="22"/>
      <c r="S136" s="22"/>
      <c r="T136" s="74"/>
      <c r="U136" s="6"/>
      <c r="V136" s="74"/>
    </row>
    <row r="137" ht="22.5" customHeight="1">
      <c r="A137" s="6"/>
      <c r="C137" s="6"/>
      <c r="D137" s="22"/>
      <c r="E137" s="20"/>
      <c r="F137" s="21"/>
      <c r="G137" s="21"/>
      <c r="H137" s="21"/>
      <c r="I137" s="35" t="b">
        <v>0</v>
      </c>
      <c r="J137" s="35" t="b">
        <v>0</v>
      </c>
      <c r="K137" s="35" t="b">
        <v>0</v>
      </c>
      <c r="L137" s="82" t="b">
        <v>0</v>
      </c>
      <c r="M137" s="83"/>
      <c r="N137" s="84"/>
      <c r="O137" s="89"/>
      <c r="P137" s="66" t="s">
        <v>112</v>
      </c>
      <c r="Q137" s="22"/>
      <c r="R137" s="22"/>
      <c r="S137" s="22"/>
      <c r="T137" s="74"/>
      <c r="U137" s="6"/>
      <c r="V137" s="74"/>
    </row>
    <row r="138" ht="22.5" customHeight="1">
      <c r="A138" s="6"/>
      <c r="C138" s="6"/>
      <c r="D138" s="22"/>
      <c r="E138" s="20"/>
      <c r="F138" s="21"/>
      <c r="G138" s="21"/>
      <c r="H138" s="21"/>
      <c r="I138" s="35" t="b">
        <v>0</v>
      </c>
      <c r="J138" s="35" t="b">
        <v>0</v>
      </c>
      <c r="K138" s="35" t="b">
        <v>0</v>
      </c>
      <c r="L138" s="82" t="b">
        <v>0</v>
      </c>
      <c r="M138" s="83"/>
      <c r="N138" s="84"/>
      <c r="O138" s="89"/>
      <c r="P138" s="66" t="s">
        <v>112</v>
      </c>
      <c r="Q138" s="22"/>
      <c r="R138" s="22"/>
      <c r="S138" s="22"/>
      <c r="T138" s="74"/>
      <c r="U138" s="6"/>
      <c r="V138" s="74"/>
    </row>
    <row r="139" ht="22.5" customHeight="1">
      <c r="A139" s="6"/>
      <c r="C139" s="6"/>
      <c r="D139" s="22"/>
      <c r="E139" s="20"/>
      <c r="F139" s="21"/>
      <c r="G139" s="21"/>
      <c r="H139" s="21"/>
      <c r="I139" s="35" t="b">
        <v>0</v>
      </c>
      <c r="J139" s="35" t="b">
        <v>0</v>
      </c>
      <c r="K139" s="35" t="b">
        <v>0</v>
      </c>
      <c r="L139" s="82" t="b">
        <v>0</v>
      </c>
      <c r="M139" s="83"/>
      <c r="N139" s="84"/>
      <c r="O139" s="89"/>
      <c r="P139" s="66" t="s">
        <v>112</v>
      </c>
      <c r="Q139" s="22"/>
      <c r="R139" s="22"/>
      <c r="S139" s="22"/>
      <c r="T139" s="74"/>
      <c r="U139" s="6"/>
      <c r="V139" s="74"/>
    </row>
    <row r="140" ht="22.5" customHeight="1">
      <c r="A140" s="6"/>
      <c r="C140" s="6"/>
      <c r="D140" s="22"/>
      <c r="E140" s="20"/>
      <c r="F140" s="21"/>
      <c r="G140" s="21"/>
      <c r="H140" s="21"/>
      <c r="I140" s="35" t="b">
        <v>0</v>
      </c>
      <c r="J140" s="35" t="b">
        <v>0</v>
      </c>
      <c r="K140" s="35" t="b">
        <v>0</v>
      </c>
      <c r="L140" s="82" t="b">
        <v>0</v>
      </c>
      <c r="M140" s="83"/>
      <c r="N140" s="84"/>
      <c r="O140" s="89"/>
      <c r="P140" s="66" t="s">
        <v>112</v>
      </c>
      <c r="Q140" s="22"/>
      <c r="R140" s="22"/>
      <c r="S140" s="22"/>
      <c r="T140" s="74"/>
      <c r="U140" s="6"/>
      <c r="V140" s="74"/>
    </row>
    <row r="141" ht="22.5" customHeight="1">
      <c r="A141" s="6"/>
      <c r="C141" s="6"/>
      <c r="D141" s="22"/>
      <c r="E141" s="20"/>
      <c r="F141" s="21"/>
      <c r="G141" s="21"/>
      <c r="H141" s="21"/>
      <c r="I141" s="35" t="b">
        <v>0</v>
      </c>
      <c r="J141" s="35" t="b">
        <v>0</v>
      </c>
      <c r="K141" s="35" t="b">
        <v>0</v>
      </c>
      <c r="L141" s="82" t="b">
        <v>0</v>
      </c>
      <c r="M141" s="83"/>
      <c r="N141" s="84"/>
      <c r="O141" s="89"/>
      <c r="P141" s="66" t="s">
        <v>112</v>
      </c>
      <c r="Q141" s="22"/>
      <c r="R141" s="22"/>
      <c r="S141" s="22"/>
      <c r="T141" s="74"/>
      <c r="U141" s="6"/>
      <c r="V141" s="74"/>
    </row>
    <row r="142" ht="22.5" customHeight="1">
      <c r="A142" s="6"/>
      <c r="C142" s="6"/>
      <c r="D142" s="22"/>
      <c r="E142" s="20"/>
      <c r="F142" s="21"/>
      <c r="G142" s="21"/>
      <c r="H142" s="21"/>
      <c r="I142" s="35" t="b">
        <v>0</v>
      </c>
      <c r="J142" s="35" t="b">
        <v>0</v>
      </c>
      <c r="K142" s="35" t="b">
        <v>0</v>
      </c>
      <c r="L142" s="82" t="b">
        <v>0</v>
      </c>
      <c r="M142" s="83"/>
      <c r="N142" s="84"/>
      <c r="O142" s="89"/>
      <c r="P142" s="66" t="s">
        <v>112</v>
      </c>
      <c r="Q142" s="22"/>
      <c r="R142" s="22"/>
      <c r="S142" s="22"/>
      <c r="T142" s="74"/>
      <c r="U142" s="6"/>
      <c r="V142" s="74"/>
    </row>
    <row r="143" ht="22.5" customHeight="1">
      <c r="A143" s="6"/>
      <c r="C143" s="6"/>
      <c r="D143" s="22"/>
      <c r="E143" s="20"/>
      <c r="F143" s="21"/>
      <c r="G143" s="21"/>
      <c r="H143" s="21"/>
      <c r="I143" s="35" t="b">
        <v>0</v>
      </c>
      <c r="J143" s="35" t="b">
        <v>0</v>
      </c>
      <c r="K143" s="35" t="b">
        <v>0</v>
      </c>
      <c r="L143" s="82" t="b">
        <v>0</v>
      </c>
      <c r="M143" s="83"/>
      <c r="N143" s="84"/>
      <c r="O143" s="89"/>
      <c r="P143" s="66" t="s">
        <v>112</v>
      </c>
      <c r="Q143" s="22"/>
      <c r="R143" s="22"/>
      <c r="S143" s="22"/>
      <c r="T143" s="74"/>
      <c r="U143" s="6"/>
      <c r="V143" s="74"/>
    </row>
    <row r="144" ht="22.5" customHeight="1">
      <c r="A144" s="6"/>
      <c r="C144" s="6"/>
      <c r="D144" s="22"/>
      <c r="E144" s="20"/>
      <c r="F144" s="21"/>
      <c r="G144" s="21"/>
      <c r="H144" s="21"/>
      <c r="I144" s="35" t="b">
        <v>0</v>
      </c>
      <c r="J144" s="35" t="b">
        <v>0</v>
      </c>
      <c r="K144" s="35" t="b">
        <v>0</v>
      </c>
      <c r="L144" s="82" t="b">
        <v>0</v>
      </c>
      <c r="M144" s="83"/>
      <c r="N144" s="84"/>
      <c r="O144" s="89"/>
      <c r="P144" s="66" t="s">
        <v>112</v>
      </c>
      <c r="Q144" s="22"/>
      <c r="R144" s="22"/>
      <c r="S144" s="22"/>
      <c r="T144" s="74"/>
      <c r="U144" s="6"/>
      <c r="V144" s="74"/>
    </row>
    <row r="145" ht="22.5" customHeight="1">
      <c r="A145" s="6"/>
      <c r="C145" s="6"/>
      <c r="D145" s="22"/>
      <c r="E145" s="20"/>
      <c r="F145" s="21"/>
      <c r="G145" s="21"/>
      <c r="H145" s="21"/>
      <c r="I145" s="35" t="b">
        <v>0</v>
      </c>
      <c r="J145" s="35" t="b">
        <v>0</v>
      </c>
      <c r="K145" s="35" t="b">
        <v>0</v>
      </c>
      <c r="L145" s="82" t="b">
        <v>0</v>
      </c>
      <c r="M145" s="83"/>
      <c r="N145" s="84"/>
      <c r="O145" s="89"/>
      <c r="P145" s="66" t="s">
        <v>112</v>
      </c>
      <c r="Q145" s="22"/>
      <c r="R145" s="22"/>
      <c r="S145" s="22"/>
      <c r="T145" s="74"/>
      <c r="U145" s="6"/>
      <c r="V145" s="74"/>
    </row>
    <row r="146" ht="22.5" customHeight="1">
      <c r="A146" s="6"/>
      <c r="C146" s="6"/>
      <c r="D146" s="22"/>
      <c r="E146" s="20"/>
      <c r="F146" s="21"/>
      <c r="G146" s="21"/>
      <c r="H146" s="21"/>
      <c r="I146" s="35" t="b">
        <v>0</v>
      </c>
      <c r="J146" s="35" t="b">
        <v>0</v>
      </c>
      <c r="K146" s="35" t="b">
        <v>0</v>
      </c>
      <c r="L146" s="82" t="b">
        <v>0</v>
      </c>
      <c r="M146" s="83"/>
      <c r="N146" s="84"/>
      <c r="O146" s="89"/>
      <c r="P146" s="66" t="s">
        <v>112</v>
      </c>
      <c r="Q146" s="22"/>
      <c r="R146" s="22"/>
      <c r="S146" s="22"/>
      <c r="T146" s="74"/>
      <c r="U146" s="6"/>
      <c r="V146" s="74"/>
    </row>
    <row r="147" ht="22.5" customHeight="1">
      <c r="A147" s="6"/>
      <c r="C147" s="6"/>
      <c r="D147" s="22"/>
      <c r="E147" s="20"/>
      <c r="F147" s="21"/>
      <c r="G147" s="21"/>
      <c r="H147" s="21"/>
      <c r="I147" s="35" t="b">
        <v>0</v>
      </c>
      <c r="J147" s="35" t="b">
        <v>0</v>
      </c>
      <c r="K147" s="35" t="b">
        <v>0</v>
      </c>
      <c r="L147" s="82" t="b">
        <v>0</v>
      </c>
      <c r="M147" s="83"/>
      <c r="N147" s="84"/>
      <c r="O147" s="89"/>
      <c r="P147" s="66" t="s">
        <v>112</v>
      </c>
      <c r="Q147" s="22"/>
      <c r="R147" s="22"/>
      <c r="S147" s="22"/>
      <c r="T147" s="74"/>
      <c r="U147" s="6"/>
      <c r="V147" s="74"/>
    </row>
    <row r="148" ht="22.5" customHeight="1">
      <c r="A148" s="6"/>
      <c r="C148" s="6"/>
      <c r="D148" s="22"/>
      <c r="E148" s="20"/>
      <c r="F148" s="21"/>
      <c r="G148" s="21"/>
      <c r="H148" s="21"/>
      <c r="I148" s="35" t="b">
        <v>0</v>
      </c>
      <c r="J148" s="35" t="b">
        <v>0</v>
      </c>
      <c r="K148" s="35" t="b">
        <v>0</v>
      </c>
      <c r="L148" s="82" t="b">
        <v>0</v>
      </c>
      <c r="M148" s="83"/>
      <c r="N148" s="84"/>
      <c r="O148" s="89"/>
      <c r="P148" s="66" t="s">
        <v>112</v>
      </c>
      <c r="Q148" s="22"/>
      <c r="R148" s="22"/>
      <c r="S148" s="22"/>
      <c r="T148" s="74"/>
      <c r="U148" s="6"/>
      <c r="V148" s="74"/>
    </row>
    <row r="149" ht="22.5" customHeight="1">
      <c r="A149" s="6"/>
      <c r="C149" s="6"/>
      <c r="D149" s="22"/>
      <c r="E149" s="20"/>
      <c r="F149" s="21"/>
      <c r="G149" s="21"/>
      <c r="H149" s="21"/>
      <c r="I149" s="35" t="b">
        <v>0</v>
      </c>
      <c r="J149" s="35" t="b">
        <v>0</v>
      </c>
      <c r="K149" s="35" t="b">
        <v>0</v>
      </c>
      <c r="L149" s="82" t="b">
        <v>0</v>
      </c>
      <c r="M149" s="83"/>
      <c r="N149" s="84"/>
      <c r="O149" s="89"/>
      <c r="P149" s="66" t="s">
        <v>112</v>
      </c>
      <c r="Q149" s="22"/>
      <c r="R149" s="22"/>
      <c r="S149" s="22"/>
      <c r="T149" s="74"/>
      <c r="U149" s="6"/>
      <c r="V149" s="74"/>
    </row>
    <row r="150" ht="22.5" customHeight="1">
      <c r="A150" s="6"/>
      <c r="C150" s="6"/>
      <c r="D150" s="22"/>
      <c r="E150" s="20"/>
      <c r="F150" s="21"/>
      <c r="G150" s="21"/>
      <c r="H150" s="21"/>
      <c r="I150" s="35" t="b">
        <v>0</v>
      </c>
      <c r="J150" s="35" t="b">
        <v>0</v>
      </c>
      <c r="K150" s="35" t="b">
        <v>0</v>
      </c>
      <c r="L150" s="82" t="b">
        <v>0</v>
      </c>
      <c r="M150" s="83"/>
      <c r="N150" s="84"/>
      <c r="O150" s="89"/>
      <c r="P150" s="66" t="s">
        <v>112</v>
      </c>
      <c r="Q150" s="22"/>
      <c r="R150" s="22"/>
      <c r="S150" s="22"/>
      <c r="T150" s="74"/>
      <c r="U150" s="6"/>
      <c r="V150" s="74"/>
    </row>
    <row r="151" ht="22.5" customHeight="1">
      <c r="A151" s="6"/>
      <c r="C151" s="6"/>
      <c r="D151" s="22"/>
      <c r="E151" s="20"/>
      <c r="F151" s="21"/>
      <c r="G151" s="21"/>
      <c r="H151" s="21"/>
      <c r="I151" s="35" t="b">
        <v>0</v>
      </c>
      <c r="J151" s="35" t="b">
        <v>0</v>
      </c>
      <c r="K151" s="35" t="b">
        <v>0</v>
      </c>
      <c r="L151" s="82" t="b">
        <v>0</v>
      </c>
      <c r="M151" s="83"/>
      <c r="N151" s="84"/>
      <c r="O151" s="89"/>
      <c r="P151" s="66" t="s">
        <v>112</v>
      </c>
      <c r="Q151" s="22"/>
      <c r="R151" s="22"/>
      <c r="S151" s="22"/>
      <c r="T151" s="74"/>
      <c r="U151" s="6"/>
      <c r="V151" s="74"/>
    </row>
    <row r="152" ht="22.5" customHeight="1">
      <c r="A152" s="6"/>
      <c r="C152" s="6"/>
      <c r="D152" s="22"/>
      <c r="E152" s="20"/>
      <c r="F152" s="21"/>
      <c r="G152" s="21"/>
      <c r="H152" s="21"/>
      <c r="I152" s="35" t="b">
        <v>0</v>
      </c>
      <c r="J152" s="35" t="b">
        <v>0</v>
      </c>
      <c r="K152" s="35" t="b">
        <v>0</v>
      </c>
      <c r="L152" s="82" t="b">
        <v>0</v>
      </c>
      <c r="M152" s="83"/>
      <c r="N152" s="84"/>
      <c r="O152" s="89"/>
      <c r="P152" s="66" t="s">
        <v>112</v>
      </c>
      <c r="Q152" s="22"/>
      <c r="R152" s="22"/>
      <c r="S152" s="22"/>
      <c r="T152" s="74"/>
      <c r="U152" s="6"/>
      <c r="V152" s="74"/>
    </row>
    <row r="153" ht="22.5" customHeight="1">
      <c r="A153" s="6"/>
      <c r="C153" s="6"/>
      <c r="D153" s="22"/>
      <c r="E153" s="20"/>
      <c r="F153" s="21"/>
      <c r="G153" s="21"/>
      <c r="H153" s="21"/>
      <c r="I153" s="35" t="b">
        <v>0</v>
      </c>
      <c r="J153" s="35" t="b">
        <v>0</v>
      </c>
      <c r="K153" s="35" t="b">
        <v>0</v>
      </c>
      <c r="L153" s="82" t="b">
        <v>0</v>
      </c>
      <c r="M153" s="83"/>
      <c r="N153" s="84"/>
      <c r="O153" s="89"/>
      <c r="P153" s="66" t="s">
        <v>112</v>
      </c>
      <c r="Q153" s="22"/>
      <c r="R153" s="22"/>
      <c r="S153" s="22"/>
      <c r="T153" s="74"/>
      <c r="U153" s="6"/>
      <c r="V153" s="74"/>
    </row>
    <row r="154" ht="22.5" customHeight="1">
      <c r="A154" s="6"/>
      <c r="C154" s="6"/>
      <c r="D154" s="22"/>
      <c r="E154" s="20"/>
      <c r="F154" s="21"/>
      <c r="G154" s="21"/>
      <c r="H154" s="21"/>
      <c r="I154" s="35" t="b">
        <v>0</v>
      </c>
      <c r="J154" s="35" t="b">
        <v>0</v>
      </c>
      <c r="K154" s="35" t="b">
        <v>0</v>
      </c>
      <c r="L154" s="82" t="b">
        <v>0</v>
      </c>
      <c r="M154" s="83"/>
      <c r="N154" s="84"/>
      <c r="O154" s="89"/>
      <c r="P154" s="66" t="s">
        <v>112</v>
      </c>
      <c r="Q154" s="22"/>
      <c r="R154" s="22"/>
      <c r="S154" s="22"/>
      <c r="T154" s="74"/>
      <c r="U154" s="6"/>
      <c r="V154" s="74"/>
    </row>
    <row r="155" ht="22.5" customHeight="1">
      <c r="A155" s="6"/>
      <c r="C155" s="6"/>
      <c r="D155" s="22"/>
      <c r="E155" s="20"/>
      <c r="F155" s="21"/>
      <c r="G155" s="21"/>
      <c r="H155" s="21"/>
      <c r="I155" s="35" t="b">
        <v>0</v>
      </c>
      <c r="J155" s="35" t="b">
        <v>0</v>
      </c>
      <c r="K155" s="35" t="b">
        <v>0</v>
      </c>
      <c r="L155" s="82" t="b">
        <v>0</v>
      </c>
      <c r="M155" s="83"/>
      <c r="N155" s="84"/>
      <c r="O155" s="89"/>
      <c r="P155" s="66" t="s">
        <v>112</v>
      </c>
      <c r="Q155" s="22"/>
      <c r="R155" s="22"/>
      <c r="S155" s="22"/>
      <c r="T155" s="74"/>
      <c r="U155" s="6"/>
      <c r="V155" s="74"/>
    </row>
    <row r="156" ht="22.5" customHeight="1">
      <c r="A156" s="6"/>
      <c r="C156" s="6"/>
      <c r="D156" s="22"/>
      <c r="E156" s="20"/>
      <c r="F156" s="21"/>
      <c r="G156" s="21"/>
      <c r="H156" s="21"/>
      <c r="I156" s="35" t="b">
        <v>0</v>
      </c>
      <c r="J156" s="35" t="b">
        <v>0</v>
      </c>
      <c r="K156" s="35" t="b">
        <v>0</v>
      </c>
      <c r="L156" s="82" t="b">
        <v>0</v>
      </c>
      <c r="M156" s="83"/>
      <c r="N156" s="84"/>
      <c r="O156" s="89"/>
      <c r="P156" s="66" t="s">
        <v>112</v>
      </c>
      <c r="Q156" s="22"/>
      <c r="R156" s="22"/>
      <c r="S156" s="22"/>
      <c r="T156" s="74"/>
      <c r="U156" s="6"/>
      <c r="V156" s="74"/>
    </row>
    <row r="157" ht="22.5" customHeight="1">
      <c r="A157" s="6"/>
      <c r="C157" s="6"/>
      <c r="D157" s="22"/>
      <c r="E157" s="20"/>
      <c r="F157" s="21"/>
      <c r="G157" s="21"/>
      <c r="H157" s="21"/>
      <c r="I157" s="35" t="b">
        <v>0</v>
      </c>
      <c r="J157" s="35" t="b">
        <v>0</v>
      </c>
      <c r="K157" s="35" t="b">
        <v>0</v>
      </c>
      <c r="L157" s="82" t="b">
        <v>0</v>
      </c>
      <c r="M157" s="83"/>
      <c r="N157" s="84"/>
      <c r="O157" s="89"/>
      <c r="P157" s="66" t="s">
        <v>112</v>
      </c>
      <c r="Q157" s="22"/>
      <c r="R157" s="22"/>
      <c r="S157" s="22"/>
      <c r="T157" s="74"/>
      <c r="U157" s="6"/>
      <c r="V157" s="74"/>
    </row>
    <row r="158" ht="22.5" customHeight="1">
      <c r="A158" s="6"/>
      <c r="C158" s="6"/>
      <c r="D158" s="22"/>
      <c r="E158" s="20"/>
      <c r="F158" s="21"/>
      <c r="G158" s="21"/>
      <c r="H158" s="21"/>
      <c r="I158" s="35" t="b">
        <v>0</v>
      </c>
      <c r="J158" s="35" t="b">
        <v>0</v>
      </c>
      <c r="K158" s="35" t="b">
        <v>0</v>
      </c>
      <c r="L158" s="82" t="b">
        <v>0</v>
      </c>
      <c r="M158" s="83"/>
      <c r="N158" s="84"/>
      <c r="O158" s="89"/>
      <c r="P158" s="66" t="s">
        <v>112</v>
      </c>
      <c r="Q158" s="22"/>
      <c r="R158" s="22"/>
      <c r="S158" s="22"/>
      <c r="T158" s="74"/>
      <c r="U158" s="6"/>
      <c r="V158" s="74"/>
    </row>
    <row r="159" ht="22.5" customHeight="1">
      <c r="A159" s="6"/>
      <c r="C159" s="6"/>
      <c r="D159" s="22"/>
      <c r="E159" s="20"/>
      <c r="F159" s="21"/>
      <c r="G159" s="21"/>
      <c r="H159" s="21"/>
      <c r="I159" s="35" t="b">
        <v>0</v>
      </c>
      <c r="J159" s="35" t="b">
        <v>0</v>
      </c>
      <c r="K159" s="35" t="b">
        <v>0</v>
      </c>
      <c r="L159" s="82" t="b">
        <v>0</v>
      </c>
      <c r="M159" s="83"/>
      <c r="N159" s="84"/>
      <c r="O159" s="89"/>
      <c r="P159" s="66" t="s">
        <v>112</v>
      </c>
      <c r="Q159" s="22"/>
      <c r="R159" s="22"/>
      <c r="S159" s="22"/>
      <c r="T159" s="74"/>
      <c r="U159" s="6"/>
      <c r="V159" s="74"/>
    </row>
    <row r="160" ht="22.5" customHeight="1">
      <c r="A160" s="6"/>
      <c r="C160" s="6"/>
      <c r="D160" s="22"/>
      <c r="E160" s="20"/>
      <c r="F160" s="21"/>
      <c r="G160" s="21"/>
      <c r="H160" s="21"/>
      <c r="I160" s="35" t="b">
        <v>0</v>
      </c>
      <c r="J160" s="35" t="b">
        <v>0</v>
      </c>
      <c r="K160" s="35" t="b">
        <v>0</v>
      </c>
      <c r="L160" s="82" t="b">
        <v>0</v>
      </c>
      <c r="M160" s="83"/>
      <c r="N160" s="84"/>
      <c r="O160" s="89"/>
      <c r="P160" s="66" t="s">
        <v>112</v>
      </c>
      <c r="Q160" s="22"/>
      <c r="R160" s="22"/>
      <c r="S160" s="22"/>
      <c r="T160" s="74"/>
      <c r="U160" s="6"/>
      <c r="V160" s="74"/>
    </row>
    <row r="161" ht="22.5" customHeight="1">
      <c r="A161" s="6"/>
      <c r="C161" s="6"/>
      <c r="D161" s="22"/>
      <c r="E161" s="20"/>
      <c r="F161" s="21"/>
      <c r="G161" s="21"/>
      <c r="H161" s="21"/>
      <c r="I161" s="35" t="b">
        <v>0</v>
      </c>
      <c r="J161" s="35" t="b">
        <v>0</v>
      </c>
      <c r="K161" s="35" t="b">
        <v>0</v>
      </c>
      <c r="L161" s="82" t="b">
        <v>0</v>
      </c>
      <c r="M161" s="83"/>
      <c r="N161" s="84"/>
      <c r="O161" s="89"/>
      <c r="P161" s="66" t="s">
        <v>112</v>
      </c>
      <c r="Q161" s="22"/>
      <c r="R161" s="22"/>
      <c r="S161" s="22"/>
      <c r="T161" s="74"/>
      <c r="U161" s="6"/>
      <c r="V161" s="74"/>
    </row>
    <row r="162" ht="22.5" customHeight="1">
      <c r="A162" s="6"/>
      <c r="C162" s="6"/>
      <c r="D162" s="22"/>
      <c r="E162" s="20"/>
      <c r="F162" s="21"/>
      <c r="G162" s="21"/>
      <c r="H162" s="21"/>
      <c r="I162" s="35" t="b">
        <v>0</v>
      </c>
      <c r="J162" s="35" t="b">
        <v>0</v>
      </c>
      <c r="K162" s="35" t="b">
        <v>0</v>
      </c>
      <c r="L162" s="82" t="b">
        <v>0</v>
      </c>
      <c r="M162" s="83"/>
      <c r="N162" s="84"/>
      <c r="O162" s="89"/>
      <c r="P162" s="66" t="s">
        <v>112</v>
      </c>
      <c r="Q162" s="22"/>
      <c r="R162" s="22"/>
      <c r="S162" s="22"/>
      <c r="T162" s="74"/>
      <c r="U162" s="6"/>
      <c r="V162" s="74"/>
    </row>
    <row r="163" ht="22.5" customHeight="1">
      <c r="A163" s="6"/>
      <c r="C163" s="6"/>
      <c r="D163" s="22"/>
      <c r="E163" s="20"/>
      <c r="F163" s="21"/>
      <c r="G163" s="21"/>
      <c r="H163" s="21"/>
      <c r="I163" s="35" t="b">
        <v>0</v>
      </c>
      <c r="J163" s="35" t="b">
        <v>0</v>
      </c>
      <c r="K163" s="35" t="b">
        <v>0</v>
      </c>
      <c r="L163" s="82" t="b">
        <v>0</v>
      </c>
      <c r="M163" s="83"/>
      <c r="N163" s="84"/>
      <c r="O163" s="89"/>
      <c r="P163" s="66" t="s">
        <v>112</v>
      </c>
      <c r="Q163" s="22"/>
      <c r="R163" s="22"/>
      <c r="S163" s="22"/>
      <c r="T163" s="74"/>
      <c r="U163" s="6"/>
      <c r="V163" s="74"/>
    </row>
    <row r="164" ht="22.5" customHeight="1">
      <c r="A164" s="6"/>
      <c r="C164" s="6"/>
      <c r="D164" s="22"/>
      <c r="E164" s="20"/>
      <c r="F164" s="21"/>
      <c r="G164" s="21"/>
      <c r="H164" s="21"/>
      <c r="I164" s="35" t="b">
        <v>0</v>
      </c>
      <c r="J164" s="35" t="b">
        <v>0</v>
      </c>
      <c r="K164" s="35" t="b">
        <v>0</v>
      </c>
      <c r="L164" s="82" t="b">
        <v>0</v>
      </c>
      <c r="M164" s="83"/>
      <c r="N164" s="84"/>
      <c r="O164" s="89"/>
      <c r="P164" s="66" t="s">
        <v>112</v>
      </c>
      <c r="Q164" s="22"/>
      <c r="R164" s="22"/>
      <c r="S164" s="22"/>
      <c r="T164" s="74"/>
      <c r="U164" s="6"/>
      <c r="V164" s="74"/>
    </row>
    <row r="165" ht="22.5" customHeight="1">
      <c r="A165" s="6"/>
      <c r="C165" s="6"/>
      <c r="D165" s="22"/>
      <c r="E165" s="20"/>
      <c r="F165" s="21"/>
      <c r="G165" s="21"/>
      <c r="H165" s="21"/>
      <c r="I165" s="35" t="b">
        <v>0</v>
      </c>
      <c r="J165" s="35" t="b">
        <v>0</v>
      </c>
      <c r="K165" s="35" t="b">
        <v>0</v>
      </c>
      <c r="L165" s="82" t="b">
        <v>0</v>
      </c>
      <c r="M165" s="83"/>
      <c r="N165" s="84"/>
      <c r="O165" s="89"/>
      <c r="P165" s="66" t="s">
        <v>112</v>
      </c>
      <c r="Q165" s="22"/>
      <c r="R165" s="22"/>
      <c r="S165" s="22"/>
      <c r="T165" s="74"/>
      <c r="U165" s="6"/>
      <c r="V165" s="74"/>
    </row>
    <row r="166" ht="22.5" customHeight="1">
      <c r="A166" s="6"/>
      <c r="C166" s="6"/>
      <c r="D166" s="22"/>
      <c r="E166" s="20"/>
      <c r="F166" s="21"/>
      <c r="G166" s="21"/>
      <c r="H166" s="21"/>
      <c r="I166" s="35" t="b">
        <v>0</v>
      </c>
      <c r="J166" s="35" t="b">
        <v>0</v>
      </c>
      <c r="K166" s="35" t="b">
        <v>0</v>
      </c>
      <c r="L166" s="82" t="b">
        <v>0</v>
      </c>
      <c r="M166" s="83"/>
      <c r="N166" s="84"/>
      <c r="O166" s="89"/>
      <c r="P166" s="66" t="s">
        <v>112</v>
      </c>
      <c r="Q166" s="22"/>
      <c r="R166" s="22"/>
      <c r="S166" s="22"/>
      <c r="T166" s="74"/>
      <c r="U166" s="6"/>
      <c r="V166" s="74"/>
    </row>
    <row r="167" ht="22.5" customHeight="1">
      <c r="A167" s="6"/>
      <c r="C167" s="6"/>
      <c r="D167" s="22"/>
      <c r="E167" s="20"/>
      <c r="F167" s="21"/>
      <c r="G167" s="21"/>
      <c r="H167" s="21"/>
      <c r="I167" s="35" t="b">
        <v>0</v>
      </c>
      <c r="J167" s="35" t="b">
        <v>0</v>
      </c>
      <c r="K167" s="35" t="b">
        <v>0</v>
      </c>
      <c r="L167" s="82" t="b">
        <v>0</v>
      </c>
      <c r="M167" s="83"/>
      <c r="N167" s="84"/>
      <c r="O167" s="89"/>
      <c r="P167" s="66" t="s">
        <v>112</v>
      </c>
      <c r="Q167" s="22"/>
      <c r="R167" s="22"/>
      <c r="S167" s="22"/>
      <c r="T167" s="74"/>
      <c r="U167" s="6"/>
      <c r="V167" s="74"/>
    </row>
    <row r="168" ht="22.5" customHeight="1">
      <c r="A168" s="6"/>
      <c r="C168" s="6"/>
      <c r="D168" s="22"/>
      <c r="E168" s="20"/>
      <c r="F168" s="21"/>
      <c r="G168" s="21"/>
      <c r="H168" s="21"/>
      <c r="I168" s="35" t="b">
        <v>0</v>
      </c>
      <c r="J168" s="35" t="b">
        <v>0</v>
      </c>
      <c r="K168" s="35" t="b">
        <v>0</v>
      </c>
      <c r="L168" s="82" t="b">
        <v>0</v>
      </c>
      <c r="M168" s="83"/>
      <c r="N168" s="84"/>
      <c r="O168" s="89"/>
      <c r="P168" s="66" t="s">
        <v>112</v>
      </c>
      <c r="Q168" s="22"/>
      <c r="R168" s="22"/>
      <c r="S168" s="22"/>
      <c r="T168" s="74"/>
      <c r="U168" s="6"/>
      <c r="V168" s="74"/>
    </row>
    <row r="169" ht="22.5" customHeight="1">
      <c r="A169" s="6"/>
      <c r="C169" s="6"/>
      <c r="D169" s="22"/>
      <c r="E169" s="20"/>
      <c r="F169" s="21"/>
      <c r="G169" s="21"/>
      <c r="H169" s="21"/>
      <c r="I169" s="35" t="b">
        <v>0</v>
      </c>
      <c r="J169" s="35" t="b">
        <v>0</v>
      </c>
      <c r="K169" s="35" t="b">
        <v>0</v>
      </c>
      <c r="L169" s="82" t="b">
        <v>0</v>
      </c>
      <c r="M169" s="83"/>
      <c r="N169" s="84"/>
      <c r="O169" s="89"/>
      <c r="P169" s="66" t="s">
        <v>112</v>
      </c>
      <c r="Q169" s="22"/>
      <c r="R169" s="22"/>
      <c r="S169" s="22"/>
      <c r="T169" s="74"/>
      <c r="U169" s="6"/>
      <c r="V169" s="74"/>
    </row>
    <row r="170" ht="22.5" customHeight="1">
      <c r="A170" s="6"/>
      <c r="C170" s="6"/>
      <c r="D170" s="22"/>
      <c r="E170" s="20"/>
      <c r="F170" s="21"/>
      <c r="G170" s="21"/>
      <c r="H170" s="21"/>
      <c r="I170" s="35" t="b">
        <v>0</v>
      </c>
      <c r="J170" s="35" t="b">
        <v>0</v>
      </c>
      <c r="K170" s="35" t="b">
        <v>0</v>
      </c>
      <c r="L170" s="82" t="b">
        <v>0</v>
      </c>
      <c r="M170" s="83"/>
      <c r="N170" s="84"/>
      <c r="O170" s="89"/>
      <c r="P170" s="66" t="s">
        <v>112</v>
      </c>
      <c r="Q170" s="22"/>
      <c r="R170" s="22"/>
      <c r="S170" s="22"/>
      <c r="T170" s="74"/>
      <c r="U170" s="6"/>
      <c r="V170" s="74"/>
    </row>
    <row r="171" ht="22.5" customHeight="1">
      <c r="A171" s="6"/>
      <c r="C171" s="6"/>
      <c r="D171" s="22"/>
      <c r="E171" s="20"/>
      <c r="F171" s="21"/>
      <c r="G171" s="21"/>
      <c r="H171" s="21"/>
      <c r="I171" s="35" t="b">
        <v>0</v>
      </c>
      <c r="J171" s="35" t="b">
        <v>0</v>
      </c>
      <c r="K171" s="35" t="b">
        <v>0</v>
      </c>
      <c r="L171" s="82" t="b">
        <v>0</v>
      </c>
      <c r="M171" s="83"/>
      <c r="N171" s="84"/>
      <c r="O171" s="89"/>
      <c r="P171" s="66" t="s">
        <v>112</v>
      </c>
      <c r="Q171" s="22"/>
      <c r="R171" s="22"/>
      <c r="S171" s="22"/>
      <c r="T171" s="74"/>
      <c r="U171" s="6"/>
      <c r="V171" s="74"/>
    </row>
    <row r="172" ht="22.5" customHeight="1">
      <c r="A172" s="6"/>
      <c r="C172" s="6"/>
      <c r="D172" s="22"/>
      <c r="E172" s="20"/>
      <c r="F172" s="21"/>
      <c r="G172" s="21"/>
      <c r="H172" s="21"/>
      <c r="I172" s="35" t="b">
        <v>0</v>
      </c>
      <c r="J172" s="35" t="b">
        <v>0</v>
      </c>
      <c r="K172" s="35" t="b">
        <v>0</v>
      </c>
      <c r="L172" s="82" t="b">
        <v>0</v>
      </c>
      <c r="M172" s="83"/>
      <c r="N172" s="84"/>
      <c r="O172" s="89"/>
      <c r="P172" s="66" t="s">
        <v>112</v>
      </c>
      <c r="Q172" s="22"/>
      <c r="R172" s="22"/>
      <c r="S172" s="22"/>
      <c r="T172" s="74"/>
      <c r="U172" s="6"/>
      <c r="V172" s="74"/>
    </row>
    <row r="173" ht="22.5" customHeight="1">
      <c r="A173" s="6"/>
      <c r="C173" s="6"/>
      <c r="D173" s="22"/>
      <c r="E173" s="20"/>
      <c r="F173" s="21"/>
      <c r="G173" s="21"/>
      <c r="H173" s="21"/>
      <c r="I173" s="35" t="b">
        <v>0</v>
      </c>
      <c r="J173" s="35" t="b">
        <v>0</v>
      </c>
      <c r="K173" s="35" t="b">
        <v>0</v>
      </c>
      <c r="L173" s="82" t="b">
        <v>0</v>
      </c>
      <c r="M173" s="83"/>
      <c r="N173" s="84"/>
      <c r="O173" s="89"/>
      <c r="P173" s="66" t="s">
        <v>112</v>
      </c>
      <c r="Q173" s="22"/>
      <c r="R173" s="22"/>
      <c r="S173" s="22"/>
      <c r="T173" s="74"/>
      <c r="U173" s="6"/>
      <c r="V173" s="74"/>
    </row>
    <row r="174" ht="22.5" customHeight="1">
      <c r="A174" s="6"/>
      <c r="C174" s="6"/>
      <c r="D174" s="22"/>
      <c r="E174" s="20"/>
      <c r="F174" s="21"/>
      <c r="G174" s="21"/>
      <c r="H174" s="21"/>
      <c r="I174" s="35" t="b">
        <v>0</v>
      </c>
      <c r="J174" s="35" t="b">
        <v>0</v>
      </c>
      <c r="K174" s="35" t="b">
        <v>0</v>
      </c>
      <c r="L174" s="82" t="b">
        <v>0</v>
      </c>
      <c r="M174" s="83"/>
      <c r="N174" s="84"/>
      <c r="O174" s="89"/>
      <c r="P174" s="66" t="s">
        <v>112</v>
      </c>
      <c r="Q174" s="22"/>
      <c r="R174" s="22"/>
      <c r="S174" s="22"/>
      <c r="T174" s="74"/>
      <c r="U174" s="6"/>
      <c r="V174" s="74"/>
    </row>
    <row r="175" ht="22.5" customHeight="1">
      <c r="A175" s="6"/>
      <c r="C175" s="6"/>
      <c r="D175" s="22"/>
      <c r="E175" s="20"/>
      <c r="F175" s="21"/>
      <c r="G175" s="21"/>
      <c r="H175" s="21"/>
      <c r="I175" s="35" t="b">
        <v>0</v>
      </c>
      <c r="J175" s="35" t="b">
        <v>0</v>
      </c>
      <c r="K175" s="35" t="b">
        <v>0</v>
      </c>
      <c r="L175" s="82" t="b">
        <v>0</v>
      </c>
      <c r="M175" s="83"/>
      <c r="N175" s="84"/>
      <c r="O175" s="89"/>
      <c r="P175" s="66" t="s">
        <v>112</v>
      </c>
      <c r="Q175" s="22"/>
      <c r="R175" s="22"/>
      <c r="S175" s="22"/>
      <c r="T175" s="74"/>
      <c r="U175" s="6"/>
      <c r="V175" s="74"/>
    </row>
    <row r="176" ht="22.5" customHeight="1">
      <c r="A176" s="6"/>
      <c r="C176" s="6"/>
      <c r="D176" s="22"/>
      <c r="E176" s="20"/>
      <c r="F176" s="21"/>
      <c r="G176" s="21"/>
      <c r="H176" s="21"/>
      <c r="I176" s="35" t="b">
        <v>0</v>
      </c>
      <c r="J176" s="35" t="b">
        <v>0</v>
      </c>
      <c r="K176" s="35" t="b">
        <v>0</v>
      </c>
      <c r="L176" s="82" t="b">
        <v>0</v>
      </c>
      <c r="M176" s="83"/>
      <c r="N176" s="84"/>
      <c r="O176" s="89"/>
      <c r="P176" s="66" t="s">
        <v>112</v>
      </c>
      <c r="Q176" s="22"/>
      <c r="R176" s="22"/>
      <c r="S176" s="22"/>
      <c r="T176" s="74"/>
      <c r="U176" s="6"/>
      <c r="V176" s="74"/>
    </row>
    <row r="177" ht="22.5" customHeight="1">
      <c r="A177" s="6"/>
      <c r="C177" s="6"/>
      <c r="D177" s="22"/>
      <c r="E177" s="20"/>
      <c r="F177" s="21"/>
      <c r="G177" s="21"/>
      <c r="H177" s="21"/>
      <c r="I177" s="35" t="b">
        <v>0</v>
      </c>
      <c r="J177" s="35" t="b">
        <v>0</v>
      </c>
      <c r="K177" s="35" t="b">
        <v>0</v>
      </c>
      <c r="L177" s="82" t="b">
        <v>0</v>
      </c>
      <c r="M177" s="83"/>
      <c r="N177" s="84"/>
      <c r="O177" s="89"/>
      <c r="P177" s="66" t="s">
        <v>112</v>
      </c>
      <c r="Q177" s="22"/>
      <c r="R177" s="22"/>
      <c r="S177" s="22"/>
      <c r="T177" s="74"/>
      <c r="U177" s="6"/>
      <c r="V177" s="74"/>
    </row>
    <row r="178" ht="22.5" customHeight="1">
      <c r="A178" s="6"/>
      <c r="C178" s="6"/>
      <c r="D178" s="22"/>
      <c r="E178" s="20"/>
      <c r="F178" s="21"/>
      <c r="G178" s="21"/>
      <c r="H178" s="21"/>
      <c r="I178" s="35" t="b">
        <v>0</v>
      </c>
      <c r="J178" s="35" t="b">
        <v>0</v>
      </c>
      <c r="K178" s="35" t="b">
        <v>0</v>
      </c>
      <c r="L178" s="82" t="b">
        <v>0</v>
      </c>
      <c r="M178" s="83"/>
      <c r="N178" s="84"/>
      <c r="O178" s="89"/>
      <c r="P178" s="66" t="s">
        <v>112</v>
      </c>
      <c r="Q178" s="22"/>
      <c r="R178" s="22"/>
      <c r="S178" s="22"/>
      <c r="T178" s="74"/>
      <c r="U178" s="6"/>
      <c r="V178" s="74"/>
    </row>
    <row r="179" ht="22.5" customHeight="1">
      <c r="A179" s="6"/>
      <c r="C179" s="6"/>
      <c r="D179" s="22"/>
      <c r="E179" s="20"/>
      <c r="F179" s="21"/>
      <c r="G179" s="21"/>
      <c r="H179" s="21"/>
      <c r="I179" s="35" t="b">
        <v>0</v>
      </c>
      <c r="J179" s="35" t="b">
        <v>0</v>
      </c>
      <c r="K179" s="35" t="b">
        <v>0</v>
      </c>
      <c r="L179" s="82" t="b">
        <v>0</v>
      </c>
      <c r="M179" s="83"/>
      <c r="N179" s="84"/>
      <c r="O179" s="89"/>
      <c r="P179" s="66" t="s">
        <v>112</v>
      </c>
      <c r="Q179" s="22"/>
      <c r="R179" s="22"/>
      <c r="S179" s="22"/>
      <c r="T179" s="74"/>
      <c r="U179" s="6"/>
      <c r="V179" s="74"/>
    </row>
    <row r="180" ht="22.5" customHeight="1">
      <c r="A180" s="6"/>
      <c r="C180" s="6"/>
      <c r="D180" s="22"/>
      <c r="E180" s="20"/>
      <c r="F180" s="21"/>
      <c r="G180" s="21"/>
      <c r="H180" s="21"/>
      <c r="I180" s="35" t="b">
        <v>0</v>
      </c>
      <c r="J180" s="35" t="b">
        <v>0</v>
      </c>
      <c r="K180" s="35" t="b">
        <v>0</v>
      </c>
      <c r="L180" s="82" t="b">
        <v>0</v>
      </c>
      <c r="M180" s="83"/>
      <c r="N180" s="84"/>
      <c r="O180" s="89"/>
      <c r="P180" s="66" t="s">
        <v>112</v>
      </c>
      <c r="Q180" s="22"/>
      <c r="R180" s="22"/>
      <c r="S180" s="22"/>
      <c r="T180" s="74"/>
      <c r="U180" s="6"/>
      <c r="V180" s="74"/>
    </row>
    <row r="181" ht="22.5" customHeight="1">
      <c r="A181" s="6"/>
      <c r="C181" s="6"/>
      <c r="D181" s="22"/>
      <c r="E181" s="20"/>
      <c r="F181" s="21"/>
      <c r="G181" s="21"/>
      <c r="H181" s="21"/>
      <c r="I181" s="35" t="b">
        <v>0</v>
      </c>
      <c r="J181" s="35" t="b">
        <v>0</v>
      </c>
      <c r="K181" s="35" t="b">
        <v>0</v>
      </c>
      <c r="L181" s="82" t="b">
        <v>0</v>
      </c>
      <c r="M181" s="83"/>
      <c r="N181" s="84"/>
      <c r="O181" s="89"/>
      <c r="P181" s="66" t="s">
        <v>112</v>
      </c>
      <c r="Q181" s="22"/>
      <c r="R181" s="22"/>
      <c r="S181" s="22"/>
      <c r="T181" s="74"/>
      <c r="U181" s="6"/>
      <c r="V181" s="74"/>
    </row>
    <row r="182" ht="22.5" customHeight="1">
      <c r="A182" s="6"/>
      <c r="C182" s="6"/>
      <c r="D182" s="22"/>
      <c r="E182" s="20"/>
      <c r="F182" s="21"/>
      <c r="G182" s="21"/>
      <c r="H182" s="21"/>
      <c r="I182" s="35" t="b">
        <v>0</v>
      </c>
      <c r="J182" s="35" t="b">
        <v>0</v>
      </c>
      <c r="K182" s="35" t="b">
        <v>0</v>
      </c>
      <c r="L182" s="82" t="b">
        <v>0</v>
      </c>
      <c r="M182" s="83"/>
      <c r="N182" s="84"/>
      <c r="O182" s="89"/>
      <c r="P182" s="66" t="s">
        <v>112</v>
      </c>
      <c r="Q182" s="22"/>
      <c r="R182" s="22"/>
      <c r="S182" s="22"/>
      <c r="T182" s="74"/>
      <c r="U182" s="6"/>
      <c r="V182" s="74"/>
    </row>
    <row r="183" ht="22.5" customHeight="1">
      <c r="A183" s="6"/>
      <c r="C183" s="6"/>
      <c r="D183" s="22"/>
      <c r="E183" s="20"/>
      <c r="F183" s="21"/>
      <c r="G183" s="21"/>
      <c r="H183" s="21"/>
      <c r="I183" s="35" t="b">
        <v>0</v>
      </c>
      <c r="J183" s="35" t="b">
        <v>0</v>
      </c>
      <c r="K183" s="35" t="b">
        <v>0</v>
      </c>
      <c r="L183" s="82" t="b">
        <v>0</v>
      </c>
      <c r="M183" s="83"/>
      <c r="N183" s="84"/>
      <c r="O183" s="89"/>
      <c r="P183" s="66" t="s">
        <v>112</v>
      </c>
      <c r="Q183" s="22"/>
      <c r="R183" s="22"/>
      <c r="S183" s="22"/>
      <c r="T183" s="74"/>
      <c r="U183" s="6"/>
      <c r="V183" s="74"/>
    </row>
    <row r="184" ht="22.5" customHeight="1">
      <c r="A184" s="6"/>
      <c r="C184" s="6"/>
      <c r="D184" s="22"/>
      <c r="E184" s="20"/>
      <c r="F184" s="21"/>
      <c r="G184" s="21"/>
      <c r="H184" s="21"/>
      <c r="I184" s="35" t="b">
        <v>0</v>
      </c>
      <c r="J184" s="35" t="b">
        <v>0</v>
      </c>
      <c r="K184" s="35" t="b">
        <v>0</v>
      </c>
      <c r="L184" s="82" t="b">
        <v>0</v>
      </c>
      <c r="M184" s="83"/>
      <c r="N184" s="84"/>
      <c r="O184" s="89"/>
      <c r="P184" s="66" t="s">
        <v>112</v>
      </c>
      <c r="Q184" s="22"/>
      <c r="R184" s="22"/>
      <c r="S184" s="22"/>
      <c r="T184" s="74"/>
      <c r="U184" s="6"/>
      <c r="V184" s="74"/>
    </row>
    <row r="185" ht="22.5" customHeight="1">
      <c r="A185" s="6"/>
      <c r="C185" s="6"/>
      <c r="D185" s="22"/>
      <c r="E185" s="20"/>
      <c r="F185" s="21"/>
      <c r="G185" s="21"/>
      <c r="H185" s="21"/>
      <c r="I185" s="35" t="b">
        <v>0</v>
      </c>
      <c r="J185" s="35" t="b">
        <v>0</v>
      </c>
      <c r="K185" s="35" t="b">
        <v>0</v>
      </c>
      <c r="L185" s="82" t="b">
        <v>0</v>
      </c>
      <c r="M185" s="83"/>
      <c r="N185" s="84"/>
      <c r="O185" s="89"/>
      <c r="P185" s="66" t="s">
        <v>112</v>
      </c>
      <c r="Q185" s="22"/>
      <c r="R185" s="22"/>
      <c r="S185" s="22"/>
      <c r="T185" s="74"/>
      <c r="U185" s="6"/>
      <c r="V185" s="74"/>
    </row>
    <row r="186" ht="22.5" customHeight="1">
      <c r="A186" s="6"/>
      <c r="C186" s="6"/>
      <c r="D186" s="22"/>
      <c r="E186" s="20"/>
      <c r="F186" s="21"/>
      <c r="G186" s="21"/>
      <c r="H186" s="21"/>
      <c r="I186" s="35" t="b">
        <v>0</v>
      </c>
      <c r="J186" s="35" t="b">
        <v>0</v>
      </c>
      <c r="K186" s="35" t="b">
        <v>0</v>
      </c>
      <c r="L186" s="82" t="b">
        <v>0</v>
      </c>
      <c r="M186" s="83"/>
      <c r="N186" s="84"/>
      <c r="O186" s="89"/>
      <c r="P186" s="66" t="s">
        <v>112</v>
      </c>
      <c r="Q186" s="22"/>
      <c r="R186" s="22"/>
      <c r="S186" s="22"/>
      <c r="T186" s="74"/>
      <c r="U186" s="6"/>
      <c r="V186" s="74"/>
    </row>
    <row r="187" ht="22.5" customHeight="1">
      <c r="A187" s="6"/>
      <c r="C187" s="6"/>
      <c r="D187" s="22"/>
      <c r="E187" s="20"/>
      <c r="F187" s="21"/>
      <c r="G187" s="21"/>
      <c r="H187" s="21"/>
      <c r="I187" s="35" t="b">
        <v>0</v>
      </c>
      <c r="J187" s="35" t="b">
        <v>0</v>
      </c>
      <c r="K187" s="35" t="b">
        <v>0</v>
      </c>
      <c r="L187" s="82" t="b">
        <v>0</v>
      </c>
      <c r="M187" s="83"/>
      <c r="N187" s="84"/>
      <c r="O187" s="89"/>
      <c r="P187" s="66" t="s">
        <v>112</v>
      </c>
      <c r="Q187" s="22"/>
      <c r="R187" s="22"/>
      <c r="S187" s="22"/>
      <c r="T187" s="74"/>
      <c r="U187" s="6"/>
      <c r="V187" s="74"/>
    </row>
    <row r="188" ht="22.5" customHeight="1">
      <c r="A188" s="6"/>
      <c r="C188" s="6"/>
      <c r="D188" s="22"/>
      <c r="E188" s="20"/>
      <c r="F188" s="21"/>
      <c r="G188" s="21"/>
      <c r="H188" s="21"/>
      <c r="I188" s="35" t="b">
        <v>0</v>
      </c>
      <c r="J188" s="35" t="b">
        <v>0</v>
      </c>
      <c r="K188" s="35" t="b">
        <v>0</v>
      </c>
      <c r="L188" s="82" t="b">
        <v>0</v>
      </c>
      <c r="M188" s="83"/>
      <c r="N188" s="84"/>
      <c r="O188" s="89"/>
      <c r="P188" s="66" t="s">
        <v>112</v>
      </c>
      <c r="Q188" s="22"/>
      <c r="R188" s="22"/>
      <c r="S188" s="22"/>
      <c r="T188" s="74"/>
      <c r="U188" s="6"/>
      <c r="V188" s="74"/>
    </row>
    <row r="189" ht="22.5" customHeight="1">
      <c r="A189" s="6"/>
      <c r="C189" s="6"/>
      <c r="D189" s="22"/>
      <c r="E189" s="20"/>
      <c r="F189" s="21"/>
      <c r="G189" s="21"/>
      <c r="H189" s="21"/>
      <c r="I189" s="35" t="b">
        <v>0</v>
      </c>
      <c r="J189" s="35" t="b">
        <v>0</v>
      </c>
      <c r="K189" s="35" t="b">
        <v>0</v>
      </c>
      <c r="L189" s="82" t="b">
        <v>0</v>
      </c>
      <c r="M189" s="83"/>
      <c r="N189" s="84"/>
      <c r="O189" s="89"/>
      <c r="P189" s="66" t="s">
        <v>112</v>
      </c>
      <c r="Q189" s="22"/>
      <c r="R189" s="22"/>
      <c r="S189" s="22"/>
      <c r="T189" s="74"/>
      <c r="U189" s="6"/>
      <c r="V189" s="74"/>
    </row>
    <row r="190" ht="22.5" customHeight="1">
      <c r="A190" s="6"/>
      <c r="C190" s="6"/>
      <c r="D190" s="22"/>
      <c r="E190" s="20"/>
      <c r="F190" s="21"/>
      <c r="G190" s="21"/>
      <c r="H190" s="21"/>
      <c r="I190" s="35" t="b">
        <v>0</v>
      </c>
      <c r="J190" s="35" t="b">
        <v>0</v>
      </c>
      <c r="K190" s="35" t="b">
        <v>0</v>
      </c>
      <c r="L190" s="82" t="b">
        <v>0</v>
      </c>
      <c r="M190" s="83"/>
      <c r="N190" s="84"/>
      <c r="O190" s="89"/>
      <c r="P190" s="66" t="s">
        <v>112</v>
      </c>
      <c r="Q190" s="22"/>
      <c r="R190" s="22"/>
      <c r="S190" s="22"/>
      <c r="T190" s="74"/>
      <c r="U190" s="6"/>
      <c r="V190" s="74"/>
    </row>
    <row r="191" ht="22.5" customHeight="1">
      <c r="A191" s="6"/>
      <c r="C191" s="6"/>
      <c r="D191" s="22"/>
      <c r="E191" s="20"/>
      <c r="F191" s="21"/>
      <c r="G191" s="21"/>
      <c r="H191" s="21"/>
      <c r="I191" s="35" t="b">
        <v>0</v>
      </c>
      <c r="J191" s="35" t="b">
        <v>0</v>
      </c>
      <c r="K191" s="35" t="b">
        <v>0</v>
      </c>
      <c r="L191" s="82" t="b">
        <v>0</v>
      </c>
      <c r="M191" s="83"/>
      <c r="N191" s="84"/>
      <c r="O191" s="89"/>
      <c r="P191" s="66" t="s">
        <v>112</v>
      </c>
      <c r="Q191" s="22"/>
      <c r="R191" s="22"/>
      <c r="S191" s="22"/>
      <c r="T191" s="74"/>
      <c r="U191" s="6"/>
      <c r="V191" s="74"/>
    </row>
    <row r="192" ht="22.5" customHeight="1">
      <c r="A192" s="6"/>
      <c r="C192" s="6"/>
      <c r="D192" s="22"/>
      <c r="E192" s="20"/>
      <c r="F192" s="21"/>
      <c r="G192" s="21"/>
      <c r="H192" s="21"/>
      <c r="I192" s="35" t="b">
        <v>0</v>
      </c>
      <c r="J192" s="35" t="b">
        <v>0</v>
      </c>
      <c r="K192" s="35" t="b">
        <v>0</v>
      </c>
      <c r="L192" s="82" t="b">
        <v>0</v>
      </c>
      <c r="M192" s="83"/>
      <c r="N192" s="84"/>
      <c r="O192" s="89"/>
      <c r="P192" s="66" t="s">
        <v>112</v>
      </c>
      <c r="Q192" s="22"/>
      <c r="R192" s="22"/>
      <c r="S192" s="22"/>
      <c r="T192" s="74"/>
      <c r="U192" s="6"/>
      <c r="V192" s="74"/>
    </row>
    <row r="193" ht="22.5" customHeight="1">
      <c r="A193" s="6"/>
      <c r="C193" s="6"/>
      <c r="D193" s="22"/>
      <c r="E193" s="20"/>
      <c r="F193" s="21"/>
      <c r="G193" s="21"/>
      <c r="H193" s="21"/>
      <c r="I193" s="35" t="b">
        <v>0</v>
      </c>
      <c r="J193" s="35" t="b">
        <v>0</v>
      </c>
      <c r="K193" s="35" t="b">
        <v>0</v>
      </c>
      <c r="L193" s="82" t="b">
        <v>0</v>
      </c>
      <c r="M193" s="83"/>
      <c r="N193" s="84"/>
      <c r="O193" s="89"/>
      <c r="P193" s="66" t="s">
        <v>112</v>
      </c>
      <c r="Q193" s="22"/>
      <c r="R193" s="22"/>
      <c r="S193" s="22"/>
      <c r="T193" s="74"/>
      <c r="U193" s="6"/>
      <c r="V193" s="74"/>
    </row>
    <row r="194" ht="22.5" customHeight="1">
      <c r="A194" s="6"/>
      <c r="C194" s="6"/>
      <c r="D194" s="22"/>
      <c r="E194" s="20"/>
      <c r="F194" s="21"/>
      <c r="G194" s="21"/>
      <c r="H194" s="21"/>
      <c r="I194" s="35" t="b">
        <v>0</v>
      </c>
      <c r="J194" s="35" t="b">
        <v>0</v>
      </c>
      <c r="K194" s="35" t="b">
        <v>0</v>
      </c>
      <c r="L194" s="82" t="b">
        <v>0</v>
      </c>
      <c r="M194" s="83"/>
      <c r="N194" s="84"/>
      <c r="O194" s="89"/>
      <c r="P194" s="66" t="s">
        <v>112</v>
      </c>
      <c r="Q194" s="22"/>
      <c r="R194" s="22"/>
      <c r="S194" s="22"/>
      <c r="T194" s="74"/>
      <c r="U194" s="6"/>
      <c r="V194" s="74"/>
    </row>
    <row r="195" ht="22.5" customHeight="1">
      <c r="A195" s="6"/>
      <c r="C195" s="6"/>
      <c r="D195" s="22"/>
      <c r="E195" s="20"/>
      <c r="F195" s="21"/>
      <c r="G195" s="21"/>
      <c r="H195" s="21"/>
      <c r="I195" s="35" t="b">
        <v>0</v>
      </c>
      <c r="J195" s="35" t="b">
        <v>0</v>
      </c>
      <c r="K195" s="35" t="b">
        <v>0</v>
      </c>
      <c r="L195" s="82" t="b">
        <v>0</v>
      </c>
      <c r="M195" s="83"/>
      <c r="N195" s="84"/>
      <c r="O195" s="89"/>
      <c r="P195" s="66" t="s">
        <v>112</v>
      </c>
      <c r="Q195" s="22"/>
      <c r="R195" s="22"/>
      <c r="S195" s="22"/>
      <c r="T195" s="74"/>
      <c r="U195" s="6"/>
      <c r="V195" s="74"/>
    </row>
    <row r="196" ht="22.5" customHeight="1">
      <c r="A196" s="6"/>
      <c r="C196" s="6"/>
      <c r="D196" s="22"/>
      <c r="E196" s="20"/>
      <c r="F196" s="21"/>
      <c r="G196" s="21"/>
      <c r="H196" s="21"/>
      <c r="I196" s="35" t="b">
        <v>0</v>
      </c>
      <c r="J196" s="35" t="b">
        <v>0</v>
      </c>
      <c r="K196" s="35" t="b">
        <v>0</v>
      </c>
      <c r="L196" s="82" t="b">
        <v>0</v>
      </c>
      <c r="M196" s="83"/>
      <c r="N196" s="84"/>
      <c r="O196" s="89"/>
      <c r="P196" s="66" t="s">
        <v>112</v>
      </c>
      <c r="Q196" s="22"/>
      <c r="R196" s="22"/>
      <c r="S196" s="22"/>
      <c r="T196" s="74"/>
      <c r="U196" s="6"/>
      <c r="V196" s="74"/>
    </row>
    <row r="197" ht="22.5" customHeight="1">
      <c r="A197" s="6"/>
      <c r="C197" s="6"/>
      <c r="D197" s="22"/>
      <c r="E197" s="20"/>
      <c r="F197" s="21"/>
      <c r="G197" s="21"/>
      <c r="H197" s="21"/>
      <c r="I197" s="35" t="b">
        <v>0</v>
      </c>
      <c r="J197" s="35" t="b">
        <v>0</v>
      </c>
      <c r="K197" s="35" t="b">
        <v>0</v>
      </c>
      <c r="L197" s="82" t="b">
        <v>0</v>
      </c>
      <c r="M197" s="83"/>
      <c r="N197" s="84"/>
      <c r="O197" s="89"/>
      <c r="P197" s="66" t="s">
        <v>112</v>
      </c>
      <c r="Q197" s="22"/>
      <c r="R197" s="22"/>
      <c r="S197" s="22"/>
      <c r="T197" s="74"/>
      <c r="U197" s="6"/>
      <c r="V197" s="74"/>
    </row>
    <row r="198" ht="22.5" customHeight="1">
      <c r="A198" s="6"/>
      <c r="C198" s="6"/>
      <c r="D198" s="22"/>
      <c r="E198" s="20"/>
      <c r="F198" s="21"/>
      <c r="G198" s="21"/>
      <c r="H198" s="21"/>
      <c r="I198" s="35" t="b">
        <v>0</v>
      </c>
      <c r="J198" s="35" t="b">
        <v>0</v>
      </c>
      <c r="K198" s="35" t="b">
        <v>0</v>
      </c>
      <c r="L198" s="82" t="b">
        <v>0</v>
      </c>
      <c r="M198" s="83"/>
      <c r="N198" s="84"/>
      <c r="O198" s="89"/>
      <c r="P198" s="66" t="s">
        <v>112</v>
      </c>
      <c r="Q198" s="22"/>
      <c r="R198" s="22"/>
      <c r="S198" s="22"/>
      <c r="T198" s="74"/>
      <c r="U198" s="6"/>
      <c r="V198" s="74"/>
    </row>
    <row r="199" ht="22.5" customHeight="1">
      <c r="A199" s="6"/>
      <c r="C199" s="6"/>
      <c r="D199" s="22"/>
      <c r="E199" s="20"/>
      <c r="F199" s="21"/>
      <c r="G199" s="21"/>
      <c r="H199" s="21"/>
      <c r="I199" s="35" t="b">
        <v>0</v>
      </c>
      <c r="J199" s="35" t="b">
        <v>0</v>
      </c>
      <c r="K199" s="35" t="b">
        <v>0</v>
      </c>
      <c r="L199" s="82" t="b">
        <v>0</v>
      </c>
      <c r="M199" s="83"/>
      <c r="N199" s="84"/>
      <c r="O199" s="89"/>
      <c r="P199" s="66" t="s">
        <v>112</v>
      </c>
      <c r="Q199" s="22"/>
      <c r="R199" s="22"/>
      <c r="S199" s="22"/>
      <c r="T199" s="74"/>
      <c r="U199" s="6"/>
      <c r="V199" s="74"/>
    </row>
    <row r="200" ht="22.5" customHeight="1">
      <c r="A200" s="6"/>
      <c r="C200" s="6"/>
      <c r="D200" s="22"/>
      <c r="E200" s="20"/>
      <c r="F200" s="21"/>
      <c r="G200" s="21"/>
      <c r="H200" s="21"/>
      <c r="I200" s="35" t="b">
        <v>0</v>
      </c>
      <c r="J200" s="35" t="b">
        <v>0</v>
      </c>
      <c r="K200" s="35" t="b">
        <v>0</v>
      </c>
      <c r="L200" s="82" t="b">
        <v>0</v>
      </c>
      <c r="M200" s="83"/>
      <c r="N200" s="84"/>
      <c r="O200" s="89"/>
      <c r="P200" s="66" t="s">
        <v>112</v>
      </c>
      <c r="Q200" s="22"/>
      <c r="R200" s="22"/>
      <c r="S200" s="22"/>
      <c r="T200" s="74"/>
      <c r="U200" s="6"/>
      <c r="V200" s="74"/>
    </row>
    <row r="201" ht="22.5" customHeight="1">
      <c r="A201" s="6"/>
      <c r="C201" s="6"/>
      <c r="D201" s="22"/>
      <c r="E201" s="20"/>
      <c r="F201" s="21"/>
      <c r="G201" s="21"/>
      <c r="H201" s="21"/>
      <c r="I201" s="35" t="b">
        <v>0</v>
      </c>
      <c r="J201" s="35" t="b">
        <v>0</v>
      </c>
      <c r="K201" s="35" t="b">
        <v>0</v>
      </c>
      <c r="L201" s="82" t="b">
        <v>0</v>
      </c>
      <c r="M201" s="83"/>
      <c r="N201" s="84"/>
      <c r="O201" s="89"/>
      <c r="P201" s="66" t="s">
        <v>112</v>
      </c>
      <c r="Q201" s="22"/>
      <c r="R201" s="22"/>
      <c r="S201" s="22"/>
      <c r="T201" s="74"/>
      <c r="U201" s="6"/>
      <c r="V201" s="74"/>
    </row>
    <row r="202" ht="22.5" customHeight="1">
      <c r="A202" s="6"/>
      <c r="C202" s="6"/>
      <c r="D202" s="22"/>
      <c r="E202" s="20"/>
      <c r="F202" s="21"/>
      <c r="G202" s="21"/>
      <c r="H202" s="21"/>
      <c r="I202" s="35" t="b">
        <v>0</v>
      </c>
      <c r="J202" s="35" t="b">
        <v>0</v>
      </c>
      <c r="K202" s="35" t="b">
        <v>0</v>
      </c>
      <c r="L202" s="82" t="b">
        <v>0</v>
      </c>
      <c r="M202" s="83"/>
      <c r="N202" s="84"/>
      <c r="O202" s="89"/>
      <c r="P202" s="66" t="s">
        <v>112</v>
      </c>
      <c r="Q202" s="22"/>
      <c r="R202" s="22"/>
      <c r="S202" s="22"/>
      <c r="T202" s="74"/>
      <c r="U202" s="6"/>
      <c r="V202" s="74"/>
    </row>
    <row r="203" ht="22.5" customHeight="1">
      <c r="A203" s="6"/>
      <c r="C203" s="6"/>
      <c r="D203" s="22"/>
      <c r="E203" s="20"/>
      <c r="F203" s="21"/>
      <c r="G203" s="21"/>
      <c r="H203" s="21"/>
      <c r="I203" s="35" t="b">
        <v>0</v>
      </c>
      <c r="J203" s="35" t="b">
        <v>0</v>
      </c>
      <c r="K203" s="35" t="b">
        <v>0</v>
      </c>
      <c r="L203" s="82" t="b">
        <v>0</v>
      </c>
      <c r="M203" s="83"/>
      <c r="N203" s="84"/>
      <c r="O203" s="89"/>
      <c r="P203" s="66" t="s">
        <v>112</v>
      </c>
      <c r="Q203" s="22"/>
      <c r="R203" s="22"/>
      <c r="S203" s="22"/>
      <c r="T203" s="74"/>
      <c r="U203" s="6"/>
      <c r="V203" s="74"/>
    </row>
    <row r="204" ht="22.5" customHeight="1">
      <c r="A204" s="6"/>
      <c r="C204" s="6"/>
      <c r="D204" s="22"/>
      <c r="E204" s="20"/>
      <c r="F204" s="21"/>
      <c r="G204" s="21"/>
      <c r="H204" s="21"/>
      <c r="I204" s="35" t="b">
        <v>0</v>
      </c>
      <c r="J204" s="35" t="b">
        <v>0</v>
      </c>
      <c r="K204" s="35" t="b">
        <v>0</v>
      </c>
      <c r="L204" s="82" t="b">
        <v>0</v>
      </c>
      <c r="M204" s="83"/>
      <c r="N204" s="84"/>
      <c r="O204" s="89"/>
      <c r="P204" s="66" t="s">
        <v>112</v>
      </c>
      <c r="Q204" s="22"/>
      <c r="R204" s="22"/>
      <c r="S204" s="22"/>
      <c r="T204" s="74"/>
      <c r="U204" s="6"/>
      <c r="V204" s="74"/>
    </row>
    <row r="205" ht="22.5" customHeight="1">
      <c r="A205" s="6"/>
      <c r="C205" s="6"/>
      <c r="D205" s="22"/>
      <c r="E205" s="20"/>
      <c r="F205" s="21"/>
      <c r="G205" s="21"/>
      <c r="H205" s="21"/>
      <c r="I205" s="35" t="b">
        <v>0</v>
      </c>
      <c r="J205" s="35" t="b">
        <v>0</v>
      </c>
      <c r="K205" s="35" t="b">
        <v>0</v>
      </c>
      <c r="L205" s="82" t="b">
        <v>0</v>
      </c>
      <c r="M205" s="83"/>
      <c r="N205" s="84"/>
      <c r="O205" s="89"/>
      <c r="P205" s="66" t="s">
        <v>112</v>
      </c>
      <c r="Q205" s="22"/>
      <c r="R205" s="22"/>
      <c r="S205" s="22"/>
      <c r="T205" s="74"/>
      <c r="U205" s="6"/>
      <c r="V205" s="74"/>
    </row>
    <row r="206" ht="22.5" customHeight="1">
      <c r="A206" s="6"/>
      <c r="C206" s="6"/>
      <c r="D206" s="22"/>
      <c r="E206" s="20"/>
      <c r="F206" s="21"/>
      <c r="G206" s="21"/>
      <c r="H206" s="21"/>
      <c r="I206" s="35" t="b">
        <v>0</v>
      </c>
      <c r="J206" s="35" t="b">
        <v>0</v>
      </c>
      <c r="K206" s="35" t="b">
        <v>0</v>
      </c>
      <c r="L206" s="82" t="b">
        <v>0</v>
      </c>
      <c r="M206" s="83"/>
      <c r="N206" s="84"/>
      <c r="O206" s="89"/>
      <c r="P206" s="66" t="s">
        <v>112</v>
      </c>
      <c r="Q206" s="22"/>
      <c r="R206" s="22"/>
      <c r="S206" s="22"/>
      <c r="T206" s="74"/>
      <c r="U206" s="6"/>
      <c r="V206" s="74"/>
    </row>
    <row r="207" ht="22.5" customHeight="1">
      <c r="A207" s="6"/>
      <c r="C207" s="6"/>
      <c r="D207" s="22"/>
      <c r="E207" s="20"/>
      <c r="F207" s="21"/>
      <c r="G207" s="21"/>
      <c r="H207" s="21"/>
      <c r="I207" s="35" t="b">
        <v>0</v>
      </c>
      <c r="J207" s="35" t="b">
        <v>0</v>
      </c>
      <c r="K207" s="35" t="b">
        <v>0</v>
      </c>
      <c r="L207" s="82" t="b">
        <v>0</v>
      </c>
      <c r="M207" s="83"/>
      <c r="N207" s="84"/>
      <c r="O207" s="89"/>
      <c r="P207" s="66" t="s">
        <v>112</v>
      </c>
      <c r="Q207" s="22"/>
      <c r="R207" s="22"/>
      <c r="S207" s="22"/>
      <c r="T207" s="74"/>
      <c r="U207" s="6"/>
      <c r="V207" s="74"/>
    </row>
    <row r="208" ht="22.5" customHeight="1">
      <c r="A208" s="6"/>
      <c r="C208" s="6"/>
      <c r="D208" s="22"/>
      <c r="E208" s="20"/>
      <c r="F208" s="21"/>
      <c r="G208" s="21"/>
      <c r="H208" s="21"/>
      <c r="I208" s="35" t="b">
        <v>0</v>
      </c>
      <c r="J208" s="35" t="b">
        <v>0</v>
      </c>
      <c r="K208" s="35" t="b">
        <v>0</v>
      </c>
      <c r="L208" s="82" t="b">
        <v>0</v>
      </c>
      <c r="M208" s="83"/>
      <c r="N208" s="84"/>
      <c r="O208" s="89"/>
      <c r="P208" s="66" t="s">
        <v>112</v>
      </c>
      <c r="Q208" s="22"/>
      <c r="R208" s="22"/>
      <c r="S208" s="22"/>
      <c r="T208" s="74"/>
      <c r="U208" s="6"/>
      <c r="V208" s="74"/>
    </row>
    <row r="209" ht="22.5" customHeight="1">
      <c r="A209" s="6"/>
      <c r="C209" s="6"/>
      <c r="D209" s="22"/>
      <c r="E209" s="20"/>
      <c r="F209" s="21"/>
      <c r="G209" s="21"/>
      <c r="H209" s="21"/>
      <c r="I209" s="35" t="b">
        <v>0</v>
      </c>
      <c r="J209" s="35" t="b">
        <v>0</v>
      </c>
      <c r="K209" s="35" t="b">
        <v>0</v>
      </c>
      <c r="L209" s="82" t="b">
        <v>0</v>
      </c>
      <c r="M209" s="83"/>
      <c r="N209" s="84"/>
      <c r="O209" s="89"/>
      <c r="P209" s="66" t="s">
        <v>112</v>
      </c>
      <c r="Q209" s="22"/>
      <c r="R209" s="22"/>
      <c r="S209" s="22"/>
      <c r="T209" s="74"/>
      <c r="U209" s="6"/>
      <c r="V209" s="74"/>
    </row>
    <row r="210" ht="22.5" customHeight="1">
      <c r="A210" s="6"/>
      <c r="C210" s="6"/>
      <c r="D210" s="22"/>
      <c r="E210" s="20"/>
      <c r="F210" s="21"/>
      <c r="G210" s="21"/>
      <c r="H210" s="21"/>
      <c r="I210" s="35" t="b">
        <v>0</v>
      </c>
      <c r="J210" s="35" t="b">
        <v>0</v>
      </c>
      <c r="K210" s="35" t="b">
        <v>0</v>
      </c>
      <c r="L210" s="82" t="b">
        <v>0</v>
      </c>
      <c r="M210" s="83"/>
      <c r="N210" s="84"/>
      <c r="O210" s="89"/>
      <c r="P210" s="66" t="s">
        <v>112</v>
      </c>
      <c r="Q210" s="22"/>
      <c r="R210" s="22"/>
      <c r="S210" s="22"/>
      <c r="T210" s="74"/>
      <c r="U210" s="6"/>
      <c r="V210" s="74"/>
    </row>
    <row r="211" ht="22.5" customHeight="1">
      <c r="A211" s="6"/>
      <c r="C211" s="6"/>
      <c r="D211" s="22"/>
      <c r="E211" s="20"/>
      <c r="F211" s="21"/>
      <c r="G211" s="21"/>
      <c r="H211" s="21"/>
      <c r="I211" s="35" t="b">
        <v>0</v>
      </c>
      <c r="J211" s="35" t="b">
        <v>0</v>
      </c>
      <c r="K211" s="35" t="b">
        <v>0</v>
      </c>
      <c r="L211" s="82" t="b">
        <v>0</v>
      </c>
      <c r="M211" s="83"/>
      <c r="N211" s="84"/>
      <c r="O211" s="89"/>
      <c r="P211" s="66" t="s">
        <v>112</v>
      </c>
      <c r="Q211" s="22"/>
      <c r="R211" s="22"/>
      <c r="S211" s="22"/>
      <c r="T211" s="74"/>
      <c r="U211" s="6"/>
      <c r="V211" s="74"/>
    </row>
    <row r="212" ht="22.5" customHeight="1">
      <c r="A212" s="6"/>
      <c r="C212" s="6"/>
      <c r="D212" s="22"/>
      <c r="E212" s="20"/>
      <c r="F212" s="21"/>
      <c r="G212" s="21"/>
      <c r="H212" s="21"/>
      <c r="I212" s="35" t="b">
        <v>0</v>
      </c>
      <c r="J212" s="35" t="b">
        <v>0</v>
      </c>
      <c r="K212" s="35" t="b">
        <v>0</v>
      </c>
      <c r="L212" s="82" t="b">
        <v>0</v>
      </c>
      <c r="M212" s="83"/>
      <c r="N212" s="84"/>
      <c r="O212" s="89"/>
      <c r="P212" s="66" t="s">
        <v>112</v>
      </c>
      <c r="Q212" s="22"/>
      <c r="R212" s="22"/>
      <c r="S212" s="22"/>
      <c r="T212" s="74"/>
      <c r="U212" s="6"/>
      <c r="V212" s="74"/>
    </row>
    <row r="213" ht="22.5" customHeight="1">
      <c r="A213" s="6"/>
      <c r="C213" s="6"/>
      <c r="D213" s="22"/>
      <c r="E213" s="20"/>
      <c r="F213" s="21"/>
      <c r="G213" s="21"/>
      <c r="H213" s="21"/>
      <c r="I213" s="35" t="b">
        <v>0</v>
      </c>
      <c r="J213" s="35" t="b">
        <v>0</v>
      </c>
      <c r="K213" s="35" t="b">
        <v>0</v>
      </c>
      <c r="L213" s="82" t="b">
        <v>0</v>
      </c>
      <c r="M213" s="83"/>
      <c r="N213" s="84"/>
      <c r="O213" s="89"/>
      <c r="P213" s="66" t="s">
        <v>112</v>
      </c>
      <c r="Q213" s="22"/>
      <c r="R213" s="22"/>
      <c r="S213" s="22"/>
      <c r="T213" s="74"/>
      <c r="U213" s="6"/>
      <c r="V213" s="74"/>
    </row>
    <row r="214" ht="22.5" customHeight="1">
      <c r="A214" s="6"/>
      <c r="C214" s="6"/>
      <c r="D214" s="22"/>
      <c r="E214" s="20"/>
      <c r="F214" s="21"/>
      <c r="G214" s="21"/>
      <c r="H214" s="21"/>
      <c r="I214" s="35" t="b">
        <v>0</v>
      </c>
      <c r="J214" s="35" t="b">
        <v>0</v>
      </c>
      <c r="K214" s="35" t="b">
        <v>0</v>
      </c>
      <c r="L214" s="82" t="b">
        <v>0</v>
      </c>
      <c r="M214" s="83"/>
      <c r="N214" s="84"/>
      <c r="O214" s="89"/>
      <c r="P214" s="66" t="s">
        <v>112</v>
      </c>
      <c r="Q214" s="22"/>
      <c r="R214" s="22"/>
      <c r="S214" s="22"/>
      <c r="T214" s="74"/>
      <c r="U214" s="6"/>
      <c r="V214" s="74"/>
    </row>
    <row r="215" ht="22.5" customHeight="1">
      <c r="A215" s="6"/>
      <c r="C215" s="6"/>
      <c r="D215" s="22"/>
      <c r="E215" s="20"/>
      <c r="F215" s="21"/>
      <c r="G215" s="21"/>
      <c r="H215" s="21"/>
      <c r="I215" s="35" t="b">
        <v>0</v>
      </c>
      <c r="J215" s="35" t="b">
        <v>0</v>
      </c>
      <c r="K215" s="35" t="b">
        <v>0</v>
      </c>
      <c r="L215" s="82" t="b">
        <v>0</v>
      </c>
      <c r="M215" s="83"/>
      <c r="N215" s="84"/>
      <c r="O215" s="89"/>
      <c r="P215" s="66" t="s">
        <v>112</v>
      </c>
      <c r="Q215" s="22"/>
      <c r="R215" s="22"/>
      <c r="S215" s="22"/>
      <c r="T215" s="74"/>
      <c r="U215" s="6"/>
      <c r="V215" s="74"/>
    </row>
    <row r="216" ht="22.5" customHeight="1">
      <c r="A216" s="6"/>
      <c r="C216" s="6"/>
      <c r="D216" s="22"/>
      <c r="E216" s="20"/>
      <c r="F216" s="21"/>
      <c r="G216" s="21"/>
      <c r="H216" s="21"/>
      <c r="I216" s="35" t="b">
        <v>0</v>
      </c>
      <c r="J216" s="35" t="b">
        <v>0</v>
      </c>
      <c r="K216" s="35" t="b">
        <v>0</v>
      </c>
      <c r="L216" s="82" t="b">
        <v>0</v>
      </c>
      <c r="M216" s="83"/>
      <c r="N216" s="84"/>
      <c r="O216" s="89"/>
      <c r="P216" s="66" t="s">
        <v>112</v>
      </c>
      <c r="Q216" s="22"/>
      <c r="R216" s="22"/>
      <c r="S216" s="22"/>
      <c r="T216" s="74"/>
      <c r="U216" s="6"/>
      <c r="V216" s="74"/>
    </row>
    <row r="217" ht="22.5" customHeight="1">
      <c r="A217" s="6"/>
      <c r="C217" s="6"/>
      <c r="D217" s="22"/>
      <c r="E217" s="20"/>
      <c r="F217" s="21"/>
      <c r="G217" s="21"/>
      <c r="H217" s="21"/>
      <c r="I217" s="35" t="b">
        <v>0</v>
      </c>
      <c r="J217" s="35" t="b">
        <v>0</v>
      </c>
      <c r="K217" s="35" t="b">
        <v>0</v>
      </c>
      <c r="L217" s="82" t="b">
        <v>0</v>
      </c>
      <c r="M217" s="83"/>
      <c r="N217" s="84"/>
      <c r="O217" s="89"/>
      <c r="P217" s="66" t="s">
        <v>112</v>
      </c>
      <c r="Q217" s="22"/>
      <c r="R217" s="22"/>
      <c r="S217" s="22"/>
      <c r="T217" s="74"/>
      <c r="U217" s="6"/>
      <c r="V217" s="74"/>
    </row>
    <row r="218" ht="22.5" customHeight="1">
      <c r="A218" s="6"/>
      <c r="C218" s="6"/>
      <c r="D218" s="22"/>
      <c r="E218" s="20"/>
      <c r="F218" s="21"/>
      <c r="G218" s="21"/>
      <c r="H218" s="21"/>
      <c r="I218" s="35" t="b">
        <v>0</v>
      </c>
      <c r="J218" s="35" t="b">
        <v>0</v>
      </c>
      <c r="K218" s="35" t="b">
        <v>0</v>
      </c>
      <c r="L218" s="82" t="b">
        <v>0</v>
      </c>
      <c r="M218" s="83"/>
      <c r="N218" s="84"/>
      <c r="O218" s="89"/>
      <c r="P218" s="66" t="s">
        <v>112</v>
      </c>
      <c r="Q218" s="22"/>
      <c r="R218" s="22"/>
      <c r="S218" s="22"/>
      <c r="T218" s="74"/>
      <c r="U218" s="6"/>
      <c r="V218" s="74"/>
    </row>
    <row r="219" ht="22.5" customHeight="1">
      <c r="A219" s="6"/>
      <c r="C219" s="6"/>
      <c r="D219" s="22"/>
      <c r="E219" s="20"/>
      <c r="F219" s="21"/>
      <c r="G219" s="21"/>
      <c r="H219" s="21"/>
      <c r="I219" s="35" t="b">
        <v>0</v>
      </c>
      <c r="J219" s="35" t="b">
        <v>0</v>
      </c>
      <c r="K219" s="35" t="b">
        <v>0</v>
      </c>
      <c r="L219" s="82" t="b">
        <v>0</v>
      </c>
      <c r="M219" s="83"/>
      <c r="N219" s="84"/>
      <c r="O219" s="89"/>
      <c r="P219" s="66" t="s">
        <v>112</v>
      </c>
      <c r="Q219" s="22"/>
      <c r="R219" s="22"/>
      <c r="S219" s="22"/>
      <c r="T219" s="74"/>
      <c r="U219" s="6"/>
      <c r="V219" s="74"/>
    </row>
    <row r="220" ht="22.5" customHeight="1">
      <c r="A220" s="6"/>
      <c r="C220" s="6"/>
      <c r="D220" s="22"/>
      <c r="E220" s="20"/>
      <c r="F220" s="21"/>
      <c r="G220" s="21"/>
      <c r="H220" s="21"/>
      <c r="I220" s="35" t="b">
        <v>0</v>
      </c>
      <c r="J220" s="35" t="b">
        <v>0</v>
      </c>
      <c r="K220" s="35" t="b">
        <v>0</v>
      </c>
      <c r="L220" s="82" t="b">
        <v>0</v>
      </c>
      <c r="M220" s="83"/>
      <c r="N220" s="84"/>
      <c r="O220" s="89"/>
      <c r="P220" s="66" t="s">
        <v>112</v>
      </c>
      <c r="Q220" s="22"/>
      <c r="R220" s="22"/>
      <c r="S220" s="22"/>
      <c r="T220" s="74"/>
      <c r="U220" s="6"/>
      <c r="V220" s="74"/>
    </row>
    <row r="221" ht="22.5" customHeight="1">
      <c r="A221" s="6"/>
      <c r="C221" s="6"/>
      <c r="D221" s="22"/>
      <c r="E221" s="20"/>
      <c r="F221" s="21"/>
      <c r="G221" s="21"/>
      <c r="H221" s="21"/>
      <c r="I221" s="35" t="b">
        <v>0</v>
      </c>
      <c r="J221" s="35" t="b">
        <v>0</v>
      </c>
      <c r="K221" s="35" t="b">
        <v>0</v>
      </c>
      <c r="L221" s="82" t="b">
        <v>0</v>
      </c>
      <c r="M221" s="83"/>
      <c r="N221" s="84"/>
      <c r="O221" s="89"/>
      <c r="P221" s="66" t="s">
        <v>112</v>
      </c>
      <c r="Q221" s="22"/>
      <c r="R221" s="22"/>
      <c r="S221" s="22"/>
      <c r="T221" s="74"/>
      <c r="U221" s="6"/>
      <c r="V221" s="74"/>
    </row>
    <row r="222" ht="22.5" customHeight="1">
      <c r="A222" s="6"/>
      <c r="C222" s="6"/>
      <c r="D222" s="22"/>
      <c r="E222" s="20"/>
      <c r="F222" s="21"/>
      <c r="G222" s="21"/>
      <c r="H222" s="21"/>
      <c r="I222" s="35" t="b">
        <v>0</v>
      </c>
      <c r="J222" s="35" t="b">
        <v>0</v>
      </c>
      <c r="K222" s="35" t="b">
        <v>0</v>
      </c>
      <c r="L222" s="82" t="b">
        <v>0</v>
      </c>
      <c r="M222" s="83"/>
      <c r="N222" s="84"/>
      <c r="O222" s="89"/>
      <c r="P222" s="66" t="s">
        <v>112</v>
      </c>
      <c r="Q222" s="22"/>
      <c r="R222" s="22"/>
      <c r="S222" s="22"/>
      <c r="T222" s="74"/>
      <c r="U222" s="6"/>
      <c r="V222" s="74"/>
    </row>
    <row r="223" ht="22.5" customHeight="1">
      <c r="A223" s="6"/>
      <c r="C223" s="6"/>
      <c r="D223" s="22"/>
      <c r="E223" s="20"/>
      <c r="F223" s="21"/>
      <c r="G223" s="21"/>
      <c r="H223" s="21"/>
      <c r="I223" s="35" t="b">
        <v>0</v>
      </c>
      <c r="J223" s="35" t="b">
        <v>0</v>
      </c>
      <c r="K223" s="35" t="b">
        <v>0</v>
      </c>
      <c r="L223" s="82" t="b">
        <v>0</v>
      </c>
      <c r="M223" s="83"/>
      <c r="N223" s="84"/>
      <c r="O223" s="89"/>
      <c r="P223" s="66" t="s">
        <v>112</v>
      </c>
      <c r="Q223" s="22"/>
      <c r="R223" s="22"/>
      <c r="S223" s="22"/>
      <c r="T223" s="74"/>
      <c r="U223" s="6"/>
      <c r="V223" s="74"/>
    </row>
    <row r="224" ht="22.5" customHeight="1">
      <c r="A224" s="6"/>
      <c r="C224" s="6"/>
      <c r="D224" s="22"/>
      <c r="E224" s="20"/>
      <c r="F224" s="21"/>
      <c r="G224" s="21"/>
      <c r="H224" s="21"/>
      <c r="I224" s="35" t="b">
        <v>0</v>
      </c>
      <c r="J224" s="35" t="b">
        <v>0</v>
      </c>
      <c r="K224" s="35" t="b">
        <v>0</v>
      </c>
      <c r="L224" s="82" t="b">
        <v>0</v>
      </c>
      <c r="M224" s="83"/>
      <c r="N224" s="84"/>
      <c r="O224" s="89"/>
      <c r="P224" s="66" t="s">
        <v>112</v>
      </c>
      <c r="Q224" s="22"/>
      <c r="R224" s="22"/>
      <c r="S224" s="22"/>
      <c r="T224" s="74"/>
      <c r="U224" s="6"/>
      <c r="V224" s="74"/>
    </row>
    <row r="225" ht="22.5" customHeight="1">
      <c r="A225" s="6"/>
      <c r="C225" s="6"/>
      <c r="D225" s="22"/>
      <c r="E225" s="20"/>
      <c r="F225" s="21"/>
      <c r="G225" s="21"/>
      <c r="H225" s="21"/>
      <c r="I225" s="35" t="b">
        <v>0</v>
      </c>
      <c r="J225" s="35" t="b">
        <v>0</v>
      </c>
      <c r="K225" s="35" t="b">
        <v>0</v>
      </c>
      <c r="L225" s="82" t="b">
        <v>0</v>
      </c>
      <c r="M225" s="83"/>
      <c r="N225" s="84"/>
      <c r="O225" s="89"/>
      <c r="P225" s="66" t="s">
        <v>112</v>
      </c>
      <c r="Q225" s="22"/>
      <c r="R225" s="22"/>
      <c r="S225" s="22"/>
      <c r="T225" s="74"/>
      <c r="U225" s="6"/>
      <c r="V225" s="74"/>
    </row>
    <row r="226" ht="22.5" customHeight="1">
      <c r="A226" s="6"/>
      <c r="C226" s="6"/>
      <c r="D226" s="22"/>
      <c r="E226" s="20"/>
      <c r="F226" s="21"/>
      <c r="G226" s="21"/>
      <c r="H226" s="21"/>
      <c r="I226" s="35" t="b">
        <v>0</v>
      </c>
      <c r="J226" s="35" t="b">
        <v>0</v>
      </c>
      <c r="K226" s="35" t="b">
        <v>0</v>
      </c>
      <c r="L226" s="82" t="b">
        <v>0</v>
      </c>
      <c r="M226" s="83"/>
      <c r="N226" s="84"/>
      <c r="O226" s="89"/>
      <c r="P226" s="66" t="s">
        <v>112</v>
      </c>
      <c r="Q226" s="22"/>
      <c r="R226" s="22"/>
      <c r="S226" s="22"/>
      <c r="T226" s="74"/>
      <c r="U226" s="6"/>
      <c r="V226" s="74"/>
    </row>
    <row r="227" ht="22.5" customHeight="1">
      <c r="A227" s="6"/>
      <c r="C227" s="6"/>
      <c r="D227" s="22"/>
      <c r="E227" s="20"/>
      <c r="F227" s="21"/>
      <c r="G227" s="21"/>
      <c r="H227" s="21"/>
      <c r="I227" s="35" t="b">
        <v>0</v>
      </c>
      <c r="J227" s="35" t="b">
        <v>0</v>
      </c>
      <c r="K227" s="35" t="b">
        <v>0</v>
      </c>
      <c r="L227" s="82" t="b">
        <v>0</v>
      </c>
      <c r="M227" s="83"/>
      <c r="N227" s="84"/>
      <c r="O227" s="89"/>
      <c r="P227" s="66" t="s">
        <v>112</v>
      </c>
      <c r="Q227" s="22"/>
      <c r="R227" s="22"/>
      <c r="S227" s="22"/>
      <c r="T227" s="74"/>
      <c r="U227" s="6"/>
      <c r="V227" s="74"/>
    </row>
    <row r="228" ht="22.5" customHeight="1">
      <c r="A228" s="6"/>
      <c r="C228" s="6"/>
      <c r="D228" s="22"/>
      <c r="E228" s="20"/>
      <c r="F228" s="21"/>
      <c r="G228" s="21"/>
      <c r="H228" s="21"/>
      <c r="I228" s="35" t="b">
        <v>0</v>
      </c>
      <c r="J228" s="35" t="b">
        <v>0</v>
      </c>
      <c r="K228" s="35" t="b">
        <v>0</v>
      </c>
      <c r="L228" s="82" t="b">
        <v>0</v>
      </c>
      <c r="M228" s="83"/>
      <c r="N228" s="84"/>
      <c r="O228" s="89"/>
      <c r="P228" s="66" t="s">
        <v>112</v>
      </c>
      <c r="Q228" s="22"/>
      <c r="R228" s="22"/>
      <c r="S228" s="22"/>
      <c r="T228" s="74"/>
      <c r="U228" s="6"/>
      <c r="V228" s="74"/>
    </row>
    <row r="229" ht="22.5" customHeight="1">
      <c r="A229" s="6"/>
      <c r="C229" s="6"/>
      <c r="D229" s="22"/>
      <c r="E229" s="20"/>
      <c r="F229" s="21"/>
      <c r="G229" s="21"/>
      <c r="H229" s="21"/>
      <c r="I229" s="35" t="b">
        <v>0</v>
      </c>
      <c r="J229" s="35" t="b">
        <v>0</v>
      </c>
      <c r="K229" s="35" t="b">
        <v>0</v>
      </c>
      <c r="L229" s="82" t="b">
        <v>0</v>
      </c>
      <c r="M229" s="83"/>
      <c r="N229" s="84"/>
      <c r="O229" s="89"/>
      <c r="P229" s="66" t="s">
        <v>112</v>
      </c>
      <c r="Q229" s="22"/>
      <c r="R229" s="22"/>
      <c r="S229" s="22"/>
      <c r="T229" s="74"/>
      <c r="U229" s="6"/>
      <c r="V229" s="74"/>
    </row>
    <row r="230" ht="22.5" customHeight="1">
      <c r="A230" s="6"/>
      <c r="C230" s="6"/>
      <c r="D230" s="22"/>
      <c r="E230" s="20"/>
      <c r="F230" s="21"/>
      <c r="G230" s="21"/>
      <c r="H230" s="21"/>
      <c r="I230" s="35" t="b">
        <v>0</v>
      </c>
      <c r="J230" s="35" t="b">
        <v>0</v>
      </c>
      <c r="K230" s="35" t="b">
        <v>0</v>
      </c>
      <c r="L230" s="82" t="b">
        <v>0</v>
      </c>
      <c r="M230" s="83"/>
      <c r="N230" s="84"/>
      <c r="O230" s="89"/>
      <c r="P230" s="66" t="s">
        <v>112</v>
      </c>
      <c r="Q230" s="22"/>
      <c r="R230" s="22"/>
      <c r="S230" s="22"/>
      <c r="T230" s="74"/>
      <c r="U230" s="6"/>
      <c r="V230" s="74"/>
    </row>
    <row r="231" ht="22.5" customHeight="1">
      <c r="A231" s="6"/>
      <c r="C231" s="6"/>
      <c r="D231" s="22"/>
      <c r="E231" s="20"/>
      <c r="F231" s="21"/>
      <c r="G231" s="21"/>
      <c r="H231" s="21"/>
      <c r="I231" s="35" t="b">
        <v>0</v>
      </c>
      <c r="J231" s="35" t="b">
        <v>0</v>
      </c>
      <c r="K231" s="35" t="b">
        <v>0</v>
      </c>
      <c r="L231" s="82" t="b">
        <v>0</v>
      </c>
      <c r="M231" s="83"/>
      <c r="N231" s="84"/>
      <c r="O231" s="89"/>
      <c r="P231" s="66" t="s">
        <v>112</v>
      </c>
      <c r="Q231" s="22"/>
      <c r="R231" s="22"/>
      <c r="S231" s="22"/>
      <c r="T231" s="74"/>
      <c r="U231" s="6"/>
      <c r="V231" s="74"/>
    </row>
    <row r="232" ht="22.5" customHeight="1">
      <c r="A232" s="6"/>
      <c r="C232" s="6"/>
      <c r="D232" s="22"/>
      <c r="E232" s="20"/>
      <c r="F232" s="21"/>
      <c r="G232" s="21"/>
      <c r="H232" s="21"/>
      <c r="I232" s="35" t="b">
        <v>0</v>
      </c>
      <c r="J232" s="35" t="b">
        <v>0</v>
      </c>
      <c r="K232" s="35" t="b">
        <v>0</v>
      </c>
      <c r="L232" s="82" t="b">
        <v>0</v>
      </c>
      <c r="M232" s="83"/>
      <c r="N232" s="84"/>
      <c r="O232" s="89"/>
      <c r="P232" s="66" t="s">
        <v>112</v>
      </c>
      <c r="Q232" s="22"/>
      <c r="R232" s="22"/>
      <c r="S232" s="22"/>
      <c r="T232" s="74"/>
      <c r="U232" s="6"/>
      <c r="V232" s="74"/>
    </row>
    <row r="233" ht="22.5" customHeight="1">
      <c r="A233" s="6"/>
      <c r="C233" s="6"/>
      <c r="D233" s="22"/>
      <c r="E233" s="20"/>
      <c r="F233" s="21"/>
      <c r="G233" s="21"/>
      <c r="H233" s="21"/>
      <c r="I233" s="35" t="b">
        <v>0</v>
      </c>
      <c r="J233" s="35" t="b">
        <v>0</v>
      </c>
      <c r="K233" s="35" t="b">
        <v>0</v>
      </c>
      <c r="L233" s="82" t="b">
        <v>0</v>
      </c>
      <c r="M233" s="83"/>
      <c r="N233" s="84"/>
      <c r="O233" s="89"/>
      <c r="P233" s="66" t="s">
        <v>112</v>
      </c>
      <c r="Q233" s="22"/>
      <c r="R233" s="22"/>
      <c r="S233" s="22"/>
      <c r="T233" s="74"/>
      <c r="U233" s="6"/>
      <c r="V233" s="74"/>
    </row>
    <row r="234" ht="22.5" customHeight="1">
      <c r="A234" s="6"/>
      <c r="C234" s="6"/>
      <c r="D234" s="22"/>
      <c r="E234" s="20"/>
      <c r="F234" s="21"/>
      <c r="G234" s="21"/>
      <c r="H234" s="21"/>
      <c r="I234" s="35" t="b">
        <v>0</v>
      </c>
      <c r="J234" s="35" t="b">
        <v>0</v>
      </c>
      <c r="K234" s="35" t="b">
        <v>0</v>
      </c>
      <c r="L234" s="82" t="b">
        <v>0</v>
      </c>
      <c r="M234" s="83"/>
      <c r="N234" s="84"/>
      <c r="O234" s="89"/>
      <c r="P234" s="66" t="s">
        <v>112</v>
      </c>
      <c r="Q234" s="22"/>
      <c r="R234" s="22"/>
      <c r="S234" s="22"/>
      <c r="T234" s="74"/>
      <c r="U234" s="6"/>
      <c r="V234" s="74"/>
    </row>
    <row r="235" ht="22.5" customHeight="1">
      <c r="A235" s="6"/>
      <c r="C235" s="6"/>
      <c r="D235" s="22"/>
      <c r="E235" s="20"/>
      <c r="F235" s="21"/>
      <c r="G235" s="21"/>
      <c r="H235" s="21"/>
      <c r="I235" s="35" t="b">
        <v>0</v>
      </c>
      <c r="J235" s="35" t="b">
        <v>0</v>
      </c>
      <c r="K235" s="35" t="b">
        <v>0</v>
      </c>
      <c r="L235" s="82" t="b">
        <v>0</v>
      </c>
      <c r="M235" s="83"/>
      <c r="N235" s="84"/>
      <c r="O235" s="89"/>
      <c r="P235" s="66" t="s">
        <v>112</v>
      </c>
      <c r="Q235" s="22"/>
      <c r="R235" s="22"/>
      <c r="S235" s="22"/>
      <c r="T235" s="74"/>
      <c r="U235" s="6"/>
      <c r="V235" s="74"/>
    </row>
    <row r="236" ht="22.5" customHeight="1">
      <c r="A236" s="6"/>
      <c r="C236" s="6"/>
      <c r="D236" s="22"/>
      <c r="E236" s="20"/>
      <c r="F236" s="21"/>
      <c r="G236" s="21"/>
      <c r="H236" s="21"/>
      <c r="I236" s="35" t="b">
        <v>0</v>
      </c>
      <c r="J236" s="35" t="b">
        <v>0</v>
      </c>
      <c r="K236" s="35" t="b">
        <v>0</v>
      </c>
      <c r="L236" s="82" t="b">
        <v>0</v>
      </c>
      <c r="M236" s="83"/>
      <c r="N236" s="84"/>
      <c r="O236" s="89"/>
      <c r="P236" s="66" t="s">
        <v>112</v>
      </c>
      <c r="Q236" s="22"/>
      <c r="R236" s="22"/>
      <c r="S236" s="22"/>
      <c r="T236" s="74"/>
      <c r="U236" s="6"/>
      <c r="V236" s="74"/>
    </row>
    <row r="237" ht="22.5" customHeight="1">
      <c r="A237" s="6"/>
      <c r="C237" s="6"/>
      <c r="D237" s="22"/>
      <c r="E237" s="20"/>
      <c r="F237" s="21"/>
      <c r="G237" s="21"/>
      <c r="H237" s="21"/>
      <c r="I237" s="35" t="b">
        <v>0</v>
      </c>
      <c r="J237" s="35" t="b">
        <v>0</v>
      </c>
      <c r="K237" s="35" t="b">
        <v>0</v>
      </c>
      <c r="L237" s="82" t="b">
        <v>0</v>
      </c>
      <c r="M237" s="83"/>
      <c r="N237" s="84"/>
      <c r="O237" s="89"/>
      <c r="P237" s="66" t="s">
        <v>112</v>
      </c>
      <c r="Q237" s="22"/>
      <c r="R237" s="22"/>
      <c r="S237" s="22"/>
      <c r="T237" s="74"/>
      <c r="U237" s="6"/>
      <c r="V237" s="74"/>
    </row>
    <row r="238" ht="22.5" customHeight="1">
      <c r="A238" s="6"/>
      <c r="C238" s="6"/>
      <c r="D238" s="22"/>
      <c r="E238" s="20"/>
      <c r="F238" s="21"/>
      <c r="G238" s="21"/>
      <c r="H238" s="21"/>
      <c r="I238" s="35" t="b">
        <v>0</v>
      </c>
      <c r="J238" s="35" t="b">
        <v>0</v>
      </c>
      <c r="K238" s="35" t="b">
        <v>0</v>
      </c>
      <c r="L238" s="82" t="b">
        <v>0</v>
      </c>
      <c r="M238" s="83"/>
      <c r="N238" s="84"/>
      <c r="O238" s="89"/>
      <c r="P238" s="66" t="s">
        <v>112</v>
      </c>
      <c r="Q238" s="22"/>
      <c r="R238" s="22"/>
      <c r="S238" s="22"/>
      <c r="T238" s="74"/>
      <c r="U238" s="6"/>
      <c r="V238" s="74"/>
    </row>
    <row r="239" ht="22.5" customHeight="1">
      <c r="A239" s="6"/>
      <c r="C239" s="6"/>
      <c r="D239" s="22"/>
      <c r="E239" s="20"/>
      <c r="F239" s="21"/>
      <c r="G239" s="21"/>
      <c r="H239" s="21"/>
      <c r="I239" s="35" t="b">
        <v>0</v>
      </c>
      <c r="J239" s="35" t="b">
        <v>0</v>
      </c>
      <c r="K239" s="35" t="b">
        <v>0</v>
      </c>
      <c r="L239" s="82" t="b">
        <v>0</v>
      </c>
      <c r="M239" s="83"/>
      <c r="N239" s="84"/>
      <c r="O239" s="89"/>
      <c r="P239" s="66" t="s">
        <v>112</v>
      </c>
      <c r="Q239" s="22"/>
      <c r="R239" s="22"/>
      <c r="S239" s="22"/>
      <c r="T239" s="74"/>
      <c r="U239" s="6"/>
      <c r="V239" s="74"/>
    </row>
    <row r="240" ht="22.5" customHeight="1">
      <c r="A240" s="6"/>
      <c r="C240" s="6"/>
      <c r="D240" s="22"/>
      <c r="E240" s="20"/>
      <c r="F240" s="21"/>
      <c r="G240" s="21"/>
      <c r="H240" s="21"/>
      <c r="I240" s="35" t="b">
        <v>0</v>
      </c>
      <c r="J240" s="35" t="b">
        <v>0</v>
      </c>
      <c r="K240" s="35" t="b">
        <v>0</v>
      </c>
      <c r="L240" s="82" t="b">
        <v>0</v>
      </c>
      <c r="M240" s="83"/>
      <c r="N240" s="84"/>
      <c r="O240" s="89"/>
      <c r="P240" s="66" t="s">
        <v>112</v>
      </c>
      <c r="Q240" s="22"/>
      <c r="R240" s="22"/>
      <c r="S240" s="22"/>
      <c r="T240" s="74"/>
      <c r="U240" s="6"/>
      <c r="V240" s="74"/>
    </row>
    <row r="241" ht="22.5" customHeight="1">
      <c r="A241" s="6"/>
      <c r="C241" s="6"/>
      <c r="D241" s="22"/>
      <c r="E241" s="20"/>
      <c r="F241" s="21"/>
      <c r="G241" s="21"/>
      <c r="H241" s="21"/>
      <c r="I241" s="35" t="b">
        <v>0</v>
      </c>
      <c r="J241" s="35" t="b">
        <v>0</v>
      </c>
      <c r="K241" s="35" t="b">
        <v>0</v>
      </c>
      <c r="L241" s="82" t="b">
        <v>0</v>
      </c>
      <c r="M241" s="83"/>
      <c r="N241" s="84"/>
      <c r="O241" s="89"/>
      <c r="P241" s="66" t="s">
        <v>112</v>
      </c>
      <c r="Q241" s="22"/>
      <c r="R241" s="22"/>
      <c r="S241" s="22"/>
      <c r="T241" s="74"/>
      <c r="U241" s="6"/>
      <c r="V241" s="74"/>
    </row>
    <row r="242" ht="22.5" customHeight="1">
      <c r="A242" s="6"/>
      <c r="C242" s="6"/>
      <c r="D242" s="22"/>
      <c r="E242" s="20"/>
      <c r="F242" s="21"/>
      <c r="G242" s="21"/>
      <c r="H242" s="21"/>
      <c r="I242" s="35" t="b">
        <v>0</v>
      </c>
      <c r="J242" s="35" t="b">
        <v>0</v>
      </c>
      <c r="K242" s="35" t="b">
        <v>0</v>
      </c>
      <c r="L242" s="82" t="b">
        <v>0</v>
      </c>
      <c r="M242" s="83"/>
      <c r="N242" s="84"/>
      <c r="O242" s="89"/>
      <c r="P242" s="66" t="s">
        <v>112</v>
      </c>
      <c r="Q242" s="22"/>
      <c r="R242" s="22"/>
      <c r="S242" s="22"/>
      <c r="T242" s="74"/>
      <c r="U242" s="6"/>
      <c r="V242" s="74"/>
    </row>
    <row r="243" ht="22.5" customHeight="1">
      <c r="A243" s="6"/>
      <c r="C243" s="6"/>
      <c r="D243" s="22"/>
      <c r="E243" s="20"/>
      <c r="F243" s="21"/>
      <c r="G243" s="21"/>
      <c r="H243" s="21"/>
      <c r="I243" s="35" t="b">
        <v>0</v>
      </c>
      <c r="J243" s="35" t="b">
        <v>0</v>
      </c>
      <c r="K243" s="35" t="b">
        <v>0</v>
      </c>
      <c r="L243" s="82" t="b">
        <v>0</v>
      </c>
      <c r="M243" s="83"/>
      <c r="N243" s="84"/>
      <c r="O243" s="89"/>
      <c r="P243" s="66" t="s">
        <v>112</v>
      </c>
      <c r="Q243" s="22"/>
      <c r="R243" s="22"/>
      <c r="S243" s="22"/>
      <c r="T243" s="74"/>
      <c r="U243" s="6"/>
      <c r="V243" s="74"/>
    </row>
    <row r="244" ht="22.5" customHeight="1">
      <c r="A244" s="6"/>
      <c r="C244" s="6"/>
      <c r="D244" s="22"/>
      <c r="E244" s="20"/>
      <c r="F244" s="21"/>
      <c r="G244" s="21"/>
      <c r="H244" s="21"/>
      <c r="I244" s="35" t="b">
        <v>0</v>
      </c>
      <c r="J244" s="35" t="b">
        <v>0</v>
      </c>
      <c r="K244" s="35" t="b">
        <v>0</v>
      </c>
      <c r="L244" s="82" t="b">
        <v>0</v>
      </c>
      <c r="M244" s="83"/>
      <c r="N244" s="84"/>
      <c r="O244" s="89"/>
      <c r="P244" s="66" t="s">
        <v>112</v>
      </c>
      <c r="Q244" s="22"/>
      <c r="R244" s="22"/>
      <c r="S244" s="22"/>
      <c r="T244" s="74"/>
      <c r="U244" s="6"/>
      <c r="V244" s="74"/>
    </row>
    <row r="245" ht="22.5" customHeight="1">
      <c r="A245" s="6"/>
      <c r="C245" s="6"/>
      <c r="D245" s="22"/>
      <c r="E245" s="20"/>
      <c r="F245" s="21"/>
      <c r="G245" s="21"/>
      <c r="H245" s="21"/>
      <c r="I245" s="35" t="b">
        <v>0</v>
      </c>
      <c r="J245" s="35" t="b">
        <v>0</v>
      </c>
      <c r="K245" s="35" t="b">
        <v>0</v>
      </c>
      <c r="L245" s="82" t="b">
        <v>0</v>
      </c>
      <c r="M245" s="83"/>
      <c r="N245" s="84"/>
      <c r="O245" s="89"/>
      <c r="P245" s="66" t="s">
        <v>112</v>
      </c>
      <c r="Q245" s="22"/>
      <c r="R245" s="22"/>
      <c r="S245" s="22"/>
      <c r="T245" s="74"/>
      <c r="U245" s="6"/>
      <c r="V245" s="74"/>
    </row>
    <row r="246" ht="22.5" customHeight="1">
      <c r="A246" s="6"/>
      <c r="C246" s="6"/>
      <c r="D246" s="22"/>
      <c r="E246" s="20"/>
      <c r="F246" s="21"/>
      <c r="G246" s="21"/>
      <c r="H246" s="21"/>
      <c r="I246" s="35" t="b">
        <v>0</v>
      </c>
      <c r="J246" s="35" t="b">
        <v>0</v>
      </c>
      <c r="K246" s="35" t="b">
        <v>0</v>
      </c>
      <c r="L246" s="82" t="b">
        <v>0</v>
      </c>
      <c r="M246" s="83"/>
      <c r="N246" s="84"/>
      <c r="O246" s="89"/>
      <c r="P246" s="66" t="s">
        <v>112</v>
      </c>
      <c r="Q246" s="22"/>
      <c r="R246" s="22"/>
      <c r="S246" s="22"/>
      <c r="T246" s="74"/>
      <c r="U246" s="6"/>
      <c r="V246" s="74"/>
    </row>
    <row r="247" ht="22.5" customHeight="1">
      <c r="A247" s="6"/>
      <c r="C247" s="6"/>
      <c r="D247" s="22"/>
      <c r="E247" s="20"/>
      <c r="F247" s="21"/>
      <c r="G247" s="21"/>
      <c r="H247" s="21"/>
      <c r="I247" s="35" t="b">
        <v>0</v>
      </c>
      <c r="J247" s="35" t="b">
        <v>0</v>
      </c>
      <c r="K247" s="35" t="b">
        <v>0</v>
      </c>
      <c r="L247" s="82" t="b">
        <v>0</v>
      </c>
      <c r="M247" s="83"/>
      <c r="N247" s="84"/>
      <c r="O247" s="89"/>
      <c r="P247" s="66" t="s">
        <v>112</v>
      </c>
      <c r="Q247" s="22"/>
      <c r="R247" s="22"/>
      <c r="S247" s="22"/>
      <c r="T247" s="74"/>
      <c r="U247" s="6"/>
      <c r="V247" s="74"/>
    </row>
    <row r="248" ht="22.5" customHeight="1">
      <c r="A248" s="6"/>
      <c r="C248" s="6"/>
      <c r="D248" s="22"/>
      <c r="E248" s="20"/>
      <c r="F248" s="21"/>
      <c r="G248" s="21"/>
      <c r="H248" s="21"/>
      <c r="I248" s="35" t="b">
        <v>0</v>
      </c>
      <c r="J248" s="35" t="b">
        <v>0</v>
      </c>
      <c r="K248" s="35" t="b">
        <v>0</v>
      </c>
      <c r="L248" s="82" t="b">
        <v>0</v>
      </c>
      <c r="M248" s="83"/>
      <c r="N248" s="84"/>
      <c r="O248" s="89"/>
      <c r="P248" s="66" t="s">
        <v>112</v>
      </c>
      <c r="Q248" s="22"/>
      <c r="R248" s="22"/>
      <c r="S248" s="22"/>
      <c r="T248" s="74"/>
      <c r="U248" s="6"/>
      <c r="V248" s="74"/>
    </row>
    <row r="249" ht="22.5" customHeight="1">
      <c r="A249" s="6"/>
      <c r="C249" s="6"/>
      <c r="D249" s="22"/>
      <c r="E249" s="20"/>
      <c r="F249" s="21"/>
      <c r="G249" s="21"/>
      <c r="H249" s="21"/>
      <c r="I249" s="35" t="b">
        <v>0</v>
      </c>
      <c r="J249" s="35" t="b">
        <v>0</v>
      </c>
      <c r="K249" s="35" t="b">
        <v>0</v>
      </c>
      <c r="L249" s="82" t="b">
        <v>0</v>
      </c>
      <c r="M249" s="83"/>
      <c r="N249" s="84"/>
      <c r="O249" s="89"/>
      <c r="P249" s="66" t="s">
        <v>112</v>
      </c>
      <c r="Q249" s="22"/>
      <c r="R249" s="22"/>
      <c r="S249" s="22"/>
      <c r="T249" s="74"/>
      <c r="U249" s="6"/>
      <c r="V249" s="74"/>
    </row>
    <row r="250" ht="22.5" customHeight="1">
      <c r="A250" s="6"/>
      <c r="C250" s="6"/>
      <c r="D250" s="22"/>
      <c r="E250" s="20"/>
      <c r="F250" s="21"/>
      <c r="G250" s="21"/>
      <c r="H250" s="21"/>
      <c r="I250" s="35" t="b">
        <v>0</v>
      </c>
      <c r="J250" s="35" t="b">
        <v>0</v>
      </c>
      <c r="K250" s="35" t="b">
        <v>0</v>
      </c>
      <c r="L250" s="82" t="b">
        <v>0</v>
      </c>
      <c r="M250" s="83"/>
      <c r="N250" s="84"/>
      <c r="O250" s="89"/>
      <c r="P250" s="66" t="s">
        <v>112</v>
      </c>
      <c r="Q250" s="22"/>
      <c r="R250" s="22"/>
      <c r="S250" s="22"/>
      <c r="T250" s="74"/>
      <c r="U250" s="6"/>
      <c r="V250" s="74"/>
    </row>
    <row r="251" ht="22.5" customHeight="1">
      <c r="A251" s="6"/>
      <c r="C251" s="6"/>
      <c r="D251" s="22"/>
      <c r="E251" s="20"/>
      <c r="F251" s="21"/>
      <c r="G251" s="21"/>
      <c r="H251" s="21"/>
      <c r="I251" s="35" t="b">
        <v>0</v>
      </c>
      <c r="J251" s="35" t="b">
        <v>0</v>
      </c>
      <c r="K251" s="35" t="b">
        <v>0</v>
      </c>
      <c r="L251" s="82" t="b">
        <v>0</v>
      </c>
      <c r="M251" s="83"/>
      <c r="N251" s="84"/>
      <c r="O251" s="89"/>
      <c r="P251" s="66" t="s">
        <v>112</v>
      </c>
      <c r="Q251" s="22"/>
      <c r="R251" s="22"/>
      <c r="S251" s="22"/>
      <c r="T251" s="74"/>
      <c r="U251" s="6"/>
      <c r="V251" s="74"/>
    </row>
    <row r="252" ht="22.5" customHeight="1">
      <c r="A252" s="6"/>
      <c r="C252" s="6"/>
      <c r="D252" s="22"/>
      <c r="E252" s="20"/>
      <c r="F252" s="21"/>
      <c r="G252" s="21"/>
      <c r="H252" s="21"/>
      <c r="I252" s="35" t="b">
        <v>0</v>
      </c>
      <c r="J252" s="35" t="b">
        <v>0</v>
      </c>
      <c r="K252" s="35" t="b">
        <v>0</v>
      </c>
      <c r="L252" s="82" t="b">
        <v>0</v>
      </c>
      <c r="M252" s="83"/>
      <c r="N252" s="84"/>
      <c r="O252" s="89"/>
      <c r="P252" s="66" t="s">
        <v>112</v>
      </c>
      <c r="Q252" s="22"/>
      <c r="R252" s="22"/>
      <c r="S252" s="22"/>
      <c r="T252" s="74"/>
      <c r="U252" s="6"/>
      <c r="V252" s="74"/>
    </row>
    <row r="253" ht="22.5" customHeight="1">
      <c r="A253" s="6"/>
      <c r="C253" s="6"/>
      <c r="D253" s="22"/>
      <c r="E253" s="20"/>
      <c r="F253" s="21"/>
      <c r="G253" s="21"/>
      <c r="H253" s="21"/>
      <c r="I253" s="35" t="b">
        <v>0</v>
      </c>
      <c r="J253" s="35" t="b">
        <v>0</v>
      </c>
      <c r="K253" s="35" t="b">
        <v>0</v>
      </c>
      <c r="L253" s="82" t="b">
        <v>0</v>
      </c>
      <c r="M253" s="83"/>
      <c r="N253" s="84"/>
      <c r="O253" s="89"/>
      <c r="P253" s="66" t="s">
        <v>112</v>
      </c>
      <c r="Q253" s="22"/>
      <c r="R253" s="22"/>
      <c r="S253" s="22"/>
      <c r="T253" s="74"/>
      <c r="U253" s="6"/>
      <c r="V253" s="74"/>
    </row>
    <row r="254" ht="22.5" customHeight="1">
      <c r="A254" s="6"/>
      <c r="C254" s="6"/>
      <c r="D254" s="22"/>
      <c r="E254" s="20"/>
      <c r="F254" s="21"/>
      <c r="G254" s="21"/>
      <c r="H254" s="21"/>
      <c r="I254" s="35" t="b">
        <v>0</v>
      </c>
      <c r="J254" s="35" t="b">
        <v>0</v>
      </c>
      <c r="K254" s="35" t="b">
        <v>0</v>
      </c>
      <c r="L254" s="82" t="b">
        <v>0</v>
      </c>
      <c r="M254" s="83"/>
      <c r="N254" s="84"/>
      <c r="O254" s="89"/>
      <c r="P254" s="66" t="s">
        <v>112</v>
      </c>
      <c r="Q254" s="22"/>
      <c r="R254" s="22"/>
      <c r="S254" s="22"/>
      <c r="T254" s="74"/>
      <c r="U254" s="6"/>
      <c r="V254" s="74"/>
    </row>
    <row r="255" ht="22.5" customHeight="1">
      <c r="A255" s="6"/>
      <c r="C255" s="6"/>
      <c r="D255" s="22"/>
      <c r="E255" s="20"/>
      <c r="F255" s="21"/>
      <c r="G255" s="21"/>
      <c r="H255" s="21"/>
      <c r="I255" s="35" t="b">
        <v>0</v>
      </c>
      <c r="J255" s="35" t="b">
        <v>0</v>
      </c>
      <c r="K255" s="35" t="b">
        <v>0</v>
      </c>
      <c r="L255" s="82" t="b">
        <v>0</v>
      </c>
      <c r="M255" s="83"/>
      <c r="N255" s="84"/>
      <c r="O255" s="89"/>
      <c r="P255" s="66" t="s">
        <v>112</v>
      </c>
      <c r="Q255" s="22"/>
      <c r="R255" s="22"/>
      <c r="S255" s="22"/>
      <c r="T255" s="74"/>
      <c r="U255" s="6"/>
      <c r="V255" s="74"/>
    </row>
    <row r="256" ht="22.5" customHeight="1">
      <c r="A256" s="6"/>
      <c r="C256" s="6"/>
      <c r="D256" s="22"/>
      <c r="E256" s="20"/>
      <c r="F256" s="21"/>
      <c r="G256" s="21"/>
      <c r="H256" s="21"/>
      <c r="I256" s="35" t="b">
        <v>0</v>
      </c>
      <c r="J256" s="35" t="b">
        <v>0</v>
      </c>
      <c r="K256" s="35" t="b">
        <v>0</v>
      </c>
      <c r="L256" s="82" t="b">
        <v>0</v>
      </c>
      <c r="M256" s="83"/>
      <c r="N256" s="84"/>
      <c r="O256" s="89"/>
      <c r="P256" s="66" t="s">
        <v>112</v>
      </c>
      <c r="Q256" s="22"/>
      <c r="R256" s="22"/>
      <c r="S256" s="22"/>
      <c r="T256" s="74"/>
      <c r="U256" s="6"/>
      <c r="V256" s="74"/>
    </row>
    <row r="257" ht="22.5" customHeight="1">
      <c r="A257" s="6"/>
      <c r="C257" s="6"/>
      <c r="D257" s="22"/>
      <c r="E257" s="20"/>
      <c r="F257" s="21"/>
      <c r="G257" s="21"/>
      <c r="H257" s="21"/>
      <c r="I257" s="35" t="b">
        <v>0</v>
      </c>
      <c r="J257" s="35" t="b">
        <v>0</v>
      </c>
      <c r="K257" s="35" t="b">
        <v>0</v>
      </c>
      <c r="L257" s="82" t="b">
        <v>0</v>
      </c>
      <c r="M257" s="83"/>
      <c r="N257" s="84"/>
      <c r="O257" s="89"/>
      <c r="P257" s="66" t="s">
        <v>112</v>
      </c>
      <c r="Q257" s="22"/>
      <c r="R257" s="22"/>
      <c r="S257" s="22"/>
      <c r="T257" s="74"/>
      <c r="U257" s="6"/>
      <c r="V257" s="74"/>
    </row>
    <row r="258" ht="22.5" customHeight="1">
      <c r="A258" s="6"/>
      <c r="C258" s="6"/>
      <c r="D258" s="22"/>
      <c r="E258" s="20"/>
      <c r="F258" s="21"/>
      <c r="G258" s="21"/>
      <c r="H258" s="21"/>
      <c r="I258" s="35" t="b">
        <v>0</v>
      </c>
      <c r="J258" s="35" t="b">
        <v>0</v>
      </c>
      <c r="K258" s="35" t="b">
        <v>0</v>
      </c>
      <c r="L258" s="82" t="b">
        <v>0</v>
      </c>
      <c r="M258" s="83"/>
      <c r="N258" s="84"/>
      <c r="O258" s="89"/>
      <c r="P258" s="66" t="s">
        <v>112</v>
      </c>
      <c r="Q258" s="22"/>
      <c r="R258" s="22"/>
      <c r="S258" s="22"/>
      <c r="T258" s="74"/>
      <c r="U258" s="6"/>
      <c r="V258" s="74"/>
    </row>
    <row r="259" ht="22.5" customHeight="1">
      <c r="A259" s="6"/>
      <c r="C259" s="6"/>
      <c r="D259" s="22"/>
      <c r="E259" s="20"/>
      <c r="F259" s="21"/>
      <c r="G259" s="21"/>
      <c r="H259" s="21"/>
      <c r="I259" s="35" t="b">
        <v>0</v>
      </c>
      <c r="J259" s="35" t="b">
        <v>0</v>
      </c>
      <c r="K259" s="35" t="b">
        <v>0</v>
      </c>
      <c r="L259" s="82" t="b">
        <v>0</v>
      </c>
      <c r="M259" s="83"/>
      <c r="N259" s="84"/>
      <c r="O259" s="89"/>
      <c r="P259" s="66" t="s">
        <v>112</v>
      </c>
      <c r="Q259" s="22"/>
      <c r="R259" s="22"/>
      <c r="S259" s="22"/>
      <c r="T259" s="74"/>
      <c r="U259" s="6"/>
      <c r="V259" s="74"/>
    </row>
    <row r="260" ht="22.5" customHeight="1">
      <c r="A260" s="6"/>
      <c r="C260" s="6"/>
      <c r="D260" s="22"/>
      <c r="E260" s="20"/>
      <c r="F260" s="21"/>
      <c r="G260" s="21"/>
      <c r="H260" s="21"/>
      <c r="I260" s="35" t="b">
        <v>0</v>
      </c>
      <c r="J260" s="35" t="b">
        <v>0</v>
      </c>
      <c r="K260" s="35" t="b">
        <v>0</v>
      </c>
      <c r="L260" s="82" t="b">
        <v>0</v>
      </c>
      <c r="M260" s="83"/>
      <c r="N260" s="84"/>
      <c r="O260" s="89"/>
      <c r="P260" s="66" t="s">
        <v>112</v>
      </c>
      <c r="Q260" s="22"/>
      <c r="R260" s="22"/>
      <c r="S260" s="22"/>
      <c r="T260" s="74"/>
      <c r="U260" s="6"/>
      <c r="V260" s="74"/>
    </row>
    <row r="261" ht="22.5" customHeight="1">
      <c r="A261" s="6"/>
      <c r="C261" s="6"/>
      <c r="D261" s="22"/>
      <c r="E261" s="20"/>
      <c r="F261" s="21"/>
      <c r="G261" s="21"/>
      <c r="H261" s="21"/>
      <c r="I261" s="35" t="b">
        <v>0</v>
      </c>
      <c r="J261" s="35" t="b">
        <v>0</v>
      </c>
      <c r="K261" s="35" t="b">
        <v>0</v>
      </c>
      <c r="L261" s="82" t="b">
        <v>0</v>
      </c>
      <c r="M261" s="83"/>
      <c r="N261" s="84"/>
      <c r="O261" s="89"/>
      <c r="P261" s="66" t="s">
        <v>112</v>
      </c>
      <c r="Q261" s="22"/>
      <c r="R261" s="22"/>
      <c r="S261" s="22"/>
      <c r="T261" s="74"/>
      <c r="U261" s="6"/>
      <c r="V261" s="74"/>
    </row>
    <row r="262" ht="22.5" customHeight="1">
      <c r="A262" s="6"/>
      <c r="C262" s="6"/>
      <c r="D262" s="22"/>
      <c r="E262" s="20"/>
      <c r="F262" s="21"/>
      <c r="G262" s="21"/>
      <c r="H262" s="21"/>
      <c r="I262" s="35" t="b">
        <v>0</v>
      </c>
      <c r="J262" s="35" t="b">
        <v>0</v>
      </c>
      <c r="K262" s="35" t="b">
        <v>0</v>
      </c>
      <c r="L262" s="82" t="b">
        <v>0</v>
      </c>
      <c r="M262" s="83"/>
      <c r="N262" s="84"/>
      <c r="O262" s="89"/>
      <c r="P262" s="66" t="s">
        <v>112</v>
      </c>
      <c r="Q262" s="22"/>
      <c r="R262" s="22"/>
      <c r="S262" s="22"/>
      <c r="T262" s="74"/>
      <c r="U262" s="6"/>
      <c r="V262" s="74"/>
    </row>
    <row r="263" ht="22.5" customHeight="1">
      <c r="A263" s="6"/>
      <c r="C263" s="6"/>
      <c r="D263" s="22"/>
      <c r="E263" s="20"/>
      <c r="F263" s="21"/>
      <c r="G263" s="21"/>
      <c r="H263" s="21"/>
      <c r="I263" s="35" t="b">
        <v>0</v>
      </c>
      <c r="J263" s="35" t="b">
        <v>0</v>
      </c>
      <c r="K263" s="35" t="b">
        <v>0</v>
      </c>
      <c r="L263" s="82" t="b">
        <v>0</v>
      </c>
      <c r="M263" s="83"/>
      <c r="N263" s="84"/>
      <c r="O263" s="89"/>
      <c r="P263" s="66" t="s">
        <v>112</v>
      </c>
      <c r="Q263" s="22"/>
      <c r="R263" s="22"/>
      <c r="S263" s="22"/>
      <c r="T263" s="74"/>
      <c r="U263" s="6"/>
      <c r="V263" s="74"/>
    </row>
    <row r="264" ht="22.5" customHeight="1">
      <c r="A264" s="6"/>
      <c r="C264" s="6"/>
      <c r="D264" s="22"/>
      <c r="E264" s="20"/>
      <c r="F264" s="21"/>
      <c r="G264" s="21"/>
      <c r="H264" s="21"/>
      <c r="I264" s="35" t="b">
        <v>0</v>
      </c>
      <c r="J264" s="35" t="b">
        <v>0</v>
      </c>
      <c r="K264" s="35" t="b">
        <v>0</v>
      </c>
      <c r="L264" s="82" t="b">
        <v>0</v>
      </c>
      <c r="M264" s="83"/>
      <c r="N264" s="84"/>
      <c r="O264" s="89"/>
      <c r="P264" s="66" t="s">
        <v>112</v>
      </c>
      <c r="Q264" s="22"/>
      <c r="R264" s="22"/>
      <c r="S264" s="22"/>
      <c r="T264" s="74"/>
      <c r="U264" s="6"/>
      <c r="V264" s="74"/>
    </row>
    <row r="265" ht="22.5" customHeight="1">
      <c r="A265" s="6"/>
      <c r="C265" s="6"/>
      <c r="D265" s="22"/>
      <c r="E265" s="20"/>
      <c r="F265" s="21"/>
      <c r="G265" s="21"/>
      <c r="H265" s="21"/>
      <c r="I265" s="35" t="b">
        <v>0</v>
      </c>
      <c r="J265" s="35" t="b">
        <v>0</v>
      </c>
      <c r="K265" s="35" t="b">
        <v>0</v>
      </c>
      <c r="L265" s="82" t="b">
        <v>0</v>
      </c>
      <c r="M265" s="83"/>
      <c r="N265" s="84"/>
      <c r="O265" s="89"/>
      <c r="P265" s="66" t="s">
        <v>112</v>
      </c>
      <c r="Q265" s="22"/>
      <c r="R265" s="22"/>
      <c r="S265" s="22"/>
      <c r="T265" s="74"/>
      <c r="U265" s="6"/>
      <c r="V265" s="74"/>
    </row>
    <row r="266" ht="22.5" customHeight="1">
      <c r="A266" s="6"/>
      <c r="C266" s="6"/>
      <c r="D266" s="22"/>
      <c r="E266" s="20"/>
      <c r="F266" s="21"/>
      <c r="G266" s="21"/>
      <c r="H266" s="21"/>
      <c r="I266" s="35" t="b">
        <v>0</v>
      </c>
      <c r="J266" s="35" t="b">
        <v>0</v>
      </c>
      <c r="K266" s="35" t="b">
        <v>0</v>
      </c>
      <c r="L266" s="82" t="b">
        <v>0</v>
      </c>
      <c r="M266" s="83"/>
      <c r="N266" s="84"/>
      <c r="O266" s="89"/>
      <c r="P266" s="66" t="s">
        <v>112</v>
      </c>
      <c r="Q266" s="22"/>
      <c r="R266" s="22"/>
      <c r="S266" s="22"/>
      <c r="T266" s="74"/>
      <c r="U266" s="6"/>
      <c r="V266" s="74"/>
    </row>
    <row r="267" ht="22.5" customHeight="1">
      <c r="A267" s="6"/>
      <c r="C267" s="6"/>
      <c r="D267" s="22"/>
      <c r="E267" s="20"/>
      <c r="F267" s="21"/>
      <c r="G267" s="21"/>
      <c r="H267" s="21"/>
      <c r="I267" s="35" t="b">
        <v>0</v>
      </c>
      <c r="J267" s="35" t="b">
        <v>0</v>
      </c>
      <c r="K267" s="35" t="b">
        <v>0</v>
      </c>
      <c r="L267" s="82" t="b">
        <v>0</v>
      </c>
      <c r="M267" s="83"/>
      <c r="N267" s="84"/>
      <c r="O267" s="89"/>
      <c r="P267" s="66" t="s">
        <v>112</v>
      </c>
      <c r="Q267" s="22"/>
      <c r="R267" s="22"/>
      <c r="S267" s="22"/>
      <c r="T267" s="74"/>
      <c r="U267" s="6"/>
      <c r="V267" s="74"/>
    </row>
    <row r="268" ht="22.5" customHeight="1">
      <c r="A268" s="6"/>
      <c r="C268" s="6"/>
      <c r="D268" s="22"/>
      <c r="E268" s="20"/>
      <c r="F268" s="21"/>
      <c r="G268" s="21"/>
      <c r="H268" s="21"/>
      <c r="I268" s="35" t="b">
        <v>0</v>
      </c>
      <c r="J268" s="35" t="b">
        <v>0</v>
      </c>
      <c r="K268" s="35" t="b">
        <v>0</v>
      </c>
      <c r="L268" s="82" t="b">
        <v>0</v>
      </c>
      <c r="M268" s="83"/>
      <c r="N268" s="84"/>
      <c r="O268" s="89"/>
      <c r="P268" s="66" t="s">
        <v>112</v>
      </c>
      <c r="Q268" s="22"/>
      <c r="R268" s="22"/>
      <c r="S268" s="22"/>
      <c r="T268" s="74"/>
      <c r="U268" s="6"/>
      <c r="V268" s="74"/>
    </row>
    <row r="269" ht="22.5" customHeight="1">
      <c r="A269" s="6"/>
      <c r="C269" s="6"/>
      <c r="D269" s="22"/>
      <c r="E269" s="20"/>
      <c r="F269" s="21"/>
      <c r="G269" s="21"/>
      <c r="H269" s="21"/>
      <c r="I269" s="35" t="b">
        <v>0</v>
      </c>
      <c r="J269" s="35" t="b">
        <v>0</v>
      </c>
      <c r="K269" s="35" t="b">
        <v>0</v>
      </c>
      <c r="L269" s="82" t="b">
        <v>0</v>
      </c>
      <c r="M269" s="83"/>
      <c r="N269" s="84"/>
      <c r="O269" s="89"/>
      <c r="P269" s="66" t="s">
        <v>112</v>
      </c>
      <c r="Q269" s="22"/>
      <c r="R269" s="22"/>
      <c r="S269" s="22"/>
      <c r="T269" s="74"/>
      <c r="U269" s="6"/>
      <c r="V269" s="74"/>
    </row>
    <row r="270" ht="22.5" customHeight="1">
      <c r="A270" s="6"/>
      <c r="C270" s="6"/>
      <c r="D270" s="22"/>
      <c r="E270" s="20"/>
      <c r="F270" s="21"/>
      <c r="G270" s="21"/>
      <c r="H270" s="21"/>
      <c r="I270" s="35" t="b">
        <v>0</v>
      </c>
      <c r="J270" s="35" t="b">
        <v>0</v>
      </c>
      <c r="K270" s="35" t="b">
        <v>0</v>
      </c>
      <c r="L270" s="82" t="b">
        <v>0</v>
      </c>
      <c r="M270" s="83"/>
      <c r="N270" s="84"/>
      <c r="O270" s="89"/>
      <c r="P270" s="66" t="s">
        <v>112</v>
      </c>
      <c r="Q270" s="22"/>
      <c r="R270" s="22"/>
      <c r="S270" s="22"/>
      <c r="T270" s="74"/>
      <c r="U270" s="6"/>
      <c r="V270" s="74"/>
    </row>
    <row r="271" ht="22.5" customHeight="1">
      <c r="A271" s="6"/>
      <c r="C271" s="6"/>
      <c r="D271" s="22"/>
      <c r="E271" s="20"/>
      <c r="F271" s="21"/>
      <c r="G271" s="21"/>
      <c r="H271" s="21"/>
      <c r="I271" s="35" t="b">
        <v>0</v>
      </c>
      <c r="J271" s="35" t="b">
        <v>0</v>
      </c>
      <c r="K271" s="35" t="b">
        <v>0</v>
      </c>
      <c r="L271" s="82" t="b">
        <v>0</v>
      </c>
      <c r="M271" s="83"/>
      <c r="N271" s="84"/>
      <c r="O271" s="89"/>
      <c r="P271" s="66" t="s">
        <v>112</v>
      </c>
      <c r="Q271" s="22"/>
      <c r="R271" s="22"/>
      <c r="S271" s="22"/>
      <c r="T271" s="74"/>
      <c r="U271" s="6"/>
      <c r="V271" s="74"/>
    </row>
    <row r="272" ht="22.5" customHeight="1">
      <c r="A272" s="6"/>
      <c r="C272" s="6"/>
      <c r="D272" s="22"/>
      <c r="E272" s="20"/>
      <c r="F272" s="21"/>
      <c r="G272" s="21"/>
      <c r="H272" s="21"/>
      <c r="I272" s="35" t="b">
        <v>0</v>
      </c>
      <c r="J272" s="35" t="b">
        <v>0</v>
      </c>
      <c r="K272" s="35" t="b">
        <v>0</v>
      </c>
      <c r="L272" s="82" t="b">
        <v>0</v>
      </c>
      <c r="M272" s="83"/>
      <c r="N272" s="84"/>
      <c r="O272" s="89"/>
      <c r="P272" s="66" t="s">
        <v>112</v>
      </c>
      <c r="Q272" s="22"/>
      <c r="R272" s="22"/>
      <c r="S272" s="22"/>
      <c r="T272" s="74"/>
      <c r="U272" s="6"/>
      <c r="V272" s="74"/>
    </row>
    <row r="273" ht="22.5" customHeight="1">
      <c r="A273" s="6"/>
      <c r="C273" s="6"/>
      <c r="D273" s="22"/>
      <c r="E273" s="20"/>
      <c r="F273" s="21"/>
      <c r="G273" s="21"/>
      <c r="H273" s="21"/>
      <c r="I273" s="35" t="b">
        <v>0</v>
      </c>
      <c r="J273" s="35" t="b">
        <v>0</v>
      </c>
      <c r="K273" s="35" t="b">
        <v>0</v>
      </c>
      <c r="L273" s="82" t="b">
        <v>0</v>
      </c>
      <c r="M273" s="83"/>
      <c r="N273" s="84"/>
      <c r="O273" s="89"/>
      <c r="P273" s="66" t="s">
        <v>112</v>
      </c>
      <c r="Q273" s="22"/>
      <c r="R273" s="22"/>
      <c r="S273" s="22"/>
      <c r="T273" s="74"/>
      <c r="U273" s="6"/>
      <c r="V273" s="74"/>
    </row>
    <row r="274" ht="22.5" customHeight="1">
      <c r="A274" s="6"/>
      <c r="C274" s="6"/>
      <c r="D274" s="22"/>
      <c r="E274" s="20"/>
      <c r="F274" s="21"/>
      <c r="G274" s="21"/>
      <c r="H274" s="21"/>
      <c r="I274" s="35" t="b">
        <v>0</v>
      </c>
      <c r="J274" s="35" t="b">
        <v>0</v>
      </c>
      <c r="K274" s="35" t="b">
        <v>0</v>
      </c>
      <c r="L274" s="82" t="b">
        <v>0</v>
      </c>
      <c r="M274" s="83"/>
      <c r="N274" s="84"/>
      <c r="O274" s="89"/>
      <c r="P274" s="66" t="s">
        <v>112</v>
      </c>
      <c r="Q274" s="22"/>
      <c r="R274" s="22"/>
      <c r="S274" s="22"/>
      <c r="T274" s="74"/>
      <c r="U274" s="6"/>
      <c r="V274" s="74"/>
    </row>
    <row r="275" ht="22.5" customHeight="1">
      <c r="A275" s="6"/>
      <c r="C275" s="6"/>
      <c r="D275" s="22"/>
      <c r="E275" s="20"/>
      <c r="F275" s="21"/>
      <c r="G275" s="21"/>
      <c r="H275" s="21"/>
      <c r="I275" s="35" t="b">
        <v>0</v>
      </c>
      <c r="J275" s="35" t="b">
        <v>0</v>
      </c>
      <c r="K275" s="35" t="b">
        <v>0</v>
      </c>
      <c r="L275" s="82" t="b">
        <v>0</v>
      </c>
      <c r="M275" s="83"/>
      <c r="N275" s="84"/>
      <c r="O275" s="89"/>
      <c r="P275" s="66" t="s">
        <v>112</v>
      </c>
      <c r="Q275" s="22"/>
      <c r="R275" s="22"/>
      <c r="S275" s="22"/>
      <c r="T275" s="74"/>
      <c r="U275" s="6"/>
      <c r="V275" s="74"/>
    </row>
    <row r="276" ht="22.5" customHeight="1">
      <c r="A276" s="6"/>
      <c r="C276" s="6"/>
      <c r="D276" s="22"/>
      <c r="E276" s="20"/>
      <c r="F276" s="21"/>
      <c r="G276" s="21"/>
      <c r="H276" s="21"/>
      <c r="I276" s="35" t="b">
        <v>0</v>
      </c>
      <c r="J276" s="35" t="b">
        <v>0</v>
      </c>
      <c r="K276" s="35" t="b">
        <v>0</v>
      </c>
      <c r="L276" s="82" t="b">
        <v>0</v>
      </c>
      <c r="M276" s="83"/>
      <c r="N276" s="84"/>
      <c r="O276" s="89"/>
      <c r="P276" s="66" t="s">
        <v>112</v>
      </c>
      <c r="Q276" s="22"/>
      <c r="R276" s="22"/>
      <c r="S276" s="22"/>
      <c r="T276" s="74"/>
      <c r="U276" s="6"/>
      <c r="V276" s="74"/>
    </row>
    <row r="277" ht="22.5" customHeight="1">
      <c r="A277" s="6"/>
      <c r="C277" s="6"/>
      <c r="D277" s="22"/>
      <c r="E277" s="20"/>
      <c r="F277" s="21"/>
      <c r="G277" s="21"/>
      <c r="H277" s="21"/>
      <c r="I277" s="35" t="b">
        <v>0</v>
      </c>
      <c r="J277" s="35" t="b">
        <v>0</v>
      </c>
      <c r="K277" s="35" t="b">
        <v>0</v>
      </c>
      <c r="L277" s="82" t="b">
        <v>0</v>
      </c>
      <c r="M277" s="83"/>
      <c r="N277" s="84"/>
      <c r="O277" s="89"/>
      <c r="P277" s="66" t="s">
        <v>112</v>
      </c>
      <c r="Q277" s="22"/>
      <c r="R277" s="22"/>
      <c r="S277" s="22"/>
      <c r="T277" s="74"/>
      <c r="U277" s="6"/>
      <c r="V277" s="74"/>
    </row>
    <row r="278" ht="22.5" customHeight="1">
      <c r="A278" s="6"/>
      <c r="C278" s="6"/>
      <c r="D278" s="22"/>
      <c r="E278" s="20"/>
      <c r="F278" s="21"/>
      <c r="G278" s="21"/>
      <c r="H278" s="21"/>
      <c r="I278" s="35" t="b">
        <v>0</v>
      </c>
      <c r="J278" s="35" t="b">
        <v>0</v>
      </c>
      <c r="K278" s="35" t="b">
        <v>0</v>
      </c>
      <c r="L278" s="82" t="b">
        <v>0</v>
      </c>
      <c r="M278" s="83"/>
      <c r="N278" s="84"/>
      <c r="O278" s="89"/>
      <c r="P278" s="66" t="s">
        <v>112</v>
      </c>
      <c r="Q278" s="22"/>
      <c r="R278" s="22"/>
      <c r="S278" s="22"/>
      <c r="T278" s="74"/>
      <c r="U278" s="6"/>
      <c r="V278" s="74"/>
    </row>
    <row r="279" ht="22.5" customHeight="1">
      <c r="A279" s="6"/>
      <c r="C279" s="6"/>
      <c r="D279" s="22"/>
      <c r="E279" s="20"/>
      <c r="F279" s="21"/>
      <c r="G279" s="21"/>
      <c r="H279" s="21"/>
      <c r="I279" s="35" t="b">
        <v>0</v>
      </c>
      <c r="J279" s="35" t="b">
        <v>0</v>
      </c>
      <c r="K279" s="35" t="b">
        <v>0</v>
      </c>
      <c r="L279" s="82" t="b">
        <v>0</v>
      </c>
      <c r="M279" s="83"/>
      <c r="N279" s="84"/>
      <c r="O279" s="89"/>
      <c r="P279" s="66" t="s">
        <v>112</v>
      </c>
      <c r="Q279" s="22"/>
      <c r="R279" s="22"/>
      <c r="S279" s="22"/>
      <c r="T279" s="74"/>
      <c r="U279" s="6"/>
      <c r="V279" s="74"/>
    </row>
    <row r="280" ht="22.5" customHeight="1">
      <c r="A280" s="6"/>
      <c r="C280" s="6"/>
      <c r="D280" s="22"/>
      <c r="E280" s="20"/>
      <c r="F280" s="21"/>
      <c r="G280" s="21"/>
      <c r="H280" s="21"/>
      <c r="I280" s="35" t="b">
        <v>0</v>
      </c>
      <c r="J280" s="35" t="b">
        <v>0</v>
      </c>
      <c r="K280" s="35" t="b">
        <v>0</v>
      </c>
      <c r="L280" s="82" t="b">
        <v>0</v>
      </c>
      <c r="M280" s="83"/>
      <c r="N280" s="84"/>
      <c r="O280" s="89"/>
      <c r="P280" s="66" t="s">
        <v>112</v>
      </c>
      <c r="Q280" s="22"/>
      <c r="R280" s="22"/>
      <c r="S280" s="22"/>
      <c r="T280" s="74"/>
      <c r="U280" s="6"/>
      <c r="V280" s="74"/>
    </row>
    <row r="281" ht="22.5" customHeight="1">
      <c r="A281" s="6"/>
      <c r="C281" s="6"/>
      <c r="D281" s="22"/>
      <c r="E281" s="20"/>
      <c r="F281" s="21"/>
      <c r="G281" s="21"/>
      <c r="H281" s="21"/>
      <c r="I281" s="35" t="b">
        <v>0</v>
      </c>
      <c r="J281" s="35" t="b">
        <v>0</v>
      </c>
      <c r="K281" s="35" t="b">
        <v>0</v>
      </c>
      <c r="L281" s="82" t="b">
        <v>0</v>
      </c>
      <c r="M281" s="83"/>
      <c r="N281" s="84"/>
      <c r="O281" s="89"/>
      <c r="P281" s="66" t="s">
        <v>112</v>
      </c>
      <c r="Q281" s="22"/>
      <c r="R281" s="22"/>
      <c r="S281" s="22"/>
      <c r="T281" s="74"/>
      <c r="U281" s="6"/>
      <c r="V281" s="74"/>
    </row>
    <row r="282" ht="22.5" customHeight="1">
      <c r="A282" s="6"/>
      <c r="C282" s="6"/>
      <c r="D282" s="22"/>
      <c r="E282" s="20"/>
      <c r="F282" s="21"/>
      <c r="G282" s="21"/>
      <c r="H282" s="21"/>
      <c r="I282" s="35" t="b">
        <v>0</v>
      </c>
      <c r="J282" s="35" t="b">
        <v>0</v>
      </c>
      <c r="K282" s="35" t="b">
        <v>0</v>
      </c>
      <c r="L282" s="82" t="b">
        <v>0</v>
      </c>
      <c r="M282" s="83"/>
      <c r="N282" s="84"/>
      <c r="O282" s="89"/>
      <c r="P282" s="66" t="s">
        <v>112</v>
      </c>
      <c r="Q282" s="22"/>
      <c r="R282" s="22"/>
      <c r="S282" s="22"/>
      <c r="T282" s="74"/>
      <c r="U282" s="6"/>
      <c r="V282" s="74"/>
    </row>
    <row r="283" ht="22.5" customHeight="1">
      <c r="A283" s="6"/>
      <c r="C283" s="6"/>
      <c r="D283" s="22"/>
      <c r="E283" s="20"/>
      <c r="F283" s="21"/>
      <c r="G283" s="21"/>
      <c r="H283" s="21"/>
      <c r="I283" s="35" t="b">
        <v>0</v>
      </c>
      <c r="J283" s="35" t="b">
        <v>0</v>
      </c>
      <c r="K283" s="35" t="b">
        <v>0</v>
      </c>
      <c r="L283" s="82" t="b">
        <v>0</v>
      </c>
      <c r="M283" s="83"/>
      <c r="N283" s="84"/>
      <c r="O283" s="89"/>
      <c r="P283" s="66" t="s">
        <v>112</v>
      </c>
      <c r="Q283" s="22"/>
      <c r="R283" s="22"/>
      <c r="S283" s="22"/>
      <c r="T283" s="74"/>
      <c r="U283" s="6"/>
      <c r="V283" s="74"/>
    </row>
    <row r="284" ht="22.5" customHeight="1">
      <c r="A284" s="6"/>
      <c r="C284" s="6"/>
      <c r="D284" s="22"/>
      <c r="E284" s="20"/>
      <c r="F284" s="21"/>
      <c r="G284" s="21"/>
      <c r="H284" s="21"/>
      <c r="I284" s="35" t="b">
        <v>0</v>
      </c>
      <c r="J284" s="35" t="b">
        <v>0</v>
      </c>
      <c r="K284" s="35" t="b">
        <v>0</v>
      </c>
      <c r="L284" s="82" t="b">
        <v>0</v>
      </c>
      <c r="M284" s="83"/>
      <c r="N284" s="84"/>
      <c r="O284" s="89"/>
      <c r="P284" s="66" t="s">
        <v>112</v>
      </c>
      <c r="Q284" s="22"/>
      <c r="R284" s="22"/>
      <c r="S284" s="22"/>
      <c r="T284" s="74"/>
      <c r="U284" s="6"/>
      <c r="V284" s="74"/>
    </row>
    <row r="285" ht="22.5" customHeight="1">
      <c r="A285" s="6"/>
      <c r="C285" s="6"/>
      <c r="D285" s="22"/>
      <c r="E285" s="20"/>
      <c r="F285" s="21"/>
      <c r="G285" s="21"/>
      <c r="H285" s="21"/>
      <c r="I285" s="35" t="b">
        <v>0</v>
      </c>
      <c r="J285" s="35" t="b">
        <v>0</v>
      </c>
      <c r="K285" s="35" t="b">
        <v>0</v>
      </c>
      <c r="L285" s="82" t="b">
        <v>0</v>
      </c>
      <c r="M285" s="83"/>
      <c r="N285" s="84"/>
      <c r="O285" s="89"/>
      <c r="P285" s="66" t="s">
        <v>112</v>
      </c>
      <c r="Q285" s="22"/>
      <c r="R285" s="22"/>
      <c r="S285" s="22"/>
      <c r="T285" s="74"/>
      <c r="U285" s="6"/>
      <c r="V285" s="74"/>
    </row>
    <row r="286" ht="22.5" customHeight="1">
      <c r="A286" s="6"/>
      <c r="C286" s="6"/>
      <c r="D286" s="22"/>
      <c r="E286" s="20"/>
      <c r="F286" s="21"/>
      <c r="G286" s="21"/>
      <c r="H286" s="21"/>
      <c r="I286" s="35" t="b">
        <v>0</v>
      </c>
      <c r="J286" s="35" t="b">
        <v>0</v>
      </c>
      <c r="K286" s="35" t="b">
        <v>0</v>
      </c>
      <c r="L286" s="82" t="b">
        <v>0</v>
      </c>
      <c r="M286" s="83"/>
      <c r="N286" s="84"/>
      <c r="O286" s="89"/>
      <c r="P286" s="66" t="s">
        <v>112</v>
      </c>
      <c r="Q286" s="22"/>
      <c r="R286" s="22"/>
      <c r="S286" s="22"/>
      <c r="T286" s="74"/>
      <c r="U286" s="6"/>
      <c r="V286" s="74"/>
    </row>
    <row r="287" ht="22.5" customHeight="1">
      <c r="A287" s="6"/>
      <c r="C287" s="6"/>
      <c r="D287" s="22"/>
      <c r="E287" s="20"/>
      <c r="F287" s="21"/>
      <c r="G287" s="21"/>
      <c r="H287" s="21"/>
      <c r="I287" s="35" t="b">
        <v>0</v>
      </c>
      <c r="J287" s="35" t="b">
        <v>0</v>
      </c>
      <c r="K287" s="35" t="b">
        <v>0</v>
      </c>
      <c r="L287" s="82" t="b">
        <v>0</v>
      </c>
      <c r="M287" s="83"/>
      <c r="N287" s="84"/>
      <c r="O287" s="89"/>
      <c r="P287" s="66" t="s">
        <v>112</v>
      </c>
      <c r="Q287" s="22"/>
      <c r="R287" s="22"/>
      <c r="S287" s="22"/>
      <c r="T287" s="74"/>
      <c r="U287" s="6"/>
      <c r="V287" s="74"/>
    </row>
    <row r="288" ht="22.5" customHeight="1">
      <c r="A288" s="6"/>
      <c r="C288" s="6"/>
      <c r="D288" s="22"/>
      <c r="E288" s="20"/>
      <c r="F288" s="21"/>
      <c r="G288" s="21"/>
      <c r="H288" s="21"/>
      <c r="I288" s="35" t="b">
        <v>0</v>
      </c>
      <c r="J288" s="35" t="b">
        <v>0</v>
      </c>
      <c r="K288" s="35" t="b">
        <v>0</v>
      </c>
      <c r="L288" s="82" t="b">
        <v>0</v>
      </c>
      <c r="M288" s="83"/>
      <c r="N288" s="84"/>
      <c r="O288" s="89"/>
      <c r="P288" s="66" t="s">
        <v>112</v>
      </c>
      <c r="Q288" s="22"/>
      <c r="R288" s="22"/>
      <c r="S288" s="22"/>
      <c r="T288" s="74"/>
      <c r="U288" s="6"/>
      <c r="V288" s="74"/>
    </row>
    <row r="289" ht="22.5" customHeight="1">
      <c r="A289" s="6"/>
      <c r="C289" s="6"/>
      <c r="D289" s="22"/>
      <c r="E289" s="20"/>
      <c r="F289" s="21"/>
      <c r="G289" s="21"/>
      <c r="H289" s="21"/>
      <c r="I289" s="35" t="b">
        <v>0</v>
      </c>
      <c r="J289" s="35" t="b">
        <v>0</v>
      </c>
      <c r="K289" s="35" t="b">
        <v>0</v>
      </c>
      <c r="L289" s="82" t="b">
        <v>0</v>
      </c>
      <c r="M289" s="83"/>
      <c r="N289" s="84"/>
      <c r="O289" s="89"/>
      <c r="P289" s="66" t="s">
        <v>112</v>
      </c>
      <c r="Q289" s="22"/>
      <c r="R289" s="22"/>
      <c r="S289" s="22"/>
      <c r="T289" s="74"/>
      <c r="U289" s="6"/>
      <c r="V289" s="74"/>
    </row>
    <row r="290" ht="22.5" customHeight="1">
      <c r="A290" s="6"/>
      <c r="C290" s="6"/>
      <c r="D290" s="22"/>
      <c r="E290" s="20"/>
      <c r="F290" s="21"/>
      <c r="G290" s="21"/>
      <c r="H290" s="21"/>
      <c r="I290" s="35" t="b">
        <v>0</v>
      </c>
      <c r="J290" s="35" t="b">
        <v>0</v>
      </c>
      <c r="K290" s="35" t="b">
        <v>0</v>
      </c>
      <c r="L290" s="82" t="b">
        <v>0</v>
      </c>
      <c r="M290" s="83"/>
      <c r="N290" s="84"/>
      <c r="O290" s="89"/>
      <c r="P290" s="66" t="s">
        <v>112</v>
      </c>
      <c r="Q290" s="22"/>
      <c r="R290" s="22"/>
      <c r="S290" s="22"/>
      <c r="T290" s="74"/>
      <c r="U290" s="6"/>
      <c r="V290" s="74"/>
    </row>
    <row r="291" ht="22.5" customHeight="1">
      <c r="A291" s="6"/>
      <c r="C291" s="6"/>
      <c r="D291" s="22"/>
      <c r="E291" s="20"/>
      <c r="F291" s="21"/>
      <c r="G291" s="21"/>
      <c r="H291" s="21"/>
      <c r="I291" s="35" t="b">
        <v>0</v>
      </c>
      <c r="J291" s="35" t="b">
        <v>0</v>
      </c>
      <c r="K291" s="35" t="b">
        <v>0</v>
      </c>
      <c r="L291" s="82" t="b">
        <v>0</v>
      </c>
      <c r="M291" s="83"/>
      <c r="N291" s="84"/>
      <c r="O291" s="89"/>
      <c r="P291" s="66" t="s">
        <v>112</v>
      </c>
      <c r="Q291" s="22"/>
      <c r="R291" s="22"/>
      <c r="S291" s="22"/>
      <c r="T291" s="74"/>
      <c r="U291" s="6"/>
      <c r="V291" s="74"/>
    </row>
    <row r="292" ht="22.5" customHeight="1">
      <c r="A292" s="6"/>
      <c r="C292" s="6"/>
      <c r="D292" s="22"/>
      <c r="E292" s="20"/>
      <c r="F292" s="21"/>
      <c r="G292" s="21"/>
      <c r="H292" s="21"/>
      <c r="I292" s="35" t="b">
        <v>0</v>
      </c>
      <c r="J292" s="35" t="b">
        <v>0</v>
      </c>
      <c r="K292" s="35" t="b">
        <v>0</v>
      </c>
      <c r="L292" s="82" t="b">
        <v>0</v>
      </c>
      <c r="M292" s="83"/>
      <c r="N292" s="84"/>
      <c r="O292" s="89"/>
      <c r="P292" s="66" t="s">
        <v>112</v>
      </c>
      <c r="Q292" s="22"/>
      <c r="R292" s="22"/>
      <c r="S292" s="22"/>
      <c r="T292" s="74"/>
      <c r="U292" s="6"/>
      <c r="V292" s="74"/>
    </row>
    <row r="293" ht="22.5" customHeight="1">
      <c r="A293" s="6"/>
      <c r="C293" s="6"/>
      <c r="D293" s="22"/>
      <c r="E293" s="20"/>
      <c r="F293" s="21"/>
      <c r="G293" s="21"/>
      <c r="H293" s="21"/>
      <c r="I293" s="35" t="b">
        <v>0</v>
      </c>
      <c r="J293" s="35" t="b">
        <v>0</v>
      </c>
      <c r="K293" s="35" t="b">
        <v>0</v>
      </c>
      <c r="L293" s="82" t="b">
        <v>0</v>
      </c>
      <c r="M293" s="83"/>
      <c r="N293" s="84"/>
      <c r="O293" s="89"/>
      <c r="P293" s="66" t="s">
        <v>112</v>
      </c>
      <c r="Q293" s="22"/>
      <c r="R293" s="22"/>
      <c r="S293" s="22"/>
      <c r="T293" s="74"/>
      <c r="U293" s="6"/>
      <c r="V293" s="74"/>
    </row>
    <row r="294" ht="22.5" customHeight="1">
      <c r="A294" s="6"/>
      <c r="C294" s="6"/>
      <c r="D294" s="22"/>
      <c r="E294" s="20"/>
      <c r="F294" s="21"/>
      <c r="G294" s="21"/>
      <c r="H294" s="21"/>
      <c r="I294" s="35" t="b">
        <v>0</v>
      </c>
      <c r="J294" s="35" t="b">
        <v>0</v>
      </c>
      <c r="K294" s="35" t="b">
        <v>0</v>
      </c>
      <c r="L294" s="82" t="b">
        <v>0</v>
      </c>
      <c r="M294" s="83"/>
      <c r="N294" s="84"/>
      <c r="O294" s="89"/>
      <c r="P294" s="66" t="s">
        <v>112</v>
      </c>
      <c r="Q294" s="22"/>
      <c r="R294" s="22"/>
      <c r="S294" s="22"/>
      <c r="T294" s="74"/>
      <c r="U294" s="6"/>
      <c r="V294" s="74"/>
    </row>
    <row r="295" ht="22.5" customHeight="1">
      <c r="A295" s="6"/>
      <c r="C295" s="6"/>
      <c r="D295" s="22"/>
      <c r="E295" s="20"/>
      <c r="F295" s="21"/>
      <c r="G295" s="21"/>
      <c r="H295" s="21"/>
      <c r="I295" s="35" t="b">
        <v>0</v>
      </c>
      <c r="J295" s="35" t="b">
        <v>0</v>
      </c>
      <c r="K295" s="35" t="b">
        <v>0</v>
      </c>
      <c r="L295" s="82" t="b">
        <v>0</v>
      </c>
      <c r="M295" s="83"/>
      <c r="N295" s="84"/>
      <c r="O295" s="89"/>
      <c r="P295" s="66" t="s">
        <v>112</v>
      </c>
      <c r="Q295" s="22"/>
      <c r="R295" s="22"/>
      <c r="S295" s="22"/>
      <c r="T295" s="74"/>
      <c r="U295" s="6"/>
      <c r="V295" s="74"/>
    </row>
    <row r="296" ht="22.5" customHeight="1">
      <c r="A296" s="6"/>
      <c r="C296" s="6"/>
      <c r="D296" s="22"/>
      <c r="E296" s="20"/>
      <c r="F296" s="21"/>
      <c r="G296" s="21"/>
      <c r="H296" s="21"/>
      <c r="I296" s="35" t="b">
        <v>0</v>
      </c>
      <c r="J296" s="35" t="b">
        <v>0</v>
      </c>
      <c r="K296" s="35" t="b">
        <v>0</v>
      </c>
      <c r="L296" s="82" t="b">
        <v>0</v>
      </c>
      <c r="M296" s="83"/>
      <c r="N296" s="84"/>
      <c r="O296" s="89"/>
      <c r="P296" s="66" t="s">
        <v>112</v>
      </c>
      <c r="Q296" s="22"/>
      <c r="R296" s="22"/>
      <c r="S296" s="22"/>
      <c r="T296" s="74"/>
      <c r="U296" s="6"/>
      <c r="V296" s="74"/>
    </row>
    <row r="297" ht="22.5" customHeight="1">
      <c r="A297" s="6"/>
      <c r="C297" s="6"/>
      <c r="D297" s="22"/>
      <c r="E297" s="20"/>
      <c r="F297" s="21"/>
      <c r="G297" s="21"/>
      <c r="H297" s="21"/>
      <c r="I297" s="35" t="b">
        <v>0</v>
      </c>
      <c r="J297" s="35" t="b">
        <v>0</v>
      </c>
      <c r="K297" s="35" t="b">
        <v>0</v>
      </c>
      <c r="L297" s="82" t="b">
        <v>0</v>
      </c>
      <c r="M297" s="83"/>
      <c r="N297" s="84"/>
      <c r="O297" s="89"/>
      <c r="P297" s="66" t="s">
        <v>112</v>
      </c>
      <c r="Q297" s="22"/>
      <c r="R297" s="22"/>
      <c r="S297" s="22"/>
      <c r="T297" s="74"/>
      <c r="U297" s="6"/>
      <c r="V297" s="74"/>
    </row>
    <row r="298" ht="22.5" customHeight="1">
      <c r="A298" s="6"/>
      <c r="C298" s="6"/>
      <c r="D298" s="22"/>
      <c r="E298" s="20"/>
      <c r="F298" s="21"/>
      <c r="G298" s="21"/>
      <c r="H298" s="21"/>
      <c r="I298" s="35" t="b">
        <v>0</v>
      </c>
      <c r="J298" s="35" t="b">
        <v>0</v>
      </c>
      <c r="K298" s="35" t="b">
        <v>0</v>
      </c>
      <c r="L298" s="82" t="b">
        <v>0</v>
      </c>
      <c r="M298" s="83"/>
      <c r="N298" s="84"/>
      <c r="O298" s="89"/>
      <c r="P298" s="66" t="s">
        <v>112</v>
      </c>
      <c r="Q298" s="22"/>
      <c r="R298" s="22"/>
      <c r="S298" s="22"/>
      <c r="T298" s="74"/>
      <c r="U298" s="6"/>
      <c r="V298" s="74"/>
    </row>
    <row r="299" ht="22.5" customHeight="1">
      <c r="A299" s="6"/>
      <c r="C299" s="6"/>
      <c r="D299" s="22"/>
      <c r="E299" s="20"/>
      <c r="F299" s="21"/>
      <c r="G299" s="21"/>
      <c r="H299" s="21"/>
      <c r="I299" s="35" t="b">
        <v>0</v>
      </c>
      <c r="J299" s="35" t="b">
        <v>0</v>
      </c>
      <c r="K299" s="35" t="b">
        <v>0</v>
      </c>
      <c r="L299" s="82" t="b">
        <v>0</v>
      </c>
      <c r="M299" s="83"/>
      <c r="N299" s="84"/>
      <c r="O299" s="89"/>
      <c r="P299" s="66" t="s">
        <v>112</v>
      </c>
      <c r="Q299" s="22"/>
      <c r="R299" s="22"/>
      <c r="S299" s="22"/>
      <c r="T299" s="74"/>
      <c r="U299" s="6"/>
      <c r="V299" s="74"/>
    </row>
    <row r="300" ht="22.5" customHeight="1">
      <c r="A300" s="6"/>
      <c r="C300" s="6"/>
      <c r="D300" s="22"/>
      <c r="E300" s="20"/>
      <c r="F300" s="21"/>
      <c r="G300" s="21"/>
      <c r="H300" s="21"/>
      <c r="I300" s="35" t="b">
        <v>0</v>
      </c>
      <c r="J300" s="35" t="b">
        <v>0</v>
      </c>
      <c r="K300" s="35" t="b">
        <v>0</v>
      </c>
      <c r="L300" s="82" t="b">
        <v>0</v>
      </c>
      <c r="M300" s="83"/>
      <c r="N300" s="84"/>
      <c r="O300" s="89"/>
      <c r="P300" s="66" t="s">
        <v>112</v>
      </c>
      <c r="Q300" s="22"/>
      <c r="R300" s="22"/>
      <c r="S300" s="22"/>
      <c r="T300" s="74"/>
      <c r="U300" s="6"/>
      <c r="V300" s="74"/>
    </row>
    <row r="301" ht="22.5" customHeight="1">
      <c r="A301" s="6"/>
      <c r="C301" s="6"/>
      <c r="D301" s="22"/>
      <c r="E301" s="20"/>
      <c r="F301" s="21"/>
      <c r="G301" s="21"/>
      <c r="H301" s="21"/>
      <c r="I301" s="35" t="b">
        <v>0</v>
      </c>
      <c r="J301" s="35" t="b">
        <v>0</v>
      </c>
      <c r="K301" s="35" t="b">
        <v>0</v>
      </c>
      <c r="L301" s="82" t="b">
        <v>0</v>
      </c>
      <c r="M301" s="83"/>
      <c r="N301" s="84"/>
      <c r="O301" s="89"/>
      <c r="P301" s="66" t="s">
        <v>112</v>
      </c>
      <c r="Q301" s="22"/>
      <c r="R301" s="22"/>
      <c r="S301" s="22"/>
      <c r="T301" s="74"/>
      <c r="U301" s="6"/>
      <c r="V301" s="74"/>
    </row>
    <row r="302" ht="22.5" customHeight="1">
      <c r="A302" s="6"/>
      <c r="C302" s="6"/>
      <c r="D302" s="22"/>
      <c r="E302" s="20"/>
      <c r="F302" s="21"/>
      <c r="G302" s="21"/>
      <c r="H302" s="21"/>
      <c r="I302" s="35" t="b">
        <v>0</v>
      </c>
      <c r="J302" s="35" t="b">
        <v>0</v>
      </c>
      <c r="K302" s="35" t="b">
        <v>0</v>
      </c>
      <c r="L302" s="82" t="b">
        <v>0</v>
      </c>
      <c r="M302" s="83"/>
      <c r="N302" s="84"/>
      <c r="O302" s="89"/>
      <c r="P302" s="66" t="s">
        <v>112</v>
      </c>
      <c r="Q302" s="22"/>
      <c r="R302" s="22"/>
      <c r="S302" s="22"/>
      <c r="T302" s="74"/>
      <c r="U302" s="6"/>
      <c r="V302" s="74"/>
    </row>
    <row r="303" ht="22.5" customHeight="1">
      <c r="A303" s="6"/>
      <c r="C303" s="6"/>
      <c r="D303" s="22"/>
      <c r="E303" s="20"/>
      <c r="F303" s="21"/>
      <c r="G303" s="21"/>
      <c r="H303" s="21"/>
      <c r="I303" s="35" t="b">
        <v>0</v>
      </c>
      <c r="J303" s="35" t="b">
        <v>0</v>
      </c>
      <c r="K303" s="35" t="b">
        <v>0</v>
      </c>
      <c r="L303" s="82" t="b">
        <v>0</v>
      </c>
      <c r="M303" s="83"/>
      <c r="N303" s="84"/>
      <c r="O303" s="89"/>
      <c r="P303" s="66" t="s">
        <v>112</v>
      </c>
      <c r="Q303" s="22"/>
      <c r="R303" s="22"/>
      <c r="S303" s="22"/>
      <c r="T303" s="74"/>
      <c r="U303" s="6"/>
      <c r="V303" s="74"/>
    </row>
    <row r="304" ht="22.5" customHeight="1">
      <c r="A304" s="6"/>
      <c r="C304" s="6"/>
      <c r="D304" s="22"/>
      <c r="E304" s="20"/>
      <c r="F304" s="21"/>
      <c r="G304" s="21"/>
      <c r="H304" s="21"/>
      <c r="I304" s="35" t="b">
        <v>0</v>
      </c>
      <c r="J304" s="35" t="b">
        <v>0</v>
      </c>
      <c r="K304" s="35" t="b">
        <v>0</v>
      </c>
      <c r="L304" s="82" t="b">
        <v>0</v>
      </c>
      <c r="M304" s="83"/>
      <c r="N304" s="84"/>
      <c r="O304" s="89"/>
      <c r="P304" s="66" t="s">
        <v>112</v>
      </c>
      <c r="Q304" s="22"/>
      <c r="R304" s="22"/>
      <c r="S304" s="22"/>
      <c r="T304" s="74"/>
      <c r="U304" s="6"/>
      <c r="V304" s="74"/>
    </row>
    <row r="305" ht="22.5" customHeight="1">
      <c r="A305" s="6"/>
      <c r="C305" s="6"/>
      <c r="D305" s="22"/>
      <c r="E305" s="20"/>
      <c r="F305" s="21"/>
      <c r="G305" s="21"/>
      <c r="H305" s="21"/>
      <c r="I305" s="35" t="b">
        <v>0</v>
      </c>
      <c r="J305" s="35" t="b">
        <v>0</v>
      </c>
      <c r="K305" s="35" t="b">
        <v>0</v>
      </c>
      <c r="L305" s="82" t="b">
        <v>0</v>
      </c>
      <c r="M305" s="83"/>
      <c r="N305" s="84"/>
      <c r="O305" s="89"/>
      <c r="P305" s="66" t="s">
        <v>112</v>
      </c>
      <c r="Q305" s="22"/>
      <c r="R305" s="22"/>
      <c r="S305" s="22"/>
      <c r="T305" s="74"/>
      <c r="U305" s="6"/>
      <c r="V305" s="74"/>
    </row>
    <row r="306" ht="22.5" customHeight="1">
      <c r="A306" s="6"/>
      <c r="C306" s="6"/>
      <c r="D306" s="22"/>
      <c r="E306" s="20"/>
      <c r="F306" s="21"/>
      <c r="G306" s="21"/>
      <c r="H306" s="21"/>
      <c r="I306" s="35" t="b">
        <v>0</v>
      </c>
      <c r="J306" s="35" t="b">
        <v>0</v>
      </c>
      <c r="K306" s="35" t="b">
        <v>0</v>
      </c>
      <c r="L306" s="82" t="b">
        <v>0</v>
      </c>
      <c r="M306" s="83"/>
      <c r="N306" s="84"/>
      <c r="O306" s="89"/>
      <c r="P306" s="66" t="s">
        <v>112</v>
      </c>
      <c r="Q306" s="22"/>
      <c r="R306" s="22"/>
      <c r="S306" s="22"/>
      <c r="T306" s="74"/>
      <c r="U306" s="6"/>
      <c r="V306" s="74"/>
    </row>
    <row r="307" ht="22.5" customHeight="1">
      <c r="A307" s="6"/>
      <c r="C307" s="6"/>
      <c r="D307" s="22"/>
      <c r="E307" s="20"/>
      <c r="F307" s="21"/>
      <c r="G307" s="21"/>
      <c r="H307" s="21"/>
      <c r="I307" s="35" t="b">
        <v>0</v>
      </c>
      <c r="J307" s="35" t="b">
        <v>0</v>
      </c>
      <c r="K307" s="35" t="b">
        <v>0</v>
      </c>
      <c r="L307" s="82" t="b">
        <v>0</v>
      </c>
      <c r="M307" s="83"/>
      <c r="N307" s="84"/>
      <c r="O307" s="89"/>
      <c r="P307" s="66" t="s">
        <v>112</v>
      </c>
      <c r="Q307" s="22"/>
      <c r="R307" s="22"/>
      <c r="S307" s="22"/>
      <c r="T307" s="74"/>
      <c r="U307" s="6"/>
      <c r="V307" s="74"/>
    </row>
    <row r="308" ht="22.5" customHeight="1">
      <c r="A308" s="6"/>
      <c r="C308" s="6"/>
      <c r="D308" s="22"/>
      <c r="E308" s="20"/>
      <c r="F308" s="21"/>
      <c r="G308" s="21"/>
      <c r="H308" s="21"/>
      <c r="I308" s="35" t="b">
        <v>0</v>
      </c>
      <c r="J308" s="35" t="b">
        <v>0</v>
      </c>
      <c r="K308" s="35" t="b">
        <v>0</v>
      </c>
      <c r="L308" s="82" t="b">
        <v>0</v>
      </c>
      <c r="M308" s="83"/>
      <c r="N308" s="84"/>
      <c r="O308" s="89"/>
      <c r="P308" s="66" t="s">
        <v>112</v>
      </c>
      <c r="Q308" s="22"/>
      <c r="R308" s="22"/>
      <c r="S308" s="22"/>
      <c r="T308" s="74"/>
      <c r="U308" s="6"/>
      <c r="V308" s="74"/>
    </row>
    <row r="309" ht="22.5" customHeight="1">
      <c r="A309" s="6"/>
      <c r="C309" s="6"/>
      <c r="D309" s="22"/>
      <c r="E309" s="20"/>
      <c r="F309" s="21"/>
      <c r="G309" s="21"/>
      <c r="H309" s="21"/>
      <c r="I309" s="35" t="b">
        <v>0</v>
      </c>
      <c r="J309" s="35" t="b">
        <v>0</v>
      </c>
      <c r="K309" s="35" t="b">
        <v>0</v>
      </c>
      <c r="L309" s="82" t="b">
        <v>0</v>
      </c>
      <c r="M309" s="83"/>
      <c r="N309" s="84"/>
      <c r="O309" s="89"/>
      <c r="P309" s="66" t="s">
        <v>112</v>
      </c>
      <c r="Q309" s="22"/>
      <c r="R309" s="22"/>
      <c r="S309" s="22"/>
      <c r="T309" s="74"/>
      <c r="U309" s="6"/>
      <c r="V309" s="74"/>
    </row>
    <row r="310" ht="22.5" customHeight="1">
      <c r="A310" s="6"/>
      <c r="C310" s="6"/>
      <c r="D310" s="22"/>
      <c r="E310" s="20"/>
      <c r="F310" s="21"/>
      <c r="G310" s="21"/>
      <c r="H310" s="21"/>
      <c r="I310" s="35" t="b">
        <v>0</v>
      </c>
      <c r="J310" s="35" t="b">
        <v>0</v>
      </c>
      <c r="K310" s="35" t="b">
        <v>0</v>
      </c>
      <c r="L310" s="82" t="b">
        <v>0</v>
      </c>
      <c r="M310" s="83"/>
      <c r="N310" s="84"/>
      <c r="O310" s="89"/>
      <c r="P310" s="66" t="s">
        <v>112</v>
      </c>
      <c r="Q310" s="22"/>
      <c r="R310" s="22"/>
      <c r="S310" s="22"/>
      <c r="T310" s="74"/>
      <c r="U310" s="6"/>
      <c r="V310" s="74"/>
    </row>
    <row r="311" ht="22.5" customHeight="1">
      <c r="A311" s="6"/>
      <c r="C311" s="6"/>
      <c r="D311" s="22"/>
      <c r="E311" s="20"/>
      <c r="F311" s="21"/>
      <c r="G311" s="21"/>
      <c r="H311" s="21"/>
      <c r="I311" s="35" t="b">
        <v>0</v>
      </c>
      <c r="J311" s="35" t="b">
        <v>0</v>
      </c>
      <c r="K311" s="35" t="b">
        <v>0</v>
      </c>
      <c r="L311" s="82" t="b">
        <v>0</v>
      </c>
      <c r="M311" s="83"/>
      <c r="N311" s="84"/>
      <c r="O311" s="89"/>
      <c r="P311" s="66" t="s">
        <v>112</v>
      </c>
      <c r="Q311" s="22"/>
      <c r="R311" s="22"/>
      <c r="S311" s="22"/>
      <c r="T311" s="74"/>
      <c r="U311" s="6"/>
      <c r="V311" s="74"/>
    </row>
    <row r="312" ht="22.5" customHeight="1">
      <c r="A312" s="6"/>
      <c r="C312" s="6"/>
      <c r="D312" s="22"/>
      <c r="E312" s="20"/>
      <c r="F312" s="21"/>
      <c r="G312" s="21"/>
      <c r="H312" s="21"/>
      <c r="I312" s="35" t="b">
        <v>0</v>
      </c>
      <c r="J312" s="35" t="b">
        <v>0</v>
      </c>
      <c r="K312" s="35" t="b">
        <v>0</v>
      </c>
      <c r="L312" s="82" t="b">
        <v>0</v>
      </c>
      <c r="M312" s="83"/>
      <c r="N312" s="84"/>
      <c r="O312" s="89"/>
      <c r="P312" s="66" t="s">
        <v>112</v>
      </c>
      <c r="Q312" s="22"/>
      <c r="R312" s="22"/>
      <c r="S312" s="22"/>
      <c r="T312" s="74"/>
      <c r="U312" s="6"/>
      <c r="V312" s="74"/>
    </row>
    <row r="313" ht="22.5" customHeight="1">
      <c r="A313" s="6"/>
      <c r="C313" s="6"/>
      <c r="D313" s="22"/>
      <c r="E313" s="20"/>
      <c r="F313" s="21"/>
      <c r="G313" s="21"/>
      <c r="H313" s="21"/>
      <c r="I313" s="35" t="b">
        <v>0</v>
      </c>
      <c r="J313" s="35" t="b">
        <v>0</v>
      </c>
      <c r="K313" s="35" t="b">
        <v>0</v>
      </c>
      <c r="L313" s="82" t="b">
        <v>0</v>
      </c>
      <c r="M313" s="83"/>
      <c r="N313" s="84"/>
      <c r="O313" s="89"/>
      <c r="P313" s="66" t="s">
        <v>112</v>
      </c>
      <c r="Q313" s="22"/>
      <c r="R313" s="22"/>
      <c r="S313" s="22"/>
      <c r="T313" s="74"/>
      <c r="U313" s="6"/>
      <c r="V313" s="74"/>
    </row>
    <row r="314" ht="22.5" customHeight="1">
      <c r="A314" s="6"/>
      <c r="C314" s="6"/>
      <c r="D314" s="22"/>
      <c r="E314" s="20"/>
      <c r="F314" s="21"/>
      <c r="G314" s="21"/>
      <c r="H314" s="21"/>
      <c r="I314" s="35" t="b">
        <v>0</v>
      </c>
      <c r="J314" s="35" t="b">
        <v>0</v>
      </c>
      <c r="K314" s="35" t="b">
        <v>0</v>
      </c>
      <c r="L314" s="82" t="b">
        <v>0</v>
      </c>
      <c r="M314" s="83"/>
      <c r="N314" s="84"/>
      <c r="O314" s="89"/>
      <c r="P314" s="66" t="s">
        <v>112</v>
      </c>
      <c r="Q314" s="22"/>
      <c r="R314" s="22"/>
      <c r="S314" s="22"/>
      <c r="T314" s="74"/>
      <c r="U314" s="6"/>
      <c r="V314" s="74"/>
    </row>
    <row r="315" ht="22.5" customHeight="1">
      <c r="A315" s="6"/>
      <c r="C315" s="6"/>
      <c r="D315" s="22"/>
      <c r="E315" s="20"/>
      <c r="F315" s="21"/>
      <c r="G315" s="21"/>
      <c r="H315" s="21"/>
      <c r="I315" s="35" t="b">
        <v>0</v>
      </c>
      <c r="J315" s="35" t="b">
        <v>0</v>
      </c>
      <c r="K315" s="35" t="b">
        <v>0</v>
      </c>
      <c r="L315" s="82" t="b">
        <v>0</v>
      </c>
      <c r="M315" s="83"/>
      <c r="N315" s="84"/>
      <c r="O315" s="89"/>
      <c r="P315" s="66" t="s">
        <v>112</v>
      </c>
      <c r="Q315" s="22"/>
      <c r="R315" s="22"/>
      <c r="S315" s="22"/>
      <c r="T315" s="74"/>
      <c r="U315" s="6"/>
      <c r="V315" s="74"/>
    </row>
    <row r="316" ht="22.5" customHeight="1">
      <c r="A316" s="6"/>
      <c r="C316" s="6"/>
      <c r="D316" s="22"/>
      <c r="E316" s="20"/>
      <c r="F316" s="21"/>
      <c r="G316" s="21"/>
      <c r="H316" s="21"/>
      <c r="I316" s="35" t="b">
        <v>0</v>
      </c>
      <c r="J316" s="35" t="b">
        <v>0</v>
      </c>
      <c r="K316" s="35" t="b">
        <v>0</v>
      </c>
      <c r="L316" s="82" t="b">
        <v>0</v>
      </c>
      <c r="M316" s="83"/>
      <c r="N316" s="84"/>
      <c r="O316" s="89"/>
      <c r="P316" s="66" t="s">
        <v>112</v>
      </c>
      <c r="Q316" s="22"/>
      <c r="R316" s="22"/>
      <c r="S316" s="22"/>
      <c r="T316" s="74"/>
      <c r="U316" s="6"/>
      <c r="V316" s="74"/>
    </row>
    <row r="317" ht="22.5" customHeight="1">
      <c r="A317" s="6"/>
      <c r="C317" s="6"/>
      <c r="D317" s="22"/>
      <c r="E317" s="20"/>
      <c r="F317" s="21"/>
      <c r="G317" s="21"/>
      <c r="H317" s="21"/>
      <c r="I317" s="35" t="b">
        <v>0</v>
      </c>
      <c r="J317" s="35" t="b">
        <v>0</v>
      </c>
      <c r="K317" s="35" t="b">
        <v>0</v>
      </c>
      <c r="L317" s="82" t="b">
        <v>0</v>
      </c>
      <c r="M317" s="83"/>
      <c r="N317" s="84"/>
      <c r="O317" s="89"/>
      <c r="P317" s="66" t="s">
        <v>112</v>
      </c>
      <c r="Q317" s="22"/>
      <c r="R317" s="22"/>
      <c r="S317" s="22"/>
      <c r="T317" s="74"/>
      <c r="U317" s="6"/>
      <c r="V317" s="74"/>
    </row>
    <row r="318" ht="22.5" customHeight="1">
      <c r="A318" s="6"/>
      <c r="C318" s="6"/>
      <c r="D318" s="22"/>
      <c r="E318" s="20"/>
      <c r="F318" s="21"/>
      <c r="G318" s="21"/>
      <c r="H318" s="21"/>
      <c r="I318" s="35" t="b">
        <v>0</v>
      </c>
      <c r="J318" s="35" t="b">
        <v>0</v>
      </c>
      <c r="K318" s="35" t="b">
        <v>0</v>
      </c>
      <c r="L318" s="82" t="b">
        <v>0</v>
      </c>
      <c r="M318" s="83"/>
      <c r="N318" s="84"/>
      <c r="O318" s="89"/>
      <c r="P318" s="66" t="s">
        <v>112</v>
      </c>
      <c r="Q318" s="22"/>
      <c r="R318" s="22"/>
      <c r="S318" s="22"/>
      <c r="T318" s="74"/>
      <c r="U318" s="6"/>
      <c r="V318" s="74"/>
    </row>
    <row r="319" ht="22.5" customHeight="1">
      <c r="A319" s="6"/>
      <c r="C319" s="6"/>
      <c r="D319" s="22"/>
      <c r="E319" s="20"/>
      <c r="F319" s="21"/>
      <c r="G319" s="21"/>
      <c r="H319" s="21"/>
      <c r="I319" s="35" t="b">
        <v>0</v>
      </c>
      <c r="J319" s="35" t="b">
        <v>0</v>
      </c>
      <c r="K319" s="35" t="b">
        <v>0</v>
      </c>
      <c r="L319" s="82" t="b">
        <v>0</v>
      </c>
      <c r="M319" s="83"/>
      <c r="N319" s="84"/>
      <c r="O319" s="89"/>
      <c r="P319" s="66" t="s">
        <v>112</v>
      </c>
      <c r="Q319" s="22"/>
      <c r="R319" s="22"/>
      <c r="S319" s="22"/>
      <c r="T319" s="74"/>
      <c r="U319" s="6"/>
      <c r="V319" s="74"/>
    </row>
    <row r="320" ht="22.5" customHeight="1">
      <c r="A320" s="6"/>
      <c r="C320" s="6"/>
      <c r="D320" s="22"/>
      <c r="E320" s="20"/>
      <c r="F320" s="21"/>
      <c r="G320" s="21"/>
      <c r="H320" s="21"/>
      <c r="I320" s="35" t="b">
        <v>0</v>
      </c>
      <c r="J320" s="35" t="b">
        <v>0</v>
      </c>
      <c r="K320" s="35" t="b">
        <v>0</v>
      </c>
      <c r="L320" s="82" t="b">
        <v>0</v>
      </c>
      <c r="M320" s="83"/>
      <c r="N320" s="84"/>
      <c r="O320" s="89"/>
      <c r="P320" s="66" t="s">
        <v>112</v>
      </c>
      <c r="Q320" s="22"/>
      <c r="R320" s="22"/>
      <c r="S320" s="22"/>
      <c r="T320" s="74"/>
      <c r="U320" s="6"/>
      <c r="V320" s="74"/>
    </row>
    <row r="321" ht="22.5" customHeight="1">
      <c r="A321" s="6"/>
      <c r="C321" s="6"/>
      <c r="D321" s="22"/>
      <c r="E321" s="20"/>
      <c r="F321" s="21"/>
      <c r="G321" s="21"/>
      <c r="H321" s="21"/>
      <c r="I321" s="35" t="b">
        <v>0</v>
      </c>
      <c r="J321" s="35" t="b">
        <v>0</v>
      </c>
      <c r="K321" s="35" t="b">
        <v>0</v>
      </c>
      <c r="L321" s="82" t="b">
        <v>0</v>
      </c>
      <c r="M321" s="83"/>
      <c r="N321" s="84"/>
      <c r="O321" s="89"/>
      <c r="P321" s="66" t="s">
        <v>112</v>
      </c>
      <c r="Q321" s="22"/>
      <c r="R321" s="22"/>
      <c r="S321" s="22"/>
      <c r="T321" s="74"/>
      <c r="U321" s="6"/>
      <c r="V321" s="74"/>
    </row>
    <row r="322" ht="22.5" customHeight="1">
      <c r="A322" s="6"/>
      <c r="C322" s="6"/>
      <c r="D322" s="22"/>
      <c r="E322" s="20"/>
      <c r="F322" s="21"/>
      <c r="G322" s="21"/>
      <c r="H322" s="21"/>
      <c r="I322" s="35" t="b">
        <v>0</v>
      </c>
      <c r="J322" s="35" t="b">
        <v>0</v>
      </c>
      <c r="K322" s="35" t="b">
        <v>0</v>
      </c>
      <c r="L322" s="82" t="b">
        <v>0</v>
      </c>
      <c r="M322" s="83"/>
      <c r="N322" s="84"/>
      <c r="O322" s="89"/>
      <c r="P322" s="66" t="s">
        <v>112</v>
      </c>
      <c r="Q322" s="22"/>
      <c r="R322" s="22"/>
      <c r="S322" s="22"/>
      <c r="T322" s="74"/>
      <c r="U322" s="6"/>
      <c r="V322" s="74"/>
    </row>
    <row r="323" ht="22.5" customHeight="1">
      <c r="A323" s="6"/>
      <c r="C323" s="6"/>
      <c r="D323" s="22"/>
      <c r="E323" s="20"/>
      <c r="F323" s="21"/>
      <c r="G323" s="21"/>
      <c r="H323" s="21"/>
      <c r="I323" s="35" t="b">
        <v>0</v>
      </c>
      <c r="J323" s="35" t="b">
        <v>0</v>
      </c>
      <c r="K323" s="35" t="b">
        <v>0</v>
      </c>
      <c r="L323" s="82" t="b">
        <v>0</v>
      </c>
      <c r="M323" s="83"/>
      <c r="N323" s="84"/>
      <c r="O323" s="89"/>
      <c r="P323" s="66" t="s">
        <v>112</v>
      </c>
      <c r="Q323" s="22"/>
      <c r="R323" s="22"/>
      <c r="S323" s="22"/>
      <c r="T323" s="74"/>
      <c r="U323" s="6"/>
      <c r="V323" s="74"/>
    </row>
    <row r="324" ht="22.5" customHeight="1">
      <c r="A324" s="6"/>
      <c r="C324" s="6"/>
      <c r="D324" s="22"/>
      <c r="E324" s="20"/>
      <c r="F324" s="21"/>
      <c r="G324" s="21"/>
      <c r="H324" s="21"/>
      <c r="I324" s="35" t="b">
        <v>0</v>
      </c>
      <c r="J324" s="35" t="b">
        <v>0</v>
      </c>
      <c r="K324" s="35" t="b">
        <v>0</v>
      </c>
      <c r="L324" s="82" t="b">
        <v>0</v>
      </c>
      <c r="M324" s="83"/>
      <c r="N324" s="84"/>
      <c r="O324" s="89"/>
      <c r="P324" s="66" t="s">
        <v>112</v>
      </c>
      <c r="Q324" s="22"/>
      <c r="R324" s="22"/>
      <c r="S324" s="22"/>
      <c r="T324" s="74"/>
      <c r="U324" s="6"/>
      <c r="V324" s="74"/>
    </row>
    <row r="325" ht="22.5" customHeight="1">
      <c r="A325" s="6"/>
      <c r="C325" s="6"/>
      <c r="D325" s="22"/>
      <c r="E325" s="20"/>
      <c r="F325" s="21"/>
      <c r="G325" s="21"/>
      <c r="H325" s="21"/>
      <c r="I325" s="35" t="b">
        <v>0</v>
      </c>
      <c r="J325" s="35" t="b">
        <v>0</v>
      </c>
      <c r="K325" s="35" t="b">
        <v>0</v>
      </c>
      <c r="L325" s="82" t="b">
        <v>0</v>
      </c>
      <c r="M325" s="83"/>
      <c r="N325" s="84"/>
      <c r="O325" s="89"/>
      <c r="P325" s="66" t="s">
        <v>112</v>
      </c>
      <c r="Q325" s="22"/>
      <c r="R325" s="22"/>
      <c r="S325" s="22"/>
      <c r="T325" s="74"/>
      <c r="U325" s="6"/>
      <c r="V325" s="74"/>
    </row>
    <row r="326" ht="22.5" customHeight="1">
      <c r="A326" s="6"/>
      <c r="C326" s="6"/>
      <c r="D326" s="22"/>
      <c r="E326" s="20"/>
      <c r="F326" s="21"/>
      <c r="G326" s="21"/>
      <c r="H326" s="21"/>
      <c r="I326" s="35" t="b">
        <v>0</v>
      </c>
      <c r="J326" s="35" t="b">
        <v>0</v>
      </c>
      <c r="K326" s="35" t="b">
        <v>0</v>
      </c>
      <c r="L326" s="82" t="b">
        <v>0</v>
      </c>
      <c r="M326" s="83"/>
      <c r="N326" s="84"/>
      <c r="O326" s="89"/>
      <c r="P326" s="66" t="s">
        <v>112</v>
      </c>
      <c r="Q326" s="22"/>
      <c r="R326" s="22"/>
      <c r="S326" s="22"/>
      <c r="T326" s="74"/>
      <c r="U326" s="6"/>
      <c r="V326" s="74"/>
    </row>
    <row r="327" ht="22.5" customHeight="1">
      <c r="A327" s="6"/>
      <c r="C327" s="6"/>
      <c r="D327" s="22"/>
      <c r="E327" s="20"/>
      <c r="F327" s="21"/>
      <c r="G327" s="21"/>
      <c r="H327" s="21"/>
      <c r="I327" s="35" t="b">
        <v>0</v>
      </c>
      <c r="J327" s="35" t="b">
        <v>0</v>
      </c>
      <c r="K327" s="35" t="b">
        <v>0</v>
      </c>
      <c r="L327" s="82" t="b">
        <v>0</v>
      </c>
      <c r="M327" s="83"/>
      <c r="N327" s="84"/>
      <c r="O327" s="89"/>
      <c r="P327" s="66" t="s">
        <v>112</v>
      </c>
      <c r="Q327" s="22"/>
      <c r="R327" s="22"/>
      <c r="S327" s="22"/>
      <c r="T327" s="74"/>
      <c r="U327" s="6"/>
      <c r="V327" s="74"/>
    </row>
    <row r="328" ht="22.5" customHeight="1">
      <c r="A328" s="6"/>
      <c r="C328" s="6"/>
      <c r="D328" s="22"/>
      <c r="E328" s="20"/>
      <c r="F328" s="21"/>
      <c r="G328" s="21"/>
      <c r="H328" s="21"/>
      <c r="I328" s="35" t="b">
        <v>0</v>
      </c>
      <c r="J328" s="35" t="b">
        <v>0</v>
      </c>
      <c r="K328" s="35" t="b">
        <v>0</v>
      </c>
      <c r="L328" s="82" t="b">
        <v>0</v>
      </c>
      <c r="M328" s="83"/>
      <c r="N328" s="84"/>
      <c r="O328" s="89"/>
      <c r="P328" s="66" t="s">
        <v>112</v>
      </c>
      <c r="Q328" s="22"/>
      <c r="R328" s="22"/>
      <c r="S328" s="22"/>
      <c r="T328" s="74"/>
      <c r="U328" s="6"/>
      <c r="V328" s="74"/>
    </row>
    <row r="329" ht="22.5" customHeight="1">
      <c r="A329" s="6"/>
      <c r="C329" s="6"/>
      <c r="D329" s="22"/>
      <c r="E329" s="20"/>
      <c r="F329" s="21"/>
      <c r="G329" s="21"/>
      <c r="H329" s="21"/>
      <c r="I329" s="35" t="b">
        <v>0</v>
      </c>
      <c r="J329" s="35" t="b">
        <v>0</v>
      </c>
      <c r="K329" s="35" t="b">
        <v>0</v>
      </c>
      <c r="L329" s="82" t="b">
        <v>0</v>
      </c>
      <c r="M329" s="83"/>
      <c r="N329" s="84"/>
      <c r="O329" s="89"/>
      <c r="P329" s="66" t="s">
        <v>112</v>
      </c>
      <c r="Q329" s="22"/>
      <c r="R329" s="22"/>
      <c r="S329" s="22"/>
      <c r="T329" s="74"/>
      <c r="U329" s="6"/>
      <c r="V329" s="74"/>
    </row>
    <row r="330" ht="22.5" customHeight="1">
      <c r="A330" s="6"/>
      <c r="C330" s="6"/>
      <c r="D330" s="22"/>
      <c r="E330" s="20"/>
      <c r="F330" s="21"/>
      <c r="G330" s="21"/>
      <c r="H330" s="21"/>
      <c r="I330" s="35" t="b">
        <v>0</v>
      </c>
      <c r="J330" s="35" t="b">
        <v>0</v>
      </c>
      <c r="K330" s="35" t="b">
        <v>0</v>
      </c>
      <c r="L330" s="82" t="b">
        <v>0</v>
      </c>
      <c r="M330" s="83"/>
      <c r="N330" s="84"/>
      <c r="O330" s="89"/>
      <c r="P330" s="66" t="s">
        <v>112</v>
      </c>
      <c r="Q330" s="22"/>
      <c r="R330" s="22"/>
      <c r="S330" s="22"/>
      <c r="T330" s="74"/>
      <c r="U330" s="6"/>
      <c r="V330" s="74"/>
    </row>
    <row r="331" ht="22.5" customHeight="1">
      <c r="A331" s="6"/>
      <c r="C331" s="6"/>
      <c r="D331" s="22"/>
      <c r="E331" s="20"/>
      <c r="F331" s="21"/>
      <c r="G331" s="21"/>
      <c r="H331" s="21"/>
      <c r="I331" s="35" t="b">
        <v>0</v>
      </c>
      <c r="J331" s="35" t="b">
        <v>0</v>
      </c>
      <c r="K331" s="35" t="b">
        <v>0</v>
      </c>
      <c r="L331" s="82" t="b">
        <v>0</v>
      </c>
      <c r="M331" s="83"/>
      <c r="N331" s="84"/>
      <c r="O331" s="89"/>
      <c r="P331" s="66" t="s">
        <v>112</v>
      </c>
      <c r="Q331" s="22"/>
      <c r="R331" s="22"/>
      <c r="S331" s="22"/>
      <c r="T331" s="74"/>
      <c r="U331" s="6"/>
      <c r="V331" s="74"/>
    </row>
    <row r="332" ht="22.5" customHeight="1">
      <c r="A332" s="6"/>
      <c r="C332" s="6"/>
      <c r="D332" s="22"/>
      <c r="E332" s="20"/>
      <c r="F332" s="21"/>
      <c r="G332" s="21"/>
      <c r="H332" s="21"/>
      <c r="I332" s="35" t="b">
        <v>0</v>
      </c>
      <c r="J332" s="35" t="b">
        <v>0</v>
      </c>
      <c r="K332" s="35" t="b">
        <v>0</v>
      </c>
      <c r="L332" s="82" t="b">
        <v>0</v>
      </c>
      <c r="M332" s="83"/>
      <c r="N332" s="84"/>
      <c r="O332" s="89"/>
      <c r="P332" s="66" t="s">
        <v>112</v>
      </c>
      <c r="Q332" s="22"/>
      <c r="R332" s="22"/>
      <c r="S332" s="22"/>
      <c r="T332" s="74"/>
      <c r="U332" s="6"/>
      <c r="V332" s="74"/>
    </row>
    <row r="333" ht="22.5" customHeight="1">
      <c r="A333" s="6"/>
      <c r="C333" s="6"/>
      <c r="D333" s="22"/>
      <c r="E333" s="20"/>
      <c r="F333" s="21"/>
      <c r="G333" s="21"/>
      <c r="H333" s="21"/>
      <c r="I333" s="35" t="b">
        <v>0</v>
      </c>
      <c r="J333" s="35" t="b">
        <v>0</v>
      </c>
      <c r="K333" s="35" t="b">
        <v>0</v>
      </c>
      <c r="L333" s="82" t="b">
        <v>0</v>
      </c>
      <c r="M333" s="83"/>
      <c r="N333" s="84"/>
      <c r="O333" s="89"/>
      <c r="P333" s="66" t="s">
        <v>112</v>
      </c>
      <c r="Q333" s="22"/>
      <c r="R333" s="22"/>
      <c r="S333" s="22"/>
      <c r="T333" s="74"/>
      <c r="U333" s="6"/>
      <c r="V333" s="74"/>
    </row>
    <row r="334" ht="22.5" customHeight="1">
      <c r="A334" s="6"/>
      <c r="C334" s="6"/>
      <c r="D334" s="22"/>
      <c r="E334" s="20"/>
      <c r="F334" s="21"/>
      <c r="G334" s="21"/>
      <c r="H334" s="21"/>
      <c r="I334" s="35" t="b">
        <v>0</v>
      </c>
      <c r="J334" s="35" t="b">
        <v>0</v>
      </c>
      <c r="K334" s="35" t="b">
        <v>0</v>
      </c>
      <c r="L334" s="82" t="b">
        <v>0</v>
      </c>
      <c r="M334" s="83"/>
      <c r="N334" s="84"/>
      <c r="O334" s="89"/>
      <c r="P334" s="66" t="s">
        <v>112</v>
      </c>
      <c r="Q334" s="22"/>
      <c r="R334" s="22"/>
      <c r="S334" s="22"/>
      <c r="T334" s="74"/>
      <c r="U334" s="6"/>
      <c r="V334" s="74"/>
    </row>
    <row r="335" ht="22.5" customHeight="1">
      <c r="A335" s="6"/>
      <c r="C335" s="6"/>
      <c r="D335" s="22"/>
      <c r="E335" s="20"/>
      <c r="F335" s="21"/>
      <c r="G335" s="21"/>
      <c r="H335" s="21"/>
      <c r="I335" s="35" t="b">
        <v>0</v>
      </c>
      <c r="J335" s="35" t="b">
        <v>0</v>
      </c>
      <c r="K335" s="35" t="b">
        <v>0</v>
      </c>
      <c r="L335" s="82" t="b">
        <v>0</v>
      </c>
      <c r="M335" s="83"/>
      <c r="N335" s="84"/>
      <c r="O335" s="89"/>
      <c r="P335" s="66" t="s">
        <v>112</v>
      </c>
      <c r="Q335" s="22"/>
      <c r="R335" s="22"/>
      <c r="S335" s="22"/>
      <c r="T335" s="74"/>
      <c r="U335" s="6"/>
      <c r="V335" s="74"/>
    </row>
    <row r="336" ht="22.5" customHeight="1">
      <c r="A336" s="6"/>
      <c r="C336" s="6"/>
      <c r="D336" s="22"/>
      <c r="E336" s="20"/>
      <c r="F336" s="21"/>
      <c r="G336" s="21"/>
      <c r="H336" s="21"/>
      <c r="I336" s="35" t="b">
        <v>0</v>
      </c>
      <c r="J336" s="35" t="b">
        <v>0</v>
      </c>
      <c r="K336" s="35" t="b">
        <v>0</v>
      </c>
      <c r="L336" s="82" t="b">
        <v>0</v>
      </c>
      <c r="M336" s="83"/>
      <c r="N336" s="84"/>
      <c r="O336" s="89"/>
      <c r="P336" s="66" t="s">
        <v>112</v>
      </c>
      <c r="Q336" s="22"/>
      <c r="R336" s="22"/>
      <c r="S336" s="22"/>
      <c r="T336" s="74"/>
      <c r="U336" s="6"/>
      <c r="V336" s="74"/>
    </row>
    <row r="337" ht="22.5" customHeight="1">
      <c r="A337" s="6"/>
      <c r="C337" s="6"/>
      <c r="D337" s="22"/>
      <c r="E337" s="20"/>
      <c r="F337" s="21"/>
      <c r="G337" s="21"/>
      <c r="H337" s="21"/>
      <c r="I337" s="35" t="b">
        <v>0</v>
      </c>
      <c r="J337" s="35" t="b">
        <v>0</v>
      </c>
      <c r="K337" s="35" t="b">
        <v>0</v>
      </c>
      <c r="L337" s="82" t="b">
        <v>0</v>
      </c>
      <c r="M337" s="83"/>
      <c r="N337" s="84"/>
      <c r="O337" s="89"/>
      <c r="P337" s="66" t="s">
        <v>112</v>
      </c>
      <c r="Q337" s="22"/>
      <c r="R337" s="22"/>
      <c r="S337" s="22"/>
      <c r="T337" s="74"/>
      <c r="U337" s="6"/>
      <c r="V337" s="74"/>
    </row>
    <row r="338" ht="22.5" customHeight="1">
      <c r="A338" s="6"/>
      <c r="C338" s="6"/>
      <c r="D338" s="22"/>
      <c r="E338" s="20"/>
      <c r="F338" s="21"/>
      <c r="G338" s="21"/>
      <c r="H338" s="21"/>
      <c r="I338" s="35" t="b">
        <v>0</v>
      </c>
      <c r="J338" s="35" t="b">
        <v>0</v>
      </c>
      <c r="K338" s="35" t="b">
        <v>0</v>
      </c>
      <c r="L338" s="82" t="b">
        <v>0</v>
      </c>
      <c r="M338" s="83"/>
      <c r="N338" s="84"/>
      <c r="O338" s="89"/>
      <c r="P338" s="66" t="s">
        <v>112</v>
      </c>
      <c r="Q338" s="22"/>
      <c r="R338" s="22"/>
      <c r="S338" s="22"/>
      <c r="T338" s="74"/>
      <c r="U338" s="6"/>
      <c r="V338" s="74"/>
    </row>
    <row r="339" ht="22.5" customHeight="1">
      <c r="A339" s="6"/>
      <c r="C339" s="6"/>
      <c r="D339" s="22"/>
      <c r="E339" s="20"/>
      <c r="F339" s="21"/>
      <c r="G339" s="21"/>
      <c r="H339" s="21"/>
      <c r="I339" s="35" t="b">
        <v>0</v>
      </c>
      <c r="J339" s="35" t="b">
        <v>0</v>
      </c>
      <c r="K339" s="35" t="b">
        <v>0</v>
      </c>
      <c r="L339" s="82" t="b">
        <v>0</v>
      </c>
      <c r="M339" s="83"/>
      <c r="N339" s="84"/>
      <c r="O339" s="89"/>
      <c r="P339" s="66" t="s">
        <v>112</v>
      </c>
      <c r="Q339" s="22"/>
      <c r="R339" s="22"/>
      <c r="S339" s="22"/>
      <c r="T339" s="74"/>
      <c r="U339" s="6"/>
      <c r="V339" s="74"/>
    </row>
    <row r="340" ht="22.5" customHeight="1">
      <c r="A340" s="6"/>
      <c r="C340" s="6"/>
      <c r="D340" s="22"/>
      <c r="E340" s="20"/>
      <c r="F340" s="21"/>
      <c r="G340" s="21"/>
      <c r="H340" s="21"/>
      <c r="I340" s="35" t="b">
        <v>0</v>
      </c>
      <c r="J340" s="35" t="b">
        <v>0</v>
      </c>
      <c r="K340" s="35" t="b">
        <v>0</v>
      </c>
      <c r="L340" s="82" t="b">
        <v>0</v>
      </c>
      <c r="M340" s="83"/>
      <c r="N340" s="84"/>
      <c r="O340" s="89"/>
      <c r="P340" s="66" t="s">
        <v>112</v>
      </c>
      <c r="Q340" s="22"/>
      <c r="R340" s="22"/>
      <c r="S340" s="22"/>
      <c r="T340" s="74"/>
      <c r="U340" s="6"/>
      <c r="V340" s="74"/>
    </row>
    <row r="341" ht="22.5" customHeight="1">
      <c r="A341" s="6"/>
      <c r="C341" s="6"/>
      <c r="D341" s="22"/>
      <c r="E341" s="20"/>
      <c r="F341" s="21"/>
      <c r="G341" s="21"/>
      <c r="H341" s="21"/>
      <c r="I341" s="35" t="b">
        <v>0</v>
      </c>
      <c r="J341" s="35" t="b">
        <v>0</v>
      </c>
      <c r="K341" s="35" t="b">
        <v>0</v>
      </c>
      <c r="L341" s="82" t="b">
        <v>0</v>
      </c>
      <c r="M341" s="83"/>
      <c r="N341" s="84"/>
      <c r="O341" s="89"/>
      <c r="P341" s="66" t="s">
        <v>112</v>
      </c>
      <c r="Q341" s="22"/>
      <c r="R341" s="22"/>
      <c r="S341" s="22"/>
      <c r="T341" s="74"/>
      <c r="U341" s="6"/>
      <c r="V341" s="74"/>
    </row>
    <row r="342" ht="22.5" customHeight="1">
      <c r="A342" s="6"/>
      <c r="C342" s="6"/>
      <c r="D342" s="22"/>
      <c r="E342" s="20"/>
      <c r="F342" s="21"/>
      <c r="G342" s="21"/>
      <c r="H342" s="21"/>
      <c r="I342" s="35" t="b">
        <v>0</v>
      </c>
      <c r="J342" s="35" t="b">
        <v>0</v>
      </c>
      <c r="K342" s="35" t="b">
        <v>0</v>
      </c>
      <c r="L342" s="82" t="b">
        <v>0</v>
      </c>
      <c r="M342" s="83"/>
      <c r="N342" s="84"/>
      <c r="O342" s="89"/>
      <c r="P342" s="66" t="s">
        <v>112</v>
      </c>
      <c r="Q342" s="22"/>
      <c r="R342" s="22"/>
      <c r="S342" s="22"/>
      <c r="T342" s="74"/>
      <c r="U342" s="6"/>
      <c r="V342" s="74"/>
    </row>
    <row r="343" ht="22.5" customHeight="1">
      <c r="A343" s="6"/>
      <c r="C343" s="6"/>
      <c r="D343" s="22"/>
      <c r="E343" s="20"/>
      <c r="F343" s="21"/>
      <c r="G343" s="21"/>
      <c r="H343" s="21"/>
      <c r="I343" s="35" t="b">
        <v>0</v>
      </c>
      <c r="J343" s="35" t="b">
        <v>0</v>
      </c>
      <c r="K343" s="35" t="b">
        <v>0</v>
      </c>
      <c r="L343" s="82" t="b">
        <v>0</v>
      </c>
      <c r="M343" s="83"/>
      <c r="N343" s="84"/>
      <c r="O343" s="89"/>
      <c r="P343" s="66" t="s">
        <v>112</v>
      </c>
      <c r="Q343" s="22"/>
      <c r="R343" s="22"/>
      <c r="S343" s="22"/>
      <c r="T343" s="74"/>
      <c r="U343" s="6"/>
      <c r="V343" s="74"/>
    </row>
    <row r="344" ht="22.5" customHeight="1">
      <c r="A344" s="6"/>
      <c r="C344" s="6"/>
      <c r="D344" s="22"/>
      <c r="E344" s="20"/>
      <c r="F344" s="21"/>
      <c r="G344" s="21"/>
      <c r="H344" s="21"/>
      <c r="I344" s="35" t="b">
        <v>0</v>
      </c>
      <c r="J344" s="35" t="b">
        <v>0</v>
      </c>
      <c r="K344" s="35" t="b">
        <v>0</v>
      </c>
      <c r="L344" s="82" t="b">
        <v>0</v>
      </c>
      <c r="M344" s="83"/>
      <c r="N344" s="84"/>
      <c r="O344" s="89"/>
      <c r="P344" s="66" t="s">
        <v>112</v>
      </c>
      <c r="Q344" s="22"/>
      <c r="R344" s="22"/>
      <c r="S344" s="22"/>
      <c r="T344" s="74"/>
      <c r="U344" s="6"/>
      <c r="V344" s="74"/>
    </row>
    <row r="345" ht="22.5" customHeight="1">
      <c r="A345" s="6"/>
      <c r="C345" s="6"/>
      <c r="D345" s="22"/>
      <c r="E345" s="20"/>
      <c r="F345" s="21"/>
      <c r="G345" s="21"/>
      <c r="H345" s="21"/>
      <c r="I345" s="35" t="b">
        <v>0</v>
      </c>
      <c r="J345" s="35" t="b">
        <v>0</v>
      </c>
      <c r="K345" s="35" t="b">
        <v>0</v>
      </c>
      <c r="L345" s="82" t="b">
        <v>0</v>
      </c>
      <c r="M345" s="83"/>
      <c r="N345" s="84"/>
      <c r="O345" s="89"/>
      <c r="P345" s="66" t="s">
        <v>112</v>
      </c>
      <c r="Q345" s="22"/>
      <c r="R345" s="22"/>
      <c r="S345" s="22"/>
      <c r="T345" s="74"/>
      <c r="U345" s="6"/>
      <c r="V345" s="74"/>
    </row>
    <row r="346" ht="22.5" customHeight="1">
      <c r="A346" s="6"/>
      <c r="C346" s="6"/>
      <c r="D346" s="22"/>
      <c r="E346" s="20"/>
      <c r="F346" s="21"/>
      <c r="G346" s="21"/>
      <c r="H346" s="21"/>
      <c r="I346" s="35" t="b">
        <v>0</v>
      </c>
      <c r="J346" s="35" t="b">
        <v>0</v>
      </c>
      <c r="K346" s="35" t="b">
        <v>0</v>
      </c>
      <c r="L346" s="82" t="b">
        <v>0</v>
      </c>
      <c r="M346" s="83"/>
      <c r="N346" s="84"/>
      <c r="O346" s="89"/>
      <c r="P346" s="66" t="s">
        <v>112</v>
      </c>
      <c r="Q346" s="22"/>
      <c r="R346" s="22"/>
      <c r="S346" s="22"/>
      <c r="T346" s="74"/>
      <c r="U346" s="6"/>
      <c r="V346" s="74"/>
    </row>
    <row r="347" ht="22.5" customHeight="1">
      <c r="A347" s="6"/>
      <c r="C347" s="6"/>
      <c r="D347" s="22"/>
      <c r="E347" s="20"/>
      <c r="F347" s="21"/>
      <c r="G347" s="21"/>
      <c r="H347" s="21"/>
      <c r="I347" s="35" t="b">
        <v>0</v>
      </c>
      <c r="J347" s="35" t="b">
        <v>0</v>
      </c>
      <c r="K347" s="35" t="b">
        <v>0</v>
      </c>
      <c r="L347" s="82" t="b">
        <v>0</v>
      </c>
      <c r="M347" s="83"/>
      <c r="N347" s="84"/>
      <c r="O347" s="89"/>
      <c r="P347" s="66" t="s">
        <v>112</v>
      </c>
      <c r="Q347" s="22"/>
      <c r="R347" s="22"/>
      <c r="S347" s="22"/>
      <c r="T347" s="74"/>
      <c r="U347" s="6"/>
      <c r="V347" s="74"/>
    </row>
    <row r="348" ht="22.5" customHeight="1">
      <c r="A348" s="6"/>
      <c r="C348" s="6"/>
      <c r="D348" s="22"/>
      <c r="E348" s="20"/>
      <c r="F348" s="21"/>
      <c r="G348" s="21"/>
      <c r="H348" s="21"/>
      <c r="I348" s="35" t="b">
        <v>0</v>
      </c>
      <c r="J348" s="35" t="b">
        <v>0</v>
      </c>
      <c r="K348" s="35" t="b">
        <v>0</v>
      </c>
      <c r="L348" s="82" t="b">
        <v>0</v>
      </c>
      <c r="M348" s="83"/>
      <c r="N348" s="84"/>
      <c r="O348" s="89"/>
      <c r="P348" s="66" t="s">
        <v>112</v>
      </c>
      <c r="Q348" s="22"/>
      <c r="R348" s="22"/>
      <c r="S348" s="22"/>
      <c r="T348" s="74"/>
      <c r="U348" s="6"/>
      <c r="V348" s="74"/>
    </row>
    <row r="349" ht="22.5" customHeight="1">
      <c r="A349" s="6"/>
      <c r="C349" s="6"/>
      <c r="D349" s="22"/>
      <c r="E349" s="20"/>
      <c r="F349" s="21"/>
      <c r="G349" s="21"/>
      <c r="H349" s="21"/>
      <c r="I349" s="35" t="b">
        <v>0</v>
      </c>
      <c r="J349" s="35" t="b">
        <v>0</v>
      </c>
      <c r="K349" s="35" t="b">
        <v>0</v>
      </c>
      <c r="L349" s="82" t="b">
        <v>0</v>
      </c>
      <c r="M349" s="83"/>
      <c r="N349" s="84"/>
      <c r="O349" s="89"/>
      <c r="P349" s="66" t="s">
        <v>112</v>
      </c>
      <c r="Q349" s="22"/>
      <c r="R349" s="22"/>
      <c r="S349" s="22"/>
      <c r="T349" s="74"/>
      <c r="U349" s="6"/>
      <c r="V349" s="74"/>
    </row>
    <row r="350" ht="22.5" customHeight="1">
      <c r="A350" s="6"/>
      <c r="C350" s="6"/>
      <c r="D350" s="22"/>
      <c r="E350" s="20"/>
      <c r="F350" s="21"/>
      <c r="G350" s="21"/>
      <c r="H350" s="21"/>
      <c r="I350" s="35" t="b">
        <v>0</v>
      </c>
      <c r="J350" s="35" t="b">
        <v>0</v>
      </c>
      <c r="K350" s="35" t="b">
        <v>0</v>
      </c>
      <c r="L350" s="82" t="b">
        <v>0</v>
      </c>
      <c r="M350" s="83"/>
      <c r="N350" s="84"/>
      <c r="O350" s="89"/>
      <c r="P350" s="66" t="s">
        <v>112</v>
      </c>
      <c r="Q350" s="22"/>
      <c r="R350" s="22"/>
      <c r="S350" s="22"/>
      <c r="T350" s="74"/>
      <c r="U350" s="6"/>
      <c r="V350" s="74"/>
    </row>
    <row r="351" ht="22.5" customHeight="1">
      <c r="A351" s="6"/>
      <c r="C351" s="6"/>
      <c r="D351" s="22"/>
      <c r="E351" s="20"/>
      <c r="F351" s="21"/>
      <c r="G351" s="21"/>
      <c r="H351" s="21"/>
      <c r="I351" s="35" t="b">
        <v>0</v>
      </c>
      <c r="J351" s="35" t="b">
        <v>0</v>
      </c>
      <c r="K351" s="35" t="b">
        <v>0</v>
      </c>
      <c r="L351" s="82" t="b">
        <v>0</v>
      </c>
      <c r="M351" s="83"/>
      <c r="N351" s="84"/>
      <c r="O351" s="89"/>
      <c r="P351" s="66" t="s">
        <v>112</v>
      </c>
      <c r="Q351" s="22"/>
      <c r="R351" s="22"/>
      <c r="S351" s="22"/>
      <c r="T351" s="74"/>
      <c r="U351" s="6"/>
      <c r="V351" s="74"/>
    </row>
    <row r="352" ht="22.5" customHeight="1">
      <c r="A352" s="6"/>
      <c r="C352" s="6"/>
      <c r="D352" s="22"/>
      <c r="E352" s="20"/>
      <c r="F352" s="21"/>
      <c r="G352" s="21"/>
      <c r="H352" s="21"/>
      <c r="I352" s="35" t="b">
        <v>0</v>
      </c>
      <c r="J352" s="35" t="b">
        <v>0</v>
      </c>
      <c r="K352" s="35" t="b">
        <v>0</v>
      </c>
      <c r="L352" s="82" t="b">
        <v>0</v>
      </c>
      <c r="M352" s="83"/>
      <c r="N352" s="84"/>
      <c r="O352" s="89"/>
      <c r="P352" s="66" t="s">
        <v>112</v>
      </c>
      <c r="Q352" s="22"/>
      <c r="R352" s="22"/>
      <c r="S352" s="22"/>
      <c r="T352" s="74"/>
      <c r="U352" s="6"/>
      <c r="V352" s="74"/>
    </row>
    <row r="353" ht="22.5" customHeight="1">
      <c r="A353" s="6"/>
      <c r="C353" s="6"/>
      <c r="D353" s="22"/>
      <c r="E353" s="20"/>
      <c r="F353" s="21"/>
      <c r="G353" s="21"/>
      <c r="H353" s="21"/>
      <c r="I353" s="35" t="b">
        <v>0</v>
      </c>
      <c r="J353" s="35" t="b">
        <v>0</v>
      </c>
      <c r="K353" s="35" t="b">
        <v>0</v>
      </c>
      <c r="L353" s="82" t="b">
        <v>0</v>
      </c>
      <c r="M353" s="83"/>
      <c r="N353" s="84"/>
      <c r="O353" s="89"/>
      <c r="P353" s="66" t="s">
        <v>112</v>
      </c>
      <c r="Q353" s="22"/>
      <c r="R353" s="22"/>
      <c r="S353" s="22"/>
      <c r="T353" s="74"/>
      <c r="U353" s="6"/>
      <c r="V353" s="74"/>
    </row>
    <row r="354" ht="22.5" customHeight="1">
      <c r="A354" s="6"/>
      <c r="C354" s="6"/>
      <c r="D354" s="22"/>
      <c r="E354" s="20"/>
      <c r="F354" s="21"/>
      <c r="G354" s="21"/>
      <c r="H354" s="21"/>
      <c r="I354" s="35" t="b">
        <v>0</v>
      </c>
      <c r="J354" s="35" t="b">
        <v>0</v>
      </c>
      <c r="K354" s="35" t="b">
        <v>0</v>
      </c>
      <c r="L354" s="82" t="b">
        <v>0</v>
      </c>
      <c r="M354" s="83"/>
      <c r="N354" s="84"/>
      <c r="O354" s="89"/>
      <c r="P354" s="66" t="s">
        <v>112</v>
      </c>
      <c r="Q354" s="22"/>
      <c r="R354" s="22"/>
      <c r="S354" s="22"/>
      <c r="T354" s="74"/>
      <c r="U354" s="6"/>
      <c r="V354" s="74"/>
    </row>
    <row r="355" ht="22.5" customHeight="1">
      <c r="A355" s="6"/>
      <c r="C355" s="6"/>
      <c r="D355" s="22"/>
      <c r="E355" s="20"/>
      <c r="F355" s="21"/>
      <c r="G355" s="21"/>
      <c r="H355" s="21"/>
      <c r="I355" s="35" t="b">
        <v>0</v>
      </c>
      <c r="J355" s="35" t="b">
        <v>0</v>
      </c>
      <c r="K355" s="35" t="b">
        <v>0</v>
      </c>
      <c r="L355" s="82" t="b">
        <v>0</v>
      </c>
      <c r="M355" s="83"/>
      <c r="N355" s="84"/>
      <c r="O355" s="89"/>
      <c r="P355" s="66" t="s">
        <v>112</v>
      </c>
      <c r="Q355" s="22"/>
      <c r="R355" s="22"/>
      <c r="S355" s="22"/>
      <c r="T355" s="74"/>
      <c r="U355" s="6"/>
      <c r="V355" s="74"/>
    </row>
    <row r="356" ht="22.5" customHeight="1">
      <c r="A356" s="6"/>
      <c r="C356" s="6"/>
      <c r="D356" s="22"/>
      <c r="E356" s="20"/>
      <c r="F356" s="21"/>
      <c r="G356" s="21"/>
      <c r="H356" s="21"/>
      <c r="I356" s="35" t="b">
        <v>0</v>
      </c>
      <c r="J356" s="35" t="b">
        <v>0</v>
      </c>
      <c r="K356" s="35" t="b">
        <v>0</v>
      </c>
      <c r="L356" s="82" t="b">
        <v>0</v>
      </c>
      <c r="M356" s="83"/>
      <c r="N356" s="84"/>
      <c r="O356" s="89"/>
      <c r="P356" s="66" t="s">
        <v>112</v>
      </c>
      <c r="Q356" s="22"/>
      <c r="R356" s="22"/>
      <c r="S356" s="22"/>
      <c r="T356" s="74"/>
      <c r="U356" s="6"/>
      <c r="V356" s="74"/>
    </row>
    <row r="357" ht="22.5" customHeight="1">
      <c r="A357" s="6"/>
      <c r="C357" s="6"/>
      <c r="D357" s="22"/>
      <c r="E357" s="20"/>
      <c r="F357" s="21"/>
      <c r="G357" s="21"/>
      <c r="H357" s="21"/>
      <c r="I357" s="35" t="b">
        <v>0</v>
      </c>
      <c r="J357" s="35" t="b">
        <v>0</v>
      </c>
      <c r="K357" s="35" t="b">
        <v>0</v>
      </c>
      <c r="L357" s="82" t="b">
        <v>0</v>
      </c>
      <c r="M357" s="83"/>
      <c r="N357" s="84"/>
      <c r="O357" s="89"/>
      <c r="P357" s="66" t="s">
        <v>112</v>
      </c>
      <c r="Q357" s="22"/>
      <c r="R357" s="22"/>
      <c r="S357" s="22"/>
      <c r="T357" s="74"/>
      <c r="U357" s="6"/>
      <c r="V357" s="74"/>
    </row>
    <row r="358" ht="22.5" customHeight="1">
      <c r="A358" s="6"/>
      <c r="C358" s="6"/>
      <c r="D358" s="22"/>
      <c r="E358" s="20"/>
      <c r="F358" s="21"/>
      <c r="G358" s="21"/>
      <c r="H358" s="21"/>
      <c r="I358" s="35" t="b">
        <v>0</v>
      </c>
      <c r="J358" s="35" t="b">
        <v>0</v>
      </c>
      <c r="K358" s="35" t="b">
        <v>0</v>
      </c>
      <c r="L358" s="82" t="b">
        <v>0</v>
      </c>
      <c r="M358" s="83"/>
      <c r="N358" s="84"/>
      <c r="O358" s="89"/>
      <c r="P358" s="66" t="s">
        <v>112</v>
      </c>
      <c r="Q358" s="22"/>
      <c r="R358" s="22"/>
      <c r="S358" s="22"/>
      <c r="T358" s="74"/>
      <c r="U358" s="6"/>
      <c r="V358" s="74"/>
    </row>
    <row r="359" ht="22.5" customHeight="1">
      <c r="A359" s="6"/>
      <c r="C359" s="6"/>
      <c r="D359" s="22"/>
      <c r="E359" s="20"/>
      <c r="F359" s="21"/>
      <c r="G359" s="21"/>
      <c r="H359" s="21"/>
      <c r="I359" s="35" t="b">
        <v>0</v>
      </c>
      <c r="J359" s="35" t="b">
        <v>0</v>
      </c>
      <c r="K359" s="35" t="b">
        <v>0</v>
      </c>
      <c r="L359" s="82" t="b">
        <v>0</v>
      </c>
      <c r="M359" s="83"/>
      <c r="N359" s="84"/>
      <c r="O359" s="89"/>
      <c r="P359" s="66" t="s">
        <v>112</v>
      </c>
      <c r="Q359" s="22"/>
      <c r="R359" s="22"/>
      <c r="S359" s="22"/>
      <c r="T359" s="74"/>
      <c r="U359" s="6"/>
      <c r="V359" s="74"/>
    </row>
    <row r="360" ht="22.5" customHeight="1">
      <c r="A360" s="6"/>
      <c r="C360" s="6"/>
      <c r="D360" s="22"/>
      <c r="E360" s="20"/>
      <c r="F360" s="21"/>
      <c r="G360" s="21"/>
      <c r="H360" s="21"/>
      <c r="I360" s="35" t="b">
        <v>0</v>
      </c>
      <c r="J360" s="35" t="b">
        <v>0</v>
      </c>
      <c r="K360" s="35" t="b">
        <v>0</v>
      </c>
      <c r="L360" s="82" t="b">
        <v>0</v>
      </c>
      <c r="M360" s="83"/>
      <c r="N360" s="84"/>
      <c r="O360" s="89"/>
      <c r="P360" s="66" t="s">
        <v>112</v>
      </c>
      <c r="Q360" s="22"/>
      <c r="R360" s="22"/>
      <c r="S360" s="22"/>
      <c r="T360" s="74"/>
      <c r="U360" s="6"/>
      <c r="V360" s="74"/>
    </row>
    <row r="361" ht="22.5" customHeight="1">
      <c r="A361" s="6"/>
      <c r="C361" s="6"/>
      <c r="D361" s="22"/>
      <c r="E361" s="20"/>
      <c r="F361" s="21"/>
      <c r="G361" s="21"/>
      <c r="H361" s="21"/>
      <c r="I361" s="35" t="b">
        <v>0</v>
      </c>
      <c r="J361" s="35" t="b">
        <v>0</v>
      </c>
      <c r="K361" s="35" t="b">
        <v>0</v>
      </c>
      <c r="L361" s="82" t="b">
        <v>0</v>
      </c>
      <c r="M361" s="83"/>
      <c r="N361" s="84"/>
      <c r="O361" s="89"/>
      <c r="P361" s="66" t="s">
        <v>112</v>
      </c>
      <c r="Q361" s="22"/>
      <c r="R361" s="22"/>
      <c r="S361" s="22"/>
      <c r="T361" s="74"/>
      <c r="U361" s="6"/>
      <c r="V361" s="74"/>
    </row>
    <row r="362" ht="22.5" customHeight="1">
      <c r="A362" s="6"/>
      <c r="C362" s="6"/>
      <c r="D362" s="22"/>
      <c r="E362" s="20"/>
      <c r="F362" s="21"/>
      <c r="G362" s="21"/>
      <c r="H362" s="21"/>
      <c r="I362" s="35" t="b">
        <v>0</v>
      </c>
      <c r="J362" s="35" t="b">
        <v>0</v>
      </c>
      <c r="K362" s="35" t="b">
        <v>0</v>
      </c>
      <c r="L362" s="82" t="b">
        <v>0</v>
      </c>
      <c r="M362" s="83"/>
      <c r="N362" s="84"/>
      <c r="O362" s="89"/>
      <c r="P362" s="66" t="s">
        <v>112</v>
      </c>
      <c r="Q362" s="22"/>
      <c r="R362" s="22"/>
      <c r="S362" s="22"/>
      <c r="T362" s="74"/>
      <c r="U362" s="6"/>
      <c r="V362" s="74"/>
    </row>
    <row r="363" ht="22.5" customHeight="1">
      <c r="A363" s="6"/>
      <c r="C363" s="6"/>
      <c r="D363" s="22"/>
      <c r="E363" s="20"/>
      <c r="F363" s="21"/>
      <c r="G363" s="21"/>
      <c r="H363" s="21"/>
      <c r="I363" s="35" t="b">
        <v>0</v>
      </c>
      <c r="J363" s="35" t="b">
        <v>0</v>
      </c>
      <c r="K363" s="35" t="b">
        <v>0</v>
      </c>
      <c r="L363" s="82" t="b">
        <v>0</v>
      </c>
      <c r="M363" s="83"/>
      <c r="N363" s="84"/>
      <c r="O363" s="89"/>
      <c r="P363" s="66" t="s">
        <v>112</v>
      </c>
      <c r="Q363" s="22"/>
      <c r="R363" s="22"/>
      <c r="S363" s="22"/>
      <c r="T363" s="74"/>
      <c r="U363" s="6"/>
      <c r="V363" s="74"/>
    </row>
    <row r="364" ht="22.5" customHeight="1">
      <c r="A364" s="6"/>
      <c r="C364" s="6"/>
      <c r="D364" s="22"/>
      <c r="E364" s="20"/>
      <c r="F364" s="21"/>
      <c r="G364" s="21"/>
      <c r="H364" s="21"/>
      <c r="I364" s="35" t="b">
        <v>0</v>
      </c>
      <c r="J364" s="35" t="b">
        <v>0</v>
      </c>
      <c r="K364" s="35" t="b">
        <v>0</v>
      </c>
      <c r="L364" s="82" t="b">
        <v>0</v>
      </c>
      <c r="M364" s="83"/>
      <c r="N364" s="84"/>
      <c r="O364" s="89"/>
      <c r="P364" s="66" t="s">
        <v>112</v>
      </c>
      <c r="Q364" s="22"/>
      <c r="R364" s="22"/>
      <c r="S364" s="22"/>
      <c r="T364" s="74"/>
      <c r="U364" s="6"/>
      <c r="V364" s="74"/>
    </row>
    <row r="365" ht="22.5" customHeight="1">
      <c r="A365" s="6"/>
      <c r="C365" s="6"/>
      <c r="D365" s="22"/>
      <c r="E365" s="20"/>
      <c r="F365" s="21"/>
      <c r="G365" s="21"/>
      <c r="H365" s="21"/>
      <c r="I365" s="35" t="b">
        <v>0</v>
      </c>
      <c r="J365" s="35" t="b">
        <v>0</v>
      </c>
      <c r="K365" s="35" t="b">
        <v>0</v>
      </c>
      <c r="L365" s="82" t="b">
        <v>0</v>
      </c>
      <c r="M365" s="83"/>
      <c r="N365" s="84"/>
      <c r="O365" s="89"/>
      <c r="P365" s="66" t="s">
        <v>112</v>
      </c>
      <c r="Q365" s="22"/>
      <c r="R365" s="22"/>
      <c r="S365" s="22"/>
      <c r="T365" s="74"/>
      <c r="U365" s="6"/>
      <c r="V365" s="74"/>
    </row>
    <row r="366" ht="22.5" customHeight="1">
      <c r="A366" s="6"/>
      <c r="C366" s="6"/>
      <c r="D366" s="22"/>
      <c r="E366" s="20"/>
      <c r="F366" s="21"/>
      <c r="G366" s="21"/>
      <c r="H366" s="21"/>
      <c r="I366" s="35" t="b">
        <v>0</v>
      </c>
      <c r="J366" s="35" t="b">
        <v>0</v>
      </c>
      <c r="K366" s="35" t="b">
        <v>0</v>
      </c>
      <c r="L366" s="82" t="b">
        <v>0</v>
      </c>
      <c r="M366" s="83"/>
      <c r="N366" s="84"/>
      <c r="O366" s="89"/>
      <c r="P366" s="66" t="s">
        <v>112</v>
      </c>
      <c r="Q366" s="22"/>
      <c r="R366" s="22"/>
      <c r="S366" s="22"/>
      <c r="T366" s="74"/>
      <c r="U366" s="6"/>
      <c r="V366" s="74"/>
    </row>
    <row r="367" ht="22.5" customHeight="1">
      <c r="A367" s="6"/>
      <c r="C367" s="6"/>
      <c r="D367" s="22"/>
      <c r="E367" s="20"/>
      <c r="F367" s="21"/>
      <c r="G367" s="21"/>
      <c r="H367" s="21"/>
      <c r="I367" s="35" t="b">
        <v>0</v>
      </c>
      <c r="J367" s="35" t="b">
        <v>0</v>
      </c>
      <c r="K367" s="35" t="b">
        <v>0</v>
      </c>
      <c r="L367" s="82" t="b">
        <v>0</v>
      </c>
      <c r="M367" s="83"/>
      <c r="N367" s="84"/>
      <c r="O367" s="89"/>
      <c r="P367" s="66" t="s">
        <v>112</v>
      </c>
      <c r="Q367" s="22"/>
      <c r="R367" s="22"/>
      <c r="S367" s="22"/>
      <c r="T367" s="74"/>
      <c r="U367" s="6"/>
      <c r="V367" s="74"/>
    </row>
    <row r="368" ht="22.5" customHeight="1">
      <c r="A368" s="6"/>
      <c r="C368" s="6"/>
      <c r="D368" s="22"/>
      <c r="E368" s="20"/>
      <c r="F368" s="21"/>
      <c r="G368" s="21"/>
      <c r="H368" s="21"/>
      <c r="I368" s="35" t="b">
        <v>0</v>
      </c>
      <c r="J368" s="35" t="b">
        <v>0</v>
      </c>
      <c r="K368" s="35" t="b">
        <v>0</v>
      </c>
      <c r="L368" s="82" t="b">
        <v>0</v>
      </c>
      <c r="M368" s="83"/>
      <c r="N368" s="84"/>
      <c r="O368" s="89"/>
      <c r="P368" s="66" t="s">
        <v>112</v>
      </c>
      <c r="Q368" s="22"/>
      <c r="R368" s="22"/>
      <c r="S368" s="22"/>
      <c r="T368" s="74"/>
      <c r="U368" s="6"/>
      <c r="V368" s="74"/>
    </row>
    <row r="369" ht="22.5" customHeight="1">
      <c r="A369" s="6"/>
      <c r="C369" s="6"/>
      <c r="D369" s="22"/>
      <c r="E369" s="20"/>
      <c r="F369" s="21"/>
      <c r="G369" s="21"/>
      <c r="H369" s="21"/>
      <c r="I369" s="35" t="b">
        <v>0</v>
      </c>
      <c r="J369" s="35" t="b">
        <v>0</v>
      </c>
      <c r="K369" s="35" t="b">
        <v>0</v>
      </c>
      <c r="L369" s="82" t="b">
        <v>0</v>
      </c>
      <c r="M369" s="83"/>
      <c r="N369" s="84"/>
      <c r="O369" s="89"/>
      <c r="P369" s="66" t="s">
        <v>112</v>
      </c>
      <c r="Q369" s="22"/>
      <c r="R369" s="22"/>
      <c r="S369" s="22"/>
      <c r="T369" s="74"/>
      <c r="U369" s="6"/>
      <c r="V369" s="74"/>
    </row>
    <row r="370" ht="22.5" customHeight="1">
      <c r="A370" s="6"/>
      <c r="C370" s="6"/>
      <c r="D370" s="22"/>
      <c r="E370" s="20"/>
      <c r="F370" s="21"/>
      <c r="G370" s="21"/>
      <c r="H370" s="21"/>
      <c r="I370" s="35" t="b">
        <v>0</v>
      </c>
      <c r="J370" s="35" t="b">
        <v>0</v>
      </c>
      <c r="K370" s="35" t="b">
        <v>0</v>
      </c>
      <c r="L370" s="82" t="b">
        <v>0</v>
      </c>
      <c r="M370" s="83"/>
      <c r="N370" s="84"/>
      <c r="O370" s="89"/>
      <c r="P370" s="66" t="s">
        <v>112</v>
      </c>
      <c r="Q370" s="22"/>
      <c r="R370" s="22"/>
      <c r="S370" s="22"/>
      <c r="T370" s="74"/>
      <c r="U370" s="6"/>
      <c r="V370" s="74"/>
    </row>
    <row r="371" ht="22.5" customHeight="1">
      <c r="A371" s="6"/>
      <c r="C371" s="6"/>
      <c r="D371" s="22"/>
      <c r="E371" s="20"/>
      <c r="F371" s="21"/>
      <c r="G371" s="21"/>
      <c r="H371" s="21"/>
      <c r="I371" s="35" t="b">
        <v>0</v>
      </c>
      <c r="J371" s="35" t="b">
        <v>0</v>
      </c>
      <c r="K371" s="35" t="b">
        <v>0</v>
      </c>
      <c r="L371" s="82" t="b">
        <v>0</v>
      </c>
      <c r="M371" s="83"/>
      <c r="N371" s="84"/>
      <c r="O371" s="89"/>
      <c r="P371" s="66" t="s">
        <v>112</v>
      </c>
      <c r="Q371" s="22"/>
      <c r="R371" s="22"/>
      <c r="S371" s="22"/>
      <c r="T371" s="74"/>
      <c r="U371" s="6"/>
      <c r="V371" s="74"/>
    </row>
    <row r="372" ht="22.5" customHeight="1">
      <c r="A372" s="6"/>
      <c r="C372" s="6"/>
      <c r="D372" s="22"/>
      <c r="E372" s="20"/>
      <c r="F372" s="21"/>
      <c r="G372" s="21"/>
      <c r="H372" s="21"/>
      <c r="I372" s="35" t="b">
        <v>0</v>
      </c>
      <c r="J372" s="35" t="b">
        <v>0</v>
      </c>
      <c r="K372" s="35" t="b">
        <v>0</v>
      </c>
      <c r="L372" s="82" t="b">
        <v>0</v>
      </c>
      <c r="M372" s="83"/>
      <c r="N372" s="84"/>
      <c r="O372" s="89"/>
      <c r="P372" s="66" t="s">
        <v>112</v>
      </c>
      <c r="Q372" s="22"/>
      <c r="R372" s="22"/>
      <c r="S372" s="22"/>
      <c r="T372" s="74"/>
      <c r="U372" s="6"/>
      <c r="V372" s="74"/>
    </row>
    <row r="373" ht="22.5" customHeight="1">
      <c r="A373" s="6"/>
      <c r="C373" s="6"/>
      <c r="D373" s="22"/>
      <c r="E373" s="20"/>
      <c r="F373" s="21"/>
      <c r="G373" s="21"/>
      <c r="H373" s="21"/>
      <c r="I373" s="35" t="b">
        <v>0</v>
      </c>
      <c r="J373" s="35" t="b">
        <v>0</v>
      </c>
      <c r="K373" s="35" t="b">
        <v>0</v>
      </c>
      <c r="L373" s="82" t="b">
        <v>0</v>
      </c>
      <c r="M373" s="83"/>
      <c r="N373" s="84"/>
      <c r="O373" s="89"/>
      <c r="P373" s="66" t="s">
        <v>112</v>
      </c>
      <c r="Q373" s="22"/>
      <c r="R373" s="22"/>
      <c r="S373" s="22"/>
      <c r="T373" s="74"/>
      <c r="U373" s="6"/>
      <c r="V373" s="74"/>
    </row>
    <row r="374" ht="22.5" customHeight="1">
      <c r="A374" s="6"/>
      <c r="C374" s="6"/>
      <c r="D374" s="22"/>
      <c r="E374" s="20"/>
      <c r="F374" s="21"/>
      <c r="G374" s="21"/>
      <c r="H374" s="21"/>
      <c r="I374" s="35" t="b">
        <v>0</v>
      </c>
      <c r="J374" s="35" t="b">
        <v>0</v>
      </c>
      <c r="K374" s="35" t="b">
        <v>0</v>
      </c>
      <c r="L374" s="82" t="b">
        <v>0</v>
      </c>
      <c r="M374" s="83"/>
      <c r="N374" s="84"/>
      <c r="O374" s="89"/>
      <c r="P374" s="66" t="s">
        <v>112</v>
      </c>
      <c r="Q374" s="22"/>
      <c r="R374" s="22"/>
      <c r="S374" s="22"/>
      <c r="T374" s="74"/>
      <c r="U374" s="6"/>
      <c r="V374" s="74"/>
    </row>
    <row r="375" ht="22.5" customHeight="1">
      <c r="A375" s="6"/>
      <c r="C375" s="6"/>
      <c r="D375" s="22"/>
      <c r="E375" s="20"/>
      <c r="F375" s="21"/>
      <c r="G375" s="21"/>
      <c r="H375" s="21"/>
      <c r="I375" s="35" t="b">
        <v>0</v>
      </c>
      <c r="J375" s="35" t="b">
        <v>0</v>
      </c>
      <c r="K375" s="35" t="b">
        <v>0</v>
      </c>
      <c r="L375" s="82" t="b">
        <v>0</v>
      </c>
      <c r="M375" s="83"/>
      <c r="N375" s="84"/>
      <c r="O375" s="89"/>
      <c r="P375" s="66" t="s">
        <v>112</v>
      </c>
      <c r="Q375" s="22"/>
      <c r="R375" s="22"/>
      <c r="S375" s="22"/>
      <c r="T375" s="74"/>
      <c r="U375" s="6"/>
      <c r="V375" s="74"/>
    </row>
    <row r="376" ht="22.5" customHeight="1">
      <c r="A376" s="6"/>
      <c r="C376" s="6"/>
      <c r="D376" s="22"/>
      <c r="E376" s="20"/>
      <c r="F376" s="21"/>
      <c r="G376" s="21"/>
      <c r="H376" s="21"/>
      <c r="I376" s="35" t="b">
        <v>0</v>
      </c>
      <c r="J376" s="35" t="b">
        <v>0</v>
      </c>
      <c r="K376" s="35" t="b">
        <v>0</v>
      </c>
      <c r="L376" s="82" t="b">
        <v>0</v>
      </c>
      <c r="M376" s="83"/>
      <c r="N376" s="84"/>
      <c r="O376" s="89"/>
      <c r="P376" s="66" t="s">
        <v>112</v>
      </c>
      <c r="Q376" s="22"/>
      <c r="R376" s="22"/>
      <c r="S376" s="22"/>
      <c r="T376" s="74"/>
      <c r="U376" s="6"/>
      <c r="V376" s="74"/>
    </row>
    <row r="377" ht="22.5" customHeight="1">
      <c r="A377" s="6"/>
      <c r="C377" s="6"/>
      <c r="D377" s="22"/>
      <c r="E377" s="20"/>
      <c r="F377" s="21"/>
      <c r="G377" s="21"/>
      <c r="H377" s="21"/>
      <c r="I377" s="35" t="b">
        <v>0</v>
      </c>
      <c r="J377" s="35" t="b">
        <v>0</v>
      </c>
      <c r="K377" s="35" t="b">
        <v>0</v>
      </c>
      <c r="L377" s="82" t="b">
        <v>0</v>
      </c>
      <c r="M377" s="83"/>
      <c r="N377" s="84"/>
      <c r="O377" s="89"/>
      <c r="P377" s="66" t="s">
        <v>112</v>
      </c>
      <c r="Q377" s="22"/>
      <c r="R377" s="22"/>
      <c r="S377" s="22"/>
      <c r="T377" s="74"/>
      <c r="U377" s="6"/>
      <c r="V377" s="74"/>
    </row>
    <row r="378" ht="22.5" customHeight="1">
      <c r="A378" s="6"/>
      <c r="C378" s="6"/>
      <c r="D378" s="22"/>
      <c r="E378" s="20"/>
      <c r="F378" s="21"/>
      <c r="G378" s="21"/>
      <c r="H378" s="21"/>
      <c r="I378" s="35" t="b">
        <v>0</v>
      </c>
      <c r="J378" s="35" t="b">
        <v>0</v>
      </c>
      <c r="K378" s="35" t="b">
        <v>0</v>
      </c>
      <c r="L378" s="82" t="b">
        <v>0</v>
      </c>
      <c r="M378" s="83"/>
      <c r="N378" s="84"/>
      <c r="O378" s="89"/>
      <c r="P378" s="66" t="s">
        <v>112</v>
      </c>
      <c r="Q378" s="22"/>
      <c r="R378" s="22"/>
      <c r="S378" s="22"/>
      <c r="T378" s="74"/>
      <c r="U378" s="6"/>
      <c r="V378" s="74"/>
    </row>
    <row r="379" ht="22.5" customHeight="1">
      <c r="A379" s="6"/>
      <c r="C379" s="6"/>
      <c r="D379" s="22"/>
      <c r="E379" s="20"/>
      <c r="F379" s="21"/>
      <c r="G379" s="21"/>
      <c r="H379" s="21"/>
      <c r="I379" s="35" t="b">
        <v>0</v>
      </c>
      <c r="J379" s="35" t="b">
        <v>0</v>
      </c>
      <c r="K379" s="35" t="b">
        <v>0</v>
      </c>
      <c r="L379" s="82" t="b">
        <v>0</v>
      </c>
      <c r="M379" s="83"/>
      <c r="N379" s="84"/>
      <c r="O379" s="89"/>
      <c r="P379" s="66" t="s">
        <v>112</v>
      </c>
      <c r="Q379" s="22"/>
      <c r="R379" s="22"/>
      <c r="S379" s="22"/>
      <c r="T379" s="74"/>
      <c r="U379" s="6"/>
      <c r="V379" s="74"/>
    </row>
    <row r="380" ht="22.5" customHeight="1">
      <c r="A380" s="6"/>
      <c r="C380" s="6"/>
      <c r="D380" s="22"/>
      <c r="E380" s="20"/>
      <c r="F380" s="21"/>
      <c r="G380" s="21"/>
      <c r="H380" s="21"/>
      <c r="I380" s="35" t="b">
        <v>0</v>
      </c>
      <c r="J380" s="35" t="b">
        <v>0</v>
      </c>
      <c r="K380" s="35" t="b">
        <v>0</v>
      </c>
      <c r="L380" s="82" t="b">
        <v>0</v>
      </c>
      <c r="M380" s="83"/>
      <c r="N380" s="84"/>
      <c r="O380" s="89"/>
      <c r="P380" s="66" t="s">
        <v>112</v>
      </c>
      <c r="Q380" s="22"/>
      <c r="R380" s="22"/>
      <c r="S380" s="22"/>
      <c r="T380" s="74"/>
      <c r="U380" s="6"/>
      <c r="V380" s="74"/>
    </row>
    <row r="381" ht="22.5" customHeight="1">
      <c r="A381" s="6"/>
      <c r="C381" s="6"/>
      <c r="D381" s="22"/>
      <c r="E381" s="20"/>
      <c r="F381" s="21"/>
      <c r="G381" s="21"/>
      <c r="H381" s="21"/>
      <c r="I381" s="35" t="b">
        <v>0</v>
      </c>
      <c r="J381" s="35" t="b">
        <v>0</v>
      </c>
      <c r="K381" s="35" t="b">
        <v>0</v>
      </c>
      <c r="L381" s="82" t="b">
        <v>0</v>
      </c>
      <c r="M381" s="83"/>
      <c r="N381" s="84"/>
      <c r="O381" s="89"/>
      <c r="P381" s="66" t="s">
        <v>112</v>
      </c>
      <c r="Q381" s="22"/>
      <c r="R381" s="22"/>
      <c r="S381" s="22"/>
      <c r="T381" s="74"/>
      <c r="U381" s="6"/>
      <c r="V381" s="74"/>
    </row>
    <row r="382" ht="22.5" customHeight="1">
      <c r="A382" s="6"/>
      <c r="C382" s="6"/>
      <c r="D382" s="22"/>
      <c r="E382" s="20"/>
      <c r="F382" s="21"/>
      <c r="G382" s="21"/>
      <c r="H382" s="21"/>
      <c r="I382" s="35" t="b">
        <v>0</v>
      </c>
      <c r="J382" s="35" t="b">
        <v>0</v>
      </c>
      <c r="K382" s="35" t="b">
        <v>0</v>
      </c>
      <c r="L382" s="82" t="b">
        <v>0</v>
      </c>
      <c r="M382" s="83"/>
      <c r="N382" s="84"/>
      <c r="O382" s="89"/>
      <c r="P382" s="66" t="s">
        <v>112</v>
      </c>
      <c r="Q382" s="22"/>
      <c r="R382" s="22"/>
      <c r="S382" s="22"/>
      <c r="T382" s="74"/>
      <c r="U382" s="6"/>
      <c r="V382" s="74"/>
    </row>
    <row r="383" ht="22.5" customHeight="1">
      <c r="A383" s="6"/>
      <c r="C383" s="6"/>
      <c r="D383" s="22"/>
      <c r="E383" s="20"/>
      <c r="F383" s="21"/>
      <c r="G383" s="21"/>
      <c r="H383" s="21"/>
      <c r="I383" s="35" t="b">
        <v>0</v>
      </c>
      <c r="J383" s="35" t="b">
        <v>0</v>
      </c>
      <c r="K383" s="35" t="b">
        <v>0</v>
      </c>
      <c r="L383" s="82" t="b">
        <v>0</v>
      </c>
      <c r="M383" s="83"/>
      <c r="N383" s="84"/>
      <c r="O383" s="89"/>
      <c r="P383" s="66" t="s">
        <v>112</v>
      </c>
      <c r="Q383" s="22"/>
      <c r="R383" s="22"/>
      <c r="S383" s="22"/>
      <c r="T383" s="74"/>
      <c r="U383" s="6"/>
      <c r="V383" s="74"/>
    </row>
    <row r="384" ht="22.5" customHeight="1">
      <c r="A384" s="6"/>
      <c r="C384" s="6"/>
      <c r="D384" s="22"/>
      <c r="E384" s="20"/>
      <c r="F384" s="21"/>
      <c r="G384" s="21"/>
      <c r="H384" s="21"/>
      <c r="I384" s="35" t="b">
        <v>0</v>
      </c>
      <c r="J384" s="35" t="b">
        <v>0</v>
      </c>
      <c r="K384" s="35" t="b">
        <v>0</v>
      </c>
      <c r="L384" s="82" t="b">
        <v>0</v>
      </c>
      <c r="M384" s="83"/>
      <c r="N384" s="84"/>
      <c r="O384" s="89"/>
      <c r="P384" s="66" t="s">
        <v>112</v>
      </c>
      <c r="Q384" s="22"/>
      <c r="R384" s="22"/>
      <c r="S384" s="22"/>
      <c r="T384" s="74"/>
      <c r="U384" s="6"/>
      <c r="V384" s="74"/>
    </row>
    <row r="385" ht="22.5" customHeight="1">
      <c r="A385" s="6"/>
      <c r="C385" s="6"/>
      <c r="D385" s="22"/>
      <c r="E385" s="20"/>
      <c r="F385" s="21"/>
      <c r="G385" s="21"/>
      <c r="H385" s="21"/>
      <c r="I385" s="35" t="b">
        <v>0</v>
      </c>
      <c r="J385" s="35" t="b">
        <v>0</v>
      </c>
      <c r="K385" s="35" t="b">
        <v>0</v>
      </c>
      <c r="L385" s="82" t="b">
        <v>0</v>
      </c>
      <c r="M385" s="83"/>
      <c r="N385" s="84"/>
      <c r="O385" s="89"/>
      <c r="P385" s="66" t="s">
        <v>112</v>
      </c>
      <c r="Q385" s="22"/>
      <c r="R385" s="22"/>
      <c r="S385" s="22"/>
      <c r="T385" s="74"/>
      <c r="U385" s="6"/>
      <c r="V385" s="74"/>
    </row>
    <row r="386" ht="22.5" customHeight="1">
      <c r="A386" s="6"/>
      <c r="C386" s="6"/>
      <c r="D386" s="22"/>
      <c r="E386" s="20"/>
      <c r="F386" s="21"/>
      <c r="G386" s="21"/>
      <c r="H386" s="21"/>
      <c r="I386" s="35" t="b">
        <v>0</v>
      </c>
      <c r="J386" s="35" t="b">
        <v>0</v>
      </c>
      <c r="K386" s="35" t="b">
        <v>0</v>
      </c>
      <c r="L386" s="82" t="b">
        <v>0</v>
      </c>
      <c r="M386" s="83"/>
      <c r="N386" s="84"/>
      <c r="O386" s="89"/>
      <c r="P386" s="66" t="s">
        <v>112</v>
      </c>
      <c r="Q386" s="22"/>
      <c r="R386" s="22"/>
      <c r="S386" s="22"/>
      <c r="T386" s="74"/>
      <c r="U386" s="6"/>
      <c r="V386" s="74"/>
    </row>
    <row r="387" ht="22.5" customHeight="1">
      <c r="A387" s="6"/>
      <c r="C387" s="6"/>
      <c r="D387" s="22"/>
      <c r="E387" s="20"/>
      <c r="F387" s="21"/>
      <c r="G387" s="21"/>
      <c r="H387" s="21"/>
      <c r="I387" s="35" t="b">
        <v>0</v>
      </c>
      <c r="J387" s="35" t="b">
        <v>0</v>
      </c>
      <c r="K387" s="35" t="b">
        <v>0</v>
      </c>
      <c r="L387" s="82" t="b">
        <v>0</v>
      </c>
      <c r="M387" s="83"/>
      <c r="N387" s="84"/>
      <c r="O387" s="89"/>
      <c r="P387" s="66" t="s">
        <v>112</v>
      </c>
      <c r="Q387" s="22"/>
      <c r="R387" s="22"/>
      <c r="S387" s="22"/>
      <c r="T387" s="74"/>
      <c r="U387" s="6"/>
      <c r="V387" s="74"/>
    </row>
    <row r="388" ht="22.5" customHeight="1">
      <c r="A388" s="6"/>
      <c r="C388" s="6"/>
      <c r="D388" s="22"/>
      <c r="E388" s="20"/>
      <c r="F388" s="21"/>
      <c r="G388" s="21"/>
      <c r="H388" s="21"/>
      <c r="I388" s="35" t="b">
        <v>0</v>
      </c>
      <c r="J388" s="35" t="b">
        <v>0</v>
      </c>
      <c r="K388" s="35" t="b">
        <v>0</v>
      </c>
      <c r="L388" s="82" t="b">
        <v>0</v>
      </c>
      <c r="M388" s="83"/>
      <c r="N388" s="84"/>
      <c r="O388" s="89"/>
      <c r="P388" s="66" t="s">
        <v>112</v>
      </c>
      <c r="Q388" s="22"/>
      <c r="R388" s="22"/>
      <c r="S388" s="22"/>
      <c r="T388" s="74"/>
      <c r="U388" s="6"/>
      <c r="V388" s="74"/>
    </row>
    <row r="389" ht="22.5" customHeight="1">
      <c r="A389" s="6"/>
      <c r="C389" s="6"/>
      <c r="D389" s="22"/>
      <c r="E389" s="20"/>
      <c r="F389" s="21"/>
      <c r="G389" s="21"/>
      <c r="H389" s="21"/>
      <c r="I389" s="35" t="b">
        <v>0</v>
      </c>
      <c r="J389" s="35" t="b">
        <v>0</v>
      </c>
      <c r="K389" s="35" t="b">
        <v>0</v>
      </c>
      <c r="L389" s="82" t="b">
        <v>0</v>
      </c>
      <c r="M389" s="83"/>
      <c r="N389" s="84"/>
      <c r="O389" s="89"/>
      <c r="P389" s="66" t="s">
        <v>112</v>
      </c>
      <c r="Q389" s="22"/>
      <c r="R389" s="22"/>
      <c r="S389" s="22"/>
      <c r="T389" s="74"/>
      <c r="U389" s="6"/>
      <c r="V389" s="74"/>
    </row>
    <row r="390" ht="22.5" customHeight="1">
      <c r="A390" s="6"/>
      <c r="C390" s="6"/>
      <c r="D390" s="22"/>
      <c r="E390" s="20"/>
      <c r="F390" s="21"/>
      <c r="G390" s="21"/>
      <c r="H390" s="21"/>
      <c r="I390" s="35" t="b">
        <v>0</v>
      </c>
      <c r="J390" s="35" t="b">
        <v>0</v>
      </c>
      <c r="K390" s="35" t="b">
        <v>0</v>
      </c>
      <c r="L390" s="82" t="b">
        <v>0</v>
      </c>
      <c r="M390" s="83"/>
      <c r="N390" s="84"/>
      <c r="O390" s="89"/>
      <c r="P390" s="66" t="s">
        <v>112</v>
      </c>
      <c r="Q390" s="22"/>
      <c r="R390" s="22"/>
      <c r="S390" s="22"/>
      <c r="T390" s="74"/>
      <c r="U390" s="6"/>
      <c r="V390" s="74"/>
    </row>
    <row r="391" ht="22.5" customHeight="1">
      <c r="A391" s="6"/>
      <c r="C391" s="6"/>
      <c r="D391" s="22"/>
      <c r="E391" s="20"/>
      <c r="F391" s="21"/>
      <c r="G391" s="21"/>
      <c r="H391" s="21"/>
      <c r="I391" s="35" t="b">
        <v>0</v>
      </c>
      <c r="J391" s="35" t="b">
        <v>0</v>
      </c>
      <c r="K391" s="35" t="b">
        <v>0</v>
      </c>
      <c r="L391" s="82" t="b">
        <v>0</v>
      </c>
      <c r="M391" s="83"/>
      <c r="N391" s="84"/>
      <c r="O391" s="89"/>
      <c r="P391" s="66" t="s">
        <v>112</v>
      </c>
      <c r="Q391" s="22"/>
      <c r="R391" s="22"/>
      <c r="S391" s="22"/>
      <c r="T391" s="74"/>
      <c r="U391" s="6"/>
      <c r="V391" s="74"/>
    </row>
    <row r="392" ht="22.5" customHeight="1">
      <c r="A392" s="6"/>
      <c r="C392" s="6"/>
      <c r="D392" s="22"/>
      <c r="E392" s="20"/>
      <c r="F392" s="21"/>
      <c r="G392" s="21"/>
      <c r="H392" s="21"/>
      <c r="I392" s="35" t="b">
        <v>0</v>
      </c>
      <c r="J392" s="35" t="b">
        <v>0</v>
      </c>
      <c r="K392" s="35" t="b">
        <v>0</v>
      </c>
      <c r="L392" s="82" t="b">
        <v>0</v>
      </c>
      <c r="M392" s="83"/>
      <c r="N392" s="84"/>
      <c r="O392" s="89"/>
      <c r="P392" s="66" t="s">
        <v>112</v>
      </c>
      <c r="Q392" s="22"/>
      <c r="R392" s="22"/>
      <c r="S392" s="22"/>
      <c r="T392" s="74"/>
      <c r="U392" s="6"/>
      <c r="V392" s="74"/>
    </row>
    <row r="393" ht="22.5" customHeight="1">
      <c r="A393" s="6"/>
      <c r="C393" s="6"/>
      <c r="D393" s="22"/>
      <c r="E393" s="20"/>
      <c r="F393" s="21"/>
      <c r="G393" s="21"/>
      <c r="H393" s="21"/>
      <c r="I393" s="35" t="b">
        <v>0</v>
      </c>
      <c r="J393" s="35" t="b">
        <v>0</v>
      </c>
      <c r="K393" s="35" t="b">
        <v>0</v>
      </c>
      <c r="L393" s="82" t="b">
        <v>0</v>
      </c>
      <c r="M393" s="83"/>
      <c r="N393" s="84"/>
      <c r="O393" s="89"/>
      <c r="P393" s="66" t="s">
        <v>112</v>
      </c>
      <c r="Q393" s="22"/>
      <c r="R393" s="22"/>
      <c r="S393" s="22"/>
      <c r="T393" s="74"/>
      <c r="U393" s="6"/>
      <c r="V393" s="74"/>
    </row>
    <row r="394" ht="22.5" customHeight="1">
      <c r="A394" s="6"/>
      <c r="C394" s="6"/>
      <c r="D394" s="22"/>
      <c r="E394" s="20"/>
      <c r="F394" s="21"/>
      <c r="G394" s="21"/>
      <c r="H394" s="21"/>
      <c r="I394" s="35" t="b">
        <v>0</v>
      </c>
      <c r="J394" s="35" t="b">
        <v>0</v>
      </c>
      <c r="K394" s="35" t="b">
        <v>0</v>
      </c>
      <c r="L394" s="82" t="b">
        <v>0</v>
      </c>
      <c r="M394" s="83"/>
      <c r="N394" s="84"/>
      <c r="O394" s="89"/>
      <c r="P394" s="66" t="s">
        <v>112</v>
      </c>
      <c r="Q394" s="22"/>
      <c r="R394" s="22"/>
      <c r="S394" s="22"/>
      <c r="T394" s="74"/>
      <c r="U394" s="6"/>
      <c r="V394" s="74"/>
    </row>
    <row r="395" ht="22.5" customHeight="1">
      <c r="A395" s="6"/>
      <c r="C395" s="6"/>
      <c r="D395" s="22"/>
      <c r="E395" s="20"/>
      <c r="F395" s="21"/>
      <c r="G395" s="21"/>
      <c r="H395" s="21"/>
      <c r="I395" s="35" t="b">
        <v>0</v>
      </c>
      <c r="J395" s="35" t="b">
        <v>0</v>
      </c>
      <c r="K395" s="35" t="b">
        <v>0</v>
      </c>
      <c r="L395" s="82" t="b">
        <v>0</v>
      </c>
      <c r="M395" s="83"/>
      <c r="N395" s="84"/>
      <c r="O395" s="89"/>
      <c r="P395" s="66" t="s">
        <v>112</v>
      </c>
      <c r="Q395" s="22"/>
      <c r="R395" s="22"/>
      <c r="S395" s="22"/>
      <c r="T395" s="74"/>
      <c r="U395" s="6"/>
      <c r="V395" s="74"/>
    </row>
    <row r="396" ht="22.5" customHeight="1">
      <c r="A396" s="6"/>
      <c r="C396" s="6"/>
      <c r="D396" s="22"/>
      <c r="E396" s="20"/>
      <c r="F396" s="21"/>
      <c r="G396" s="21"/>
      <c r="H396" s="21"/>
      <c r="I396" s="35" t="b">
        <v>0</v>
      </c>
      <c r="J396" s="35" t="b">
        <v>0</v>
      </c>
      <c r="K396" s="35" t="b">
        <v>0</v>
      </c>
      <c r="L396" s="82" t="b">
        <v>0</v>
      </c>
      <c r="M396" s="83"/>
      <c r="N396" s="84"/>
      <c r="O396" s="89"/>
      <c r="P396" s="66" t="s">
        <v>112</v>
      </c>
      <c r="Q396" s="22"/>
      <c r="R396" s="22"/>
      <c r="S396" s="22"/>
      <c r="T396" s="74"/>
      <c r="U396" s="6"/>
      <c r="V396" s="74"/>
    </row>
    <row r="397" ht="22.5" customHeight="1">
      <c r="A397" s="6"/>
      <c r="C397" s="6"/>
      <c r="D397" s="22"/>
      <c r="E397" s="20"/>
      <c r="F397" s="21"/>
      <c r="G397" s="21"/>
      <c r="H397" s="21"/>
      <c r="I397" s="35" t="b">
        <v>0</v>
      </c>
      <c r="J397" s="35" t="b">
        <v>0</v>
      </c>
      <c r="K397" s="35" t="b">
        <v>0</v>
      </c>
      <c r="L397" s="82" t="b">
        <v>0</v>
      </c>
      <c r="M397" s="83"/>
      <c r="N397" s="84"/>
      <c r="O397" s="89"/>
      <c r="P397" s="66" t="s">
        <v>112</v>
      </c>
      <c r="Q397" s="22"/>
      <c r="R397" s="22"/>
      <c r="S397" s="22"/>
      <c r="T397" s="74"/>
      <c r="U397" s="6"/>
      <c r="V397" s="74"/>
    </row>
    <row r="398" ht="22.5" customHeight="1">
      <c r="A398" s="6"/>
      <c r="C398" s="6"/>
      <c r="D398" s="22"/>
      <c r="E398" s="20"/>
      <c r="F398" s="21"/>
      <c r="G398" s="21"/>
      <c r="H398" s="21"/>
      <c r="I398" s="35" t="b">
        <v>0</v>
      </c>
      <c r="J398" s="35" t="b">
        <v>0</v>
      </c>
      <c r="K398" s="35" t="b">
        <v>0</v>
      </c>
      <c r="L398" s="82" t="b">
        <v>0</v>
      </c>
      <c r="M398" s="83"/>
      <c r="N398" s="84"/>
      <c r="O398" s="89"/>
      <c r="P398" s="66" t="s">
        <v>112</v>
      </c>
      <c r="Q398" s="22"/>
      <c r="R398" s="22"/>
      <c r="S398" s="22"/>
      <c r="T398" s="74"/>
      <c r="U398" s="6"/>
      <c r="V398" s="74"/>
    </row>
    <row r="399" ht="22.5" customHeight="1">
      <c r="A399" s="6"/>
      <c r="C399" s="6"/>
      <c r="D399" s="22"/>
      <c r="E399" s="20"/>
      <c r="F399" s="21"/>
      <c r="G399" s="21"/>
      <c r="H399" s="21"/>
      <c r="I399" s="35" t="b">
        <v>0</v>
      </c>
      <c r="J399" s="35" t="b">
        <v>0</v>
      </c>
      <c r="K399" s="35" t="b">
        <v>0</v>
      </c>
      <c r="L399" s="82" t="b">
        <v>0</v>
      </c>
      <c r="M399" s="83"/>
      <c r="N399" s="84"/>
      <c r="O399" s="89"/>
      <c r="P399" s="66" t="s">
        <v>112</v>
      </c>
      <c r="Q399" s="22"/>
      <c r="R399" s="22"/>
      <c r="S399" s="22"/>
      <c r="T399" s="74"/>
      <c r="U399" s="6"/>
      <c r="V399" s="74"/>
    </row>
    <row r="400" ht="22.5" customHeight="1">
      <c r="A400" s="6"/>
      <c r="C400" s="6"/>
      <c r="D400" s="22"/>
      <c r="E400" s="20"/>
      <c r="F400" s="21"/>
      <c r="G400" s="21"/>
      <c r="H400" s="21"/>
      <c r="I400" s="35" t="b">
        <v>0</v>
      </c>
      <c r="J400" s="35" t="b">
        <v>0</v>
      </c>
      <c r="K400" s="35" t="b">
        <v>0</v>
      </c>
      <c r="L400" s="82" t="b">
        <v>0</v>
      </c>
      <c r="M400" s="83"/>
      <c r="N400" s="84"/>
      <c r="O400" s="89"/>
      <c r="P400" s="66" t="s">
        <v>112</v>
      </c>
      <c r="Q400" s="22"/>
      <c r="R400" s="22"/>
      <c r="S400" s="22"/>
      <c r="T400" s="74"/>
      <c r="U400" s="6"/>
      <c r="V400" s="74"/>
    </row>
    <row r="401" ht="22.5" customHeight="1">
      <c r="A401" s="6"/>
      <c r="C401" s="6"/>
      <c r="D401" s="22"/>
      <c r="E401" s="20"/>
      <c r="F401" s="21"/>
      <c r="G401" s="21"/>
      <c r="H401" s="21"/>
      <c r="I401" s="35" t="b">
        <v>0</v>
      </c>
      <c r="J401" s="35" t="b">
        <v>0</v>
      </c>
      <c r="K401" s="35" t="b">
        <v>0</v>
      </c>
      <c r="L401" s="82" t="b">
        <v>0</v>
      </c>
      <c r="M401" s="83"/>
      <c r="N401" s="84"/>
      <c r="O401" s="89"/>
      <c r="P401" s="66" t="s">
        <v>112</v>
      </c>
      <c r="Q401" s="22"/>
      <c r="R401" s="22"/>
      <c r="S401" s="22"/>
      <c r="T401" s="74"/>
      <c r="U401" s="6"/>
      <c r="V401" s="74"/>
    </row>
    <row r="402" ht="22.5" customHeight="1">
      <c r="A402" s="6"/>
      <c r="C402" s="6"/>
      <c r="D402" s="22"/>
      <c r="E402" s="20"/>
      <c r="F402" s="21"/>
      <c r="G402" s="21"/>
      <c r="H402" s="21"/>
      <c r="I402" s="35" t="b">
        <v>0</v>
      </c>
      <c r="J402" s="35" t="b">
        <v>0</v>
      </c>
      <c r="K402" s="35" t="b">
        <v>0</v>
      </c>
      <c r="L402" s="82" t="b">
        <v>0</v>
      </c>
      <c r="M402" s="83"/>
      <c r="N402" s="84"/>
      <c r="O402" s="89"/>
      <c r="P402" s="66" t="s">
        <v>112</v>
      </c>
      <c r="Q402" s="22"/>
      <c r="R402" s="22"/>
      <c r="S402" s="22"/>
      <c r="T402" s="74"/>
      <c r="U402" s="6"/>
      <c r="V402" s="74"/>
    </row>
    <row r="403" ht="22.5" customHeight="1">
      <c r="A403" s="6"/>
      <c r="C403" s="6"/>
      <c r="D403" s="22"/>
      <c r="E403" s="20"/>
      <c r="F403" s="21"/>
      <c r="G403" s="21"/>
      <c r="H403" s="21"/>
      <c r="I403" s="35" t="b">
        <v>0</v>
      </c>
      <c r="J403" s="35" t="b">
        <v>0</v>
      </c>
      <c r="K403" s="35" t="b">
        <v>0</v>
      </c>
      <c r="L403" s="82" t="b">
        <v>0</v>
      </c>
      <c r="M403" s="83"/>
      <c r="N403" s="84"/>
      <c r="O403" s="89"/>
      <c r="P403" s="66" t="s">
        <v>112</v>
      </c>
      <c r="Q403" s="22"/>
      <c r="R403" s="22"/>
      <c r="S403" s="22"/>
      <c r="T403" s="74"/>
      <c r="U403" s="6"/>
      <c r="V403" s="74"/>
    </row>
    <row r="404" ht="22.5" customHeight="1">
      <c r="A404" s="6"/>
      <c r="C404" s="6"/>
      <c r="D404" s="22"/>
      <c r="E404" s="20"/>
      <c r="F404" s="21"/>
      <c r="G404" s="21"/>
      <c r="H404" s="21"/>
      <c r="I404" s="35" t="b">
        <v>0</v>
      </c>
      <c r="J404" s="35" t="b">
        <v>0</v>
      </c>
      <c r="K404" s="35" t="b">
        <v>0</v>
      </c>
      <c r="L404" s="82" t="b">
        <v>0</v>
      </c>
      <c r="M404" s="83"/>
      <c r="N404" s="84"/>
      <c r="O404" s="89"/>
      <c r="P404" s="66" t="s">
        <v>112</v>
      </c>
      <c r="Q404" s="22"/>
      <c r="R404" s="22"/>
      <c r="S404" s="22"/>
      <c r="T404" s="74"/>
      <c r="U404" s="6"/>
      <c r="V404" s="74"/>
    </row>
    <row r="405" ht="22.5" customHeight="1">
      <c r="A405" s="6"/>
      <c r="C405" s="6"/>
      <c r="D405" s="22"/>
      <c r="E405" s="20"/>
      <c r="F405" s="21"/>
      <c r="G405" s="21"/>
      <c r="H405" s="21"/>
      <c r="I405" s="35" t="b">
        <v>0</v>
      </c>
      <c r="J405" s="35" t="b">
        <v>0</v>
      </c>
      <c r="K405" s="35" t="b">
        <v>0</v>
      </c>
      <c r="L405" s="82" t="b">
        <v>0</v>
      </c>
      <c r="M405" s="83"/>
      <c r="N405" s="84"/>
      <c r="O405" s="89"/>
      <c r="P405" s="66" t="s">
        <v>112</v>
      </c>
      <c r="Q405" s="22"/>
      <c r="R405" s="22"/>
      <c r="S405" s="22"/>
      <c r="T405" s="74"/>
      <c r="U405" s="6"/>
      <c r="V405" s="74"/>
    </row>
    <row r="406" ht="22.5" customHeight="1">
      <c r="A406" s="6"/>
      <c r="C406" s="6"/>
      <c r="D406" s="22"/>
      <c r="E406" s="20"/>
      <c r="F406" s="21"/>
      <c r="G406" s="21"/>
      <c r="H406" s="21"/>
      <c r="I406" s="35" t="b">
        <v>0</v>
      </c>
      <c r="J406" s="35" t="b">
        <v>0</v>
      </c>
      <c r="K406" s="35" t="b">
        <v>0</v>
      </c>
      <c r="L406" s="82" t="b">
        <v>0</v>
      </c>
      <c r="M406" s="83"/>
      <c r="N406" s="84"/>
      <c r="O406" s="89"/>
      <c r="P406" s="66" t="s">
        <v>112</v>
      </c>
      <c r="Q406" s="22"/>
      <c r="R406" s="22"/>
      <c r="S406" s="22"/>
      <c r="T406" s="74"/>
      <c r="U406" s="6"/>
      <c r="V406" s="74"/>
    </row>
    <row r="407" ht="22.5" customHeight="1">
      <c r="A407" s="6"/>
      <c r="C407" s="6"/>
      <c r="D407" s="22"/>
      <c r="E407" s="20"/>
      <c r="F407" s="21"/>
      <c r="G407" s="21"/>
      <c r="H407" s="21"/>
      <c r="I407" s="35" t="b">
        <v>0</v>
      </c>
      <c r="J407" s="35" t="b">
        <v>0</v>
      </c>
      <c r="K407" s="35" t="b">
        <v>0</v>
      </c>
      <c r="L407" s="82" t="b">
        <v>0</v>
      </c>
      <c r="M407" s="83"/>
      <c r="N407" s="84"/>
      <c r="O407" s="89"/>
      <c r="P407" s="66" t="s">
        <v>112</v>
      </c>
      <c r="Q407" s="22"/>
      <c r="R407" s="22"/>
      <c r="S407" s="22"/>
      <c r="T407" s="74"/>
      <c r="U407" s="6"/>
      <c r="V407" s="74"/>
    </row>
    <row r="408" ht="22.5" customHeight="1">
      <c r="A408" s="6"/>
      <c r="C408" s="6"/>
      <c r="D408" s="22"/>
      <c r="E408" s="20"/>
      <c r="F408" s="21"/>
      <c r="G408" s="21"/>
      <c r="H408" s="21"/>
      <c r="I408" s="35" t="b">
        <v>0</v>
      </c>
      <c r="J408" s="35" t="b">
        <v>0</v>
      </c>
      <c r="K408" s="35" t="b">
        <v>0</v>
      </c>
      <c r="L408" s="82" t="b">
        <v>0</v>
      </c>
      <c r="M408" s="83"/>
      <c r="N408" s="84"/>
      <c r="O408" s="89"/>
      <c r="P408" s="66" t="s">
        <v>112</v>
      </c>
      <c r="Q408" s="22"/>
      <c r="R408" s="22"/>
      <c r="S408" s="22"/>
      <c r="T408" s="74"/>
      <c r="U408" s="6"/>
      <c r="V408" s="74"/>
    </row>
    <row r="409" ht="22.5" customHeight="1">
      <c r="A409" s="6"/>
      <c r="C409" s="6"/>
      <c r="D409" s="22"/>
      <c r="E409" s="20"/>
      <c r="F409" s="21"/>
      <c r="G409" s="21"/>
      <c r="H409" s="21"/>
      <c r="I409" s="35" t="b">
        <v>0</v>
      </c>
      <c r="J409" s="35" t="b">
        <v>0</v>
      </c>
      <c r="K409" s="35" t="b">
        <v>0</v>
      </c>
      <c r="L409" s="82" t="b">
        <v>0</v>
      </c>
      <c r="M409" s="83"/>
      <c r="N409" s="84"/>
      <c r="O409" s="89"/>
      <c r="P409" s="66" t="s">
        <v>112</v>
      </c>
      <c r="Q409" s="22"/>
      <c r="R409" s="22"/>
      <c r="S409" s="22"/>
      <c r="T409" s="74"/>
      <c r="U409" s="6"/>
      <c r="V409" s="74"/>
    </row>
    <row r="410" ht="22.5" customHeight="1">
      <c r="A410" s="6"/>
      <c r="C410" s="6"/>
      <c r="D410" s="22"/>
      <c r="E410" s="20"/>
      <c r="F410" s="21"/>
      <c r="G410" s="21"/>
      <c r="H410" s="21"/>
      <c r="I410" s="35" t="b">
        <v>0</v>
      </c>
      <c r="J410" s="35" t="b">
        <v>0</v>
      </c>
      <c r="K410" s="35" t="b">
        <v>0</v>
      </c>
      <c r="L410" s="82" t="b">
        <v>0</v>
      </c>
      <c r="M410" s="83"/>
      <c r="N410" s="84"/>
      <c r="O410" s="89"/>
      <c r="P410" s="66" t="s">
        <v>112</v>
      </c>
      <c r="Q410" s="22"/>
      <c r="R410" s="22"/>
      <c r="S410" s="22"/>
      <c r="T410" s="74"/>
      <c r="U410" s="6"/>
      <c r="V410" s="74"/>
    </row>
    <row r="411" ht="22.5" customHeight="1">
      <c r="A411" s="6"/>
      <c r="C411" s="6"/>
      <c r="D411" s="22"/>
      <c r="E411" s="20"/>
      <c r="F411" s="21"/>
      <c r="G411" s="21"/>
      <c r="H411" s="21"/>
      <c r="I411" s="35" t="b">
        <v>0</v>
      </c>
      <c r="J411" s="35" t="b">
        <v>0</v>
      </c>
      <c r="K411" s="35" t="b">
        <v>0</v>
      </c>
      <c r="L411" s="82" t="b">
        <v>0</v>
      </c>
      <c r="M411" s="83"/>
      <c r="N411" s="84"/>
      <c r="O411" s="89"/>
      <c r="P411" s="66" t="s">
        <v>112</v>
      </c>
      <c r="Q411" s="22"/>
      <c r="R411" s="22"/>
      <c r="S411" s="22"/>
      <c r="T411" s="74"/>
      <c r="U411" s="6"/>
      <c r="V411" s="74"/>
    </row>
    <row r="412" ht="22.5" customHeight="1">
      <c r="A412" s="6"/>
      <c r="C412" s="6"/>
      <c r="D412" s="22"/>
      <c r="E412" s="20"/>
      <c r="F412" s="21"/>
      <c r="G412" s="21"/>
      <c r="H412" s="21"/>
      <c r="I412" s="35" t="b">
        <v>0</v>
      </c>
      <c r="J412" s="35" t="b">
        <v>0</v>
      </c>
      <c r="K412" s="35" t="b">
        <v>0</v>
      </c>
      <c r="L412" s="82" t="b">
        <v>0</v>
      </c>
      <c r="M412" s="83"/>
      <c r="N412" s="84"/>
      <c r="O412" s="89"/>
      <c r="P412" s="66" t="s">
        <v>112</v>
      </c>
      <c r="Q412" s="22"/>
      <c r="R412" s="22"/>
      <c r="S412" s="22"/>
      <c r="T412" s="74"/>
      <c r="U412" s="6"/>
      <c r="V412" s="74"/>
    </row>
    <row r="413" ht="22.5" customHeight="1">
      <c r="A413" s="6"/>
      <c r="C413" s="6"/>
      <c r="D413" s="22"/>
      <c r="E413" s="20"/>
      <c r="F413" s="21"/>
      <c r="G413" s="21"/>
      <c r="H413" s="21"/>
      <c r="I413" s="35" t="b">
        <v>0</v>
      </c>
      <c r="J413" s="35" t="b">
        <v>0</v>
      </c>
      <c r="K413" s="35" t="b">
        <v>0</v>
      </c>
      <c r="L413" s="82" t="b">
        <v>0</v>
      </c>
      <c r="M413" s="83"/>
      <c r="N413" s="84"/>
      <c r="O413" s="89"/>
      <c r="P413" s="66" t="s">
        <v>112</v>
      </c>
      <c r="Q413" s="22"/>
      <c r="R413" s="22"/>
      <c r="S413" s="22"/>
      <c r="T413" s="74"/>
      <c r="U413" s="6"/>
      <c r="V413" s="74"/>
    </row>
    <row r="414" ht="22.5" customHeight="1">
      <c r="A414" s="6"/>
      <c r="C414" s="6"/>
      <c r="D414" s="22"/>
      <c r="E414" s="20"/>
      <c r="F414" s="21"/>
      <c r="G414" s="21"/>
      <c r="H414" s="21"/>
      <c r="I414" s="35" t="b">
        <v>0</v>
      </c>
      <c r="J414" s="35" t="b">
        <v>0</v>
      </c>
      <c r="K414" s="35" t="b">
        <v>0</v>
      </c>
      <c r="L414" s="82" t="b">
        <v>0</v>
      </c>
      <c r="M414" s="83"/>
      <c r="N414" s="84"/>
      <c r="O414" s="89"/>
      <c r="P414" s="66" t="s">
        <v>112</v>
      </c>
      <c r="Q414" s="22"/>
      <c r="R414" s="22"/>
      <c r="S414" s="22"/>
      <c r="T414" s="74"/>
      <c r="U414" s="6"/>
      <c r="V414" s="74"/>
    </row>
    <row r="415" ht="22.5" customHeight="1">
      <c r="A415" s="6"/>
      <c r="C415" s="6"/>
      <c r="D415" s="22"/>
      <c r="E415" s="20"/>
      <c r="F415" s="21"/>
      <c r="G415" s="21"/>
      <c r="H415" s="21"/>
      <c r="I415" s="35" t="b">
        <v>0</v>
      </c>
      <c r="J415" s="35" t="b">
        <v>0</v>
      </c>
      <c r="K415" s="35" t="b">
        <v>0</v>
      </c>
      <c r="L415" s="82" t="b">
        <v>0</v>
      </c>
      <c r="M415" s="83"/>
      <c r="N415" s="84"/>
      <c r="O415" s="89"/>
      <c r="P415" s="66" t="s">
        <v>112</v>
      </c>
      <c r="Q415" s="22"/>
      <c r="R415" s="22"/>
      <c r="S415" s="22"/>
      <c r="T415" s="74"/>
      <c r="U415" s="6"/>
      <c r="V415" s="74"/>
    </row>
    <row r="416" ht="22.5" customHeight="1">
      <c r="A416" s="6"/>
      <c r="C416" s="6"/>
      <c r="D416" s="22"/>
      <c r="E416" s="20"/>
      <c r="F416" s="21"/>
      <c r="G416" s="21"/>
      <c r="H416" s="21"/>
      <c r="I416" s="35" t="b">
        <v>0</v>
      </c>
      <c r="J416" s="35" t="b">
        <v>0</v>
      </c>
      <c r="K416" s="35" t="b">
        <v>0</v>
      </c>
      <c r="L416" s="82" t="b">
        <v>0</v>
      </c>
      <c r="M416" s="83"/>
      <c r="N416" s="84"/>
      <c r="O416" s="89"/>
      <c r="P416" s="66" t="s">
        <v>112</v>
      </c>
      <c r="Q416" s="22"/>
      <c r="R416" s="22"/>
      <c r="S416" s="22"/>
      <c r="T416" s="74"/>
      <c r="U416" s="6"/>
      <c r="V416" s="74"/>
    </row>
    <row r="417" ht="22.5" customHeight="1">
      <c r="A417" s="6"/>
      <c r="C417" s="6"/>
      <c r="D417" s="22"/>
      <c r="E417" s="20"/>
      <c r="F417" s="21"/>
      <c r="G417" s="21"/>
      <c r="H417" s="21"/>
      <c r="I417" s="35" t="b">
        <v>0</v>
      </c>
      <c r="J417" s="35" t="b">
        <v>0</v>
      </c>
      <c r="K417" s="35" t="b">
        <v>0</v>
      </c>
      <c r="L417" s="82" t="b">
        <v>0</v>
      </c>
      <c r="M417" s="83"/>
      <c r="N417" s="84"/>
      <c r="O417" s="89"/>
      <c r="P417" s="66" t="s">
        <v>112</v>
      </c>
      <c r="Q417" s="22"/>
      <c r="R417" s="22"/>
      <c r="S417" s="22"/>
      <c r="T417" s="74"/>
      <c r="U417" s="6"/>
      <c r="V417" s="74"/>
    </row>
    <row r="418" ht="22.5" customHeight="1">
      <c r="A418" s="6"/>
      <c r="C418" s="6"/>
      <c r="D418" s="22"/>
      <c r="E418" s="20"/>
      <c r="F418" s="21"/>
      <c r="G418" s="21"/>
      <c r="H418" s="21"/>
      <c r="I418" s="35" t="b">
        <v>0</v>
      </c>
      <c r="J418" s="35" t="b">
        <v>0</v>
      </c>
      <c r="K418" s="35" t="b">
        <v>0</v>
      </c>
      <c r="L418" s="82" t="b">
        <v>0</v>
      </c>
      <c r="M418" s="83"/>
      <c r="N418" s="84"/>
      <c r="O418" s="89"/>
      <c r="P418" s="66" t="s">
        <v>112</v>
      </c>
      <c r="Q418" s="22"/>
      <c r="R418" s="22"/>
      <c r="S418" s="22"/>
      <c r="T418" s="74"/>
      <c r="U418" s="6"/>
      <c r="V418" s="74"/>
    </row>
    <row r="419" ht="22.5" customHeight="1">
      <c r="A419" s="6"/>
      <c r="C419" s="6"/>
      <c r="D419" s="22"/>
      <c r="E419" s="20"/>
      <c r="F419" s="21"/>
      <c r="G419" s="21"/>
      <c r="H419" s="21"/>
      <c r="I419" s="35" t="b">
        <v>0</v>
      </c>
      <c r="J419" s="35" t="b">
        <v>0</v>
      </c>
      <c r="K419" s="35" t="b">
        <v>0</v>
      </c>
      <c r="L419" s="82" t="b">
        <v>0</v>
      </c>
      <c r="M419" s="83"/>
      <c r="N419" s="84"/>
      <c r="O419" s="89"/>
      <c r="P419" s="66" t="s">
        <v>112</v>
      </c>
      <c r="Q419" s="22"/>
      <c r="R419" s="22"/>
      <c r="S419" s="22"/>
      <c r="T419" s="74"/>
      <c r="U419" s="6"/>
      <c r="V419" s="74"/>
    </row>
    <row r="420" ht="22.5" customHeight="1">
      <c r="A420" s="6"/>
      <c r="C420" s="6"/>
      <c r="D420" s="22"/>
      <c r="E420" s="20"/>
      <c r="F420" s="21"/>
      <c r="G420" s="21"/>
      <c r="H420" s="21"/>
      <c r="I420" s="35" t="b">
        <v>0</v>
      </c>
      <c r="J420" s="35" t="b">
        <v>0</v>
      </c>
      <c r="K420" s="35" t="b">
        <v>0</v>
      </c>
      <c r="L420" s="82" t="b">
        <v>0</v>
      </c>
      <c r="M420" s="83"/>
      <c r="N420" s="84"/>
      <c r="O420" s="89"/>
      <c r="P420" s="66" t="s">
        <v>112</v>
      </c>
      <c r="Q420" s="22"/>
      <c r="R420" s="22"/>
      <c r="S420" s="22"/>
      <c r="T420" s="74"/>
      <c r="U420" s="6"/>
      <c r="V420" s="74"/>
    </row>
    <row r="421" ht="22.5" customHeight="1">
      <c r="A421" s="6"/>
      <c r="C421" s="6"/>
      <c r="D421" s="22"/>
      <c r="E421" s="20"/>
      <c r="F421" s="21"/>
      <c r="G421" s="21"/>
      <c r="H421" s="21"/>
      <c r="I421" s="35" t="b">
        <v>0</v>
      </c>
      <c r="J421" s="35" t="b">
        <v>0</v>
      </c>
      <c r="K421" s="35" t="b">
        <v>0</v>
      </c>
      <c r="L421" s="82" t="b">
        <v>0</v>
      </c>
      <c r="M421" s="83"/>
      <c r="N421" s="84"/>
      <c r="O421" s="89"/>
      <c r="P421" s="66" t="s">
        <v>112</v>
      </c>
      <c r="Q421" s="22"/>
      <c r="R421" s="22"/>
      <c r="S421" s="22"/>
      <c r="T421" s="74"/>
      <c r="U421" s="6"/>
      <c r="V421" s="74"/>
    </row>
    <row r="422" ht="22.5" customHeight="1">
      <c r="A422" s="6"/>
      <c r="C422" s="6"/>
      <c r="D422" s="22"/>
      <c r="E422" s="20"/>
      <c r="F422" s="21"/>
      <c r="G422" s="21"/>
      <c r="H422" s="21"/>
      <c r="I422" s="35" t="b">
        <v>0</v>
      </c>
      <c r="J422" s="35" t="b">
        <v>0</v>
      </c>
      <c r="K422" s="35" t="b">
        <v>0</v>
      </c>
      <c r="L422" s="82" t="b">
        <v>0</v>
      </c>
      <c r="M422" s="83"/>
      <c r="N422" s="84"/>
      <c r="O422" s="89"/>
      <c r="P422" s="66" t="s">
        <v>112</v>
      </c>
      <c r="Q422" s="22"/>
      <c r="R422" s="22"/>
      <c r="S422" s="22"/>
      <c r="T422" s="74"/>
      <c r="U422" s="6"/>
      <c r="V422" s="74"/>
    </row>
    <row r="423" ht="22.5" customHeight="1">
      <c r="A423" s="6"/>
      <c r="C423" s="6"/>
      <c r="D423" s="22"/>
      <c r="E423" s="20"/>
      <c r="F423" s="21"/>
      <c r="G423" s="21"/>
      <c r="H423" s="21"/>
      <c r="I423" s="35" t="b">
        <v>0</v>
      </c>
      <c r="J423" s="35" t="b">
        <v>0</v>
      </c>
      <c r="K423" s="35" t="b">
        <v>0</v>
      </c>
      <c r="L423" s="82" t="b">
        <v>0</v>
      </c>
      <c r="M423" s="83"/>
      <c r="N423" s="84"/>
      <c r="O423" s="89"/>
      <c r="P423" s="66" t="s">
        <v>112</v>
      </c>
      <c r="Q423" s="22"/>
      <c r="R423" s="22"/>
      <c r="S423" s="22"/>
      <c r="T423" s="74"/>
      <c r="U423" s="6"/>
      <c r="V423" s="74"/>
    </row>
    <row r="424" ht="22.5" customHeight="1">
      <c r="A424" s="6"/>
      <c r="C424" s="6"/>
      <c r="D424" s="22"/>
      <c r="E424" s="20"/>
      <c r="F424" s="21"/>
      <c r="G424" s="21"/>
      <c r="H424" s="21"/>
      <c r="I424" s="35" t="b">
        <v>0</v>
      </c>
      <c r="J424" s="35" t="b">
        <v>0</v>
      </c>
      <c r="K424" s="35" t="b">
        <v>0</v>
      </c>
      <c r="L424" s="82" t="b">
        <v>0</v>
      </c>
      <c r="M424" s="83"/>
      <c r="N424" s="84"/>
      <c r="O424" s="89"/>
      <c r="P424" s="66" t="s">
        <v>112</v>
      </c>
      <c r="Q424" s="22"/>
      <c r="R424" s="22"/>
      <c r="S424" s="22"/>
      <c r="T424" s="74"/>
      <c r="U424" s="6"/>
      <c r="V424" s="74"/>
    </row>
    <row r="425" ht="22.5" customHeight="1">
      <c r="A425" s="6"/>
      <c r="C425" s="6"/>
      <c r="D425" s="22"/>
      <c r="E425" s="20"/>
      <c r="F425" s="21"/>
      <c r="G425" s="21"/>
      <c r="H425" s="21"/>
      <c r="I425" s="35" t="b">
        <v>0</v>
      </c>
      <c r="J425" s="35" t="b">
        <v>0</v>
      </c>
      <c r="K425" s="35" t="b">
        <v>0</v>
      </c>
      <c r="L425" s="82" t="b">
        <v>0</v>
      </c>
      <c r="M425" s="83"/>
      <c r="N425" s="84"/>
      <c r="O425" s="89"/>
      <c r="P425" s="66" t="s">
        <v>112</v>
      </c>
      <c r="Q425" s="22"/>
      <c r="R425" s="22"/>
      <c r="S425" s="22"/>
      <c r="T425" s="74"/>
      <c r="U425" s="6"/>
      <c r="V425" s="74"/>
    </row>
    <row r="426" ht="22.5" customHeight="1">
      <c r="A426" s="6"/>
      <c r="C426" s="6"/>
      <c r="D426" s="22"/>
      <c r="E426" s="20"/>
      <c r="F426" s="21"/>
      <c r="G426" s="21"/>
      <c r="H426" s="21"/>
      <c r="I426" s="35" t="b">
        <v>0</v>
      </c>
      <c r="J426" s="35" t="b">
        <v>0</v>
      </c>
      <c r="K426" s="35" t="b">
        <v>0</v>
      </c>
      <c r="L426" s="82" t="b">
        <v>0</v>
      </c>
      <c r="M426" s="83"/>
      <c r="N426" s="84"/>
      <c r="O426" s="89"/>
      <c r="P426" s="66" t="s">
        <v>112</v>
      </c>
      <c r="Q426" s="22"/>
      <c r="R426" s="22"/>
      <c r="S426" s="22"/>
      <c r="T426" s="74"/>
      <c r="U426" s="6"/>
      <c r="V426" s="74"/>
    </row>
    <row r="427" ht="22.5" customHeight="1">
      <c r="A427" s="6"/>
      <c r="C427" s="6"/>
      <c r="D427" s="22"/>
      <c r="E427" s="20"/>
      <c r="F427" s="21"/>
      <c r="G427" s="21"/>
      <c r="H427" s="21"/>
      <c r="I427" s="35" t="b">
        <v>0</v>
      </c>
      <c r="J427" s="35" t="b">
        <v>0</v>
      </c>
      <c r="K427" s="35" t="b">
        <v>0</v>
      </c>
      <c r="L427" s="82" t="b">
        <v>0</v>
      </c>
      <c r="M427" s="83"/>
      <c r="N427" s="84"/>
      <c r="O427" s="89"/>
      <c r="P427" s="66" t="s">
        <v>112</v>
      </c>
      <c r="Q427" s="22"/>
      <c r="R427" s="22"/>
      <c r="S427" s="22"/>
      <c r="T427" s="74"/>
      <c r="U427" s="6"/>
      <c r="V427" s="74"/>
    </row>
    <row r="428" ht="22.5" customHeight="1">
      <c r="A428" s="6"/>
      <c r="C428" s="6"/>
      <c r="D428" s="22"/>
      <c r="E428" s="20"/>
      <c r="F428" s="21"/>
      <c r="G428" s="21"/>
      <c r="H428" s="21"/>
      <c r="I428" s="35" t="b">
        <v>0</v>
      </c>
      <c r="J428" s="35" t="b">
        <v>0</v>
      </c>
      <c r="K428" s="35" t="b">
        <v>0</v>
      </c>
      <c r="L428" s="82" t="b">
        <v>0</v>
      </c>
      <c r="M428" s="83"/>
      <c r="N428" s="84"/>
      <c r="O428" s="89"/>
      <c r="P428" s="66" t="s">
        <v>112</v>
      </c>
      <c r="Q428" s="22"/>
      <c r="R428" s="22"/>
      <c r="S428" s="22"/>
      <c r="T428" s="74"/>
      <c r="U428" s="6"/>
      <c r="V428" s="74"/>
    </row>
    <row r="429" ht="22.5" customHeight="1">
      <c r="A429" s="6"/>
      <c r="C429" s="6"/>
      <c r="D429" s="22"/>
      <c r="E429" s="20"/>
      <c r="F429" s="21"/>
      <c r="G429" s="21"/>
      <c r="H429" s="21"/>
      <c r="I429" s="35" t="b">
        <v>0</v>
      </c>
      <c r="J429" s="35" t="b">
        <v>0</v>
      </c>
      <c r="K429" s="35" t="b">
        <v>0</v>
      </c>
      <c r="L429" s="82" t="b">
        <v>0</v>
      </c>
      <c r="M429" s="83"/>
      <c r="N429" s="84"/>
      <c r="O429" s="89"/>
      <c r="P429" s="66" t="s">
        <v>112</v>
      </c>
      <c r="Q429" s="22"/>
      <c r="R429" s="22"/>
      <c r="S429" s="22"/>
      <c r="T429" s="74"/>
      <c r="U429" s="6"/>
      <c r="V429" s="74"/>
    </row>
    <row r="430" ht="22.5" customHeight="1">
      <c r="A430" s="6"/>
      <c r="C430" s="6"/>
      <c r="D430" s="22"/>
      <c r="E430" s="20"/>
      <c r="F430" s="21"/>
      <c r="G430" s="21"/>
      <c r="H430" s="21"/>
      <c r="I430" s="35" t="b">
        <v>0</v>
      </c>
      <c r="J430" s="35" t="b">
        <v>0</v>
      </c>
      <c r="K430" s="35" t="b">
        <v>0</v>
      </c>
      <c r="L430" s="82" t="b">
        <v>0</v>
      </c>
      <c r="M430" s="83"/>
      <c r="N430" s="84"/>
      <c r="O430" s="89"/>
      <c r="P430" s="66" t="s">
        <v>112</v>
      </c>
      <c r="Q430" s="22"/>
      <c r="R430" s="22"/>
      <c r="S430" s="22"/>
      <c r="T430" s="74"/>
      <c r="U430" s="6"/>
      <c r="V430" s="74"/>
    </row>
    <row r="431" ht="22.5" customHeight="1">
      <c r="A431" s="6"/>
      <c r="C431" s="6"/>
      <c r="D431" s="22"/>
      <c r="E431" s="20"/>
      <c r="F431" s="21"/>
      <c r="G431" s="21"/>
      <c r="H431" s="21"/>
      <c r="I431" s="35" t="b">
        <v>0</v>
      </c>
      <c r="J431" s="35" t="b">
        <v>0</v>
      </c>
      <c r="K431" s="35" t="b">
        <v>0</v>
      </c>
      <c r="L431" s="82" t="b">
        <v>0</v>
      </c>
      <c r="M431" s="83"/>
      <c r="N431" s="84"/>
      <c r="O431" s="89"/>
      <c r="P431" s="66" t="s">
        <v>112</v>
      </c>
      <c r="Q431" s="22"/>
      <c r="R431" s="22"/>
      <c r="S431" s="22"/>
      <c r="T431" s="74"/>
      <c r="U431" s="6"/>
      <c r="V431" s="74"/>
    </row>
    <row r="432" ht="22.5" customHeight="1">
      <c r="A432" s="6"/>
      <c r="C432" s="6"/>
      <c r="D432" s="22"/>
      <c r="E432" s="20"/>
      <c r="F432" s="21"/>
      <c r="G432" s="21"/>
      <c r="H432" s="21"/>
      <c r="I432" s="35" t="b">
        <v>0</v>
      </c>
      <c r="J432" s="35" t="b">
        <v>0</v>
      </c>
      <c r="K432" s="35" t="b">
        <v>0</v>
      </c>
      <c r="L432" s="82" t="b">
        <v>0</v>
      </c>
      <c r="M432" s="83"/>
      <c r="N432" s="84"/>
      <c r="O432" s="89"/>
      <c r="P432" s="66" t="s">
        <v>112</v>
      </c>
      <c r="Q432" s="22"/>
      <c r="R432" s="22"/>
      <c r="S432" s="22"/>
      <c r="T432" s="74"/>
      <c r="U432" s="6"/>
      <c r="V432" s="74"/>
    </row>
    <row r="433" ht="22.5" customHeight="1">
      <c r="A433" s="6"/>
      <c r="C433" s="6"/>
      <c r="D433" s="22"/>
      <c r="E433" s="20"/>
      <c r="F433" s="21"/>
      <c r="G433" s="21"/>
      <c r="H433" s="21"/>
      <c r="I433" s="35" t="b">
        <v>0</v>
      </c>
      <c r="J433" s="35" t="b">
        <v>0</v>
      </c>
      <c r="K433" s="35" t="b">
        <v>0</v>
      </c>
      <c r="L433" s="82" t="b">
        <v>0</v>
      </c>
      <c r="M433" s="83"/>
      <c r="N433" s="84"/>
      <c r="O433" s="89"/>
      <c r="P433" s="66" t="s">
        <v>112</v>
      </c>
      <c r="Q433" s="22"/>
      <c r="R433" s="22"/>
      <c r="S433" s="22"/>
      <c r="T433" s="74"/>
      <c r="U433" s="6"/>
      <c r="V433" s="74"/>
    </row>
    <row r="434" ht="22.5" customHeight="1">
      <c r="A434" s="6"/>
      <c r="C434" s="6"/>
      <c r="D434" s="22"/>
      <c r="E434" s="20"/>
      <c r="F434" s="21"/>
      <c r="G434" s="21"/>
      <c r="H434" s="21"/>
      <c r="I434" s="35" t="b">
        <v>0</v>
      </c>
      <c r="J434" s="35" t="b">
        <v>0</v>
      </c>
      <c r="K434" s="35" t="b">
        <v>0</v>
      </c>
      <c r="L434" s="82" t="b">
        <v>0</v>
      </c>
      <c r="M434" s="83"/>
      <c r="N434" s="84"/>
      <c r="O434" s="89"/>
      <c r="P434" s="66" t="s">
        <v>112</v>
      </c>
      <c r="Q434" s="22"/>
      <c r="R434" s="22"/>
      <c r="S434" s="22"/>
      <c r="T434" s="74"/>
      <c r="U434" s="6"/>
      <c r="V434" s="74"/>
    </row>
    <row r="435" ht="22.5" customHeight="1">
      <c r="A435" s="6"/>
      <c r="C435" s="6"/>
      <c r="D435" s="22"/>
      <c r="E435" s="20"/>
      <c r="F435" s="21"/>
      <c r="G435" s="21"/>
      <c r="H435" s="21"/>
      <c r="I435" s="35" t="b">
        <v>0</v>
      </c>
      <c r="J435" s="35" t="b">
        <v>0</v>
      </c>
      <c r="K435" s="35" t="b">
        <v>0</v>
      </c>
      <c r="L435" s="82" t="b">
        <v>0</v>
      </c>
      <c r="M435" s="83"/>
      <c r="N435" s="84"/>
      <c r="O435" s="89"/>
      <c r="P435" s="66" t="s">
        <v>112</v>
      </c>
      <c r="Q435" s="22"/>
      <c r="R435" s="22"/>
      <c r="S435" s="22"/>
      <c r="T435" s="74"/>
      <c r="U435" s="6"/>
      <c r="V435" s="74"/>
    </row>
    <row r="436" ht="22.5" customHeight="1">
      <c r="A436" s="6"/>
      <c r="C436" s="6"/>
      <c r="D436" s="22"/>
      <c r="E436" s="20"/>
      <c r="F436" s="21"/>
      <c r="G436" s="21"/>
      <c r="H436" s="21"/>
      <c r="I436" s="35" t="b">
        <v>0</v>
      </c>
      <c r="J436" s="35" t="b">
        <v>0</v>
      </c>
      <c r="K436" s="35" t="b">
        <v>0</v>
      </c>
      <c r="L436" s="82" t="b">
        <v>0</v>
      </c>
      <c r="M436" s="83"/>
      <c r="N436" s="84"/>
      <c r="O436" s="89"/>
      <c r="P436" s="66" t="s">
        <v>112</v>
      </c>
      <c r="Q436" s="22"/>
      <c r="R436" s="22"/>
      <c r="S436" s="22"/>
      <c r="T436" s="74"/>
      <c r="U436" s="6"/>
      <c r="V436" s="74"/>
    </row>
    <row r="437" ht="22.5" customHeight="1">
      <c r="A437" s="6"/>
      <c r="C437" s="6"/>
      <c r="D437" s="22"/>
      <c r="E437" s="20"/>
      <c r="F437" s="21"/>
      <c r="G437" s="21"/>
      <c r="H437" s="21"/>
      <c r="I437" s="35" t="b">
        <v>0</v>
      </c>
      <c r="J437" s="35" t="b">
        <v>0</v>
      </c>
      <c r="K437" s="35" t="b">
        <v>0</v>
      </c>
      <c r="L437" s="82" t="b">
        <v>0</v>
      </c>
      <c r="M437" s="83"/>
      <c r="N437" s="84"/>
      <c r="O437" s="89"/>
      <c r="P437" s="66" t="s">
        <v>112</v>
      </c>
      <c r="Q437" s="22"/>
      <c r="R437" s="22"/>
      <c r="S437" s="22"/>
      <c r="T437" s="74"/>
      <c r="U437" s="6"/>
      <c r="V437" s="74"/>
    </row>
    <row r="438" ht="22.5" customHeight="1">
      <c r="A438" s="6"/>
      <c r="C438" s="6"/>
      <c r="D438" s="22"/>
      <c r="E438" s="20"/>
      <c r="F438" s="21"/>
      <c r="G438" s="21"/>
      <c r="H438" s="21"/>
      <c r="I438" s="35" t="b">
        <v>0</v>
      </c>
      <c r="J438" s="35" t="b">
        <v>0</v>
      </c>
      <c r="K438" s="35" t="b">
        <v>0</v>
      </c>
      <c r="L438" s="82" t="b">
        <v>0</v>
      </c>
      <c r="M438" s="83"/>
      <c r="N438" s="84"/>
      <c r="O438" s="89"/>
      <c r="P438" s="66" t="s">
        <v>112</v>
      </c>
      <c r="Q438" s="22"/>
      <c r="R438" s="22"/>
      <c r="S438" s="22"/>
      <c r="T438" s="74"/>
      <c r="U438" s="6"/>
      <c r="V438" s="74"/>
    </row>
    <row r="439" ht="22.5" customHeight="1">
      <c r="A439" s="6"/>
      <c r="C439" s="6"/>
      <c r="D439" s="22"/>
      <c r="E439" s="20"/>
      <c r="F439" s="21"/>
      <c r="G439" s="21"/>
      <c r="H439" s="21"/>
      <c r="I439" s="35" t="b">
        <v>0</v>
      </c>
      <c r="J439" s="35" t="b">
        <v>0</v>
      </c>
      <c r="K439" s="35" t="b">
        <v>0</v>
      </c>
      <c r="L439" s="82" t="b">
        <v>0</v>
      </c>
      <c r="M439" s="83"/>
      <c r="N439" s="84"/>
      <c r="O439" s="89"/>
      <c r="P439" s="66" t="s">
        <v>112</v>
      </c>
      <c r="Q439" s="22"/>
      <c r="R439" s="22"/>
      <c r="S439" s="22"/>
      <c r="T439" s="74"/>
      <c r="U439" s="6"/>
      <c r="V439" s="74"/>
    </row>
    <row r="440" ht="22.5" customHeight="1">
      <c r="A440" s="6"/>
      <c r="C440" s="6"/>
      <c r="D440" s="22"/>
      <c r="E440" s="20"/>
      <c r="F440" s="21"/>
      <c r="G440" s="21"/>
      <c r="H440" s="21"/>
      <c r="I440" s="35" t="b">
        <v>0</v>
      </c>
      <c r="J440" s="35" t="b">
        <v>0</v>
      </c>
      <c r="K440" s="35" t="b">
        <v>0</v>
      </c>
      <c r="L440" s="82" t="b">
        <v>0</v>
      </c>
      <c r="M440" s="83"/>
      <c r="N440" s="84"/>
      <c r="O440" s="89"/>
      <c r="P440" s="66" t="s">
        <v>112</v>
      </c>
      <c r="Q440" s="22"/>
      <c r="R440" s="22"/>
      <c r="S440" s="22"/>
      <c r="T440" s="74"/>
      <c r="U440" s="6"/>
      <c r="V440" s="74"/>
    </row>
    <row r="441" ht="22.5" customHeight="1">
      <c r="A441" s="6"/>
      <c r="C441" s="6"/>
      <c r="D441" s="22"/>
      <c r="E441" s="20"/>
      <c r="F441" s="21"/>
      <c r="G441" s="21"/>
      <c r="H441" s="21"/>
      <c r="I441" s="35" t="b">
        <v>0</v>
      </c>
      <c r="J441" s="35" t="b">
        <v>0</v>
      </c>
      <c r="K441" s="35" t="b">
        <v>0</v>
      </c>
      <c r="L441" s="82" t="b">
        <v>0</v>
      </c>
      <c r="M441" s="83"/>
      <c r="N441" s="84"/>
      <c r="O441" s="89"/>
      <c r="P441" s="66" t="s">
        <v>112</v>
      </c>
      <c r="Q441" s="22"/>
      <c r="R441" s="22"/>
      <c r="S441" s="22"/>
      <c r="T441" s="74"/>
      <c r="U441" s="6"/>
      <c r="V441" s="74"/>
    </row>
    <row r="442" ht="22.5" customHeight="1">
      <c r="A442" s="6"/>
      <c r="C442" s="6"/>
      <c r="D442" s="22"/>
      <c r="E442" s="20"/>
      <c r="F442" s="21"/>
      <c r="G442" s="21"/>
      <c r="H442" s="21"/>
      <c r="I442" s="35" t="b">
        <v>0</v>
      </c>
      <c r="J442" s="35" t="b">
        <v>0</v>
      </c>
      <c r="K442" s="35" t="b">
        <v>0</v>
      </c>
      <c r="L442" s="82" t="b">
        <v>0</v>
      </c>
      <c r="M442" s="83"/>
      <c r="N442" s="84"/>
      <c r="O442" s="89"/>
      <c r="P442" s="66" t="s">
        <v>112</v>
      </c>
      <c r="Q442" s="22"/>
      <c r="R442" s="22"/>
      <c r="S442" s="22"/>
      <c r="T442" s="74"/>
      <c r="U442" s="6"/>
      <c r="V442" s="74"/>
    </row>
    <row r="443" ht="22.5" customHeight="1">
      <c r="A443" s="6"/>
      <c r="C443" s="6"/>
      <c r="D443" s="22"/>
      <c r="E443" s="20"/>
      <c r="F443" s="21"/>
      <c r="G443" s="21"/>
      <c r="H443" s="21"/>
      <c r="I443" s="35" t="b">
        <v>0</v>
      </c>
      <c r="J443" s="35" t="b">
        <v>0</v>
      </c>
      <c r="K443" s="35" t="b">
        <v>0</v>
      </c>
      <c r="L443" s="82" t="b">
        <v>0</v>
      </c>
      <c r="M443" s="83"/>
      <c r="N443" s="84"/>
      <c r="O443" s="89"/>
      <c r="P443" s="66" t="s">
        <v>112</v>
      </c>
      <c r="Q443" s="22"/>
      <c r="R443" s="22"/>
      <c r="S443" s="22"/>
      <c r="T443" s="74"/>
      <c r="U443" s="6"/>
      <c r="V443" s="74"/>
    </row>
    <row r="444" ht="22.5" customHeight="1">
      <c r="A444" s="6"/>
      <c r="C444" s="6"/>
      <c r="D444" s="22"/>
      <c r="E444" s="20"/>
      <c r="F444" s="21"/>
      <c r="G444" s="21"/>
      <c r="H444" s="21"/>
      <c r="I444" s="35" t="b">
        <v>0</v>
      </c>
      <c r="J444" s="35" t="b">
        <v>0</v>
      </c>
      <c r="K444" s="35" t="b">
        <v>0</v>
      </c>
      <c r="L444" s="82" t="b">
        <v>0</v>
      </c>
      <c r="M444" s="83"/>
      <c r="N444" s="84"/>
      <c r="O444" s="89"/>
      <c r="P444" s="66" t="s">
        <v>112</v>
      </c>
      <c r="Q444" s="22"/>
      <c r="R444" s="22"/>
      <c r="S444" s="22"/>
      <c r="T444" s="74"/>
      <c r="U444" s="6"/>
      <c r="V444" s="74"/>
    </row>
    <row r="445" ht="22.5" customHeight="1">
      <c r="A445" s="6"/>
      <c r="C445" s="6"/>
      <c r="D445" s="22"/>
      <c r="E445" s="20"/>
      <c r="F445" s="21"/>
      <c r="G445" s="21"/>
      <c r="H445" s="21"/>
      <c r="I445" s="35" t="b">
        <v>0</v>
      </c>
      <c r="J445" s="35" t="b">
        <v>0</v>
      </c>
      <c r="K445" s="35" t="b">
        <v>0</v>
      </c>
      <c r="L445" s="82" t="b">
        <v>0</v>
      </c>
      <c r="M445" s="83"/>
      <c r="N445" s="84"/>
      <c r="O445" s="89"/>
      <c r="P445" s="66" t="s">
        <v>112</v>
      </c>
      <c r="Q445" s="22"/>
      <c r="R445" s="22"/>
      <c r="S445" s="22"/>
      <c r="T445" s="74"/>
      <c r="U445" s="6"/>
      <c r="V445" s="74"/>
    </row>
    <row r="446" ht="22.5" customHeight="1">
      <c r="A446" s="6"/>
      <c r="C446" s="6"/>
      <c r="D446" s="22"/>
      <c r="E446" s="20"/>
      <c r="F446" s="21"/>
      <c r="G446" s="21"/>
      <c r="H446" s="21"/>
      <c r="I446" s="35" t="b">
        <v>0</v>
      </c>
      <c r="J446" s="35" t="b">
        <v>0</v>
      </c>
      <c r="K446" s="35" t="b">
        <v>0</v>
      </c>
      <c r="L446" s="82" t="b">
        <v>0</v>
      </c>
      <c r="M446" s="83"/>
      <c r="N446" s="84"/>
      <c r="O446" s="89"/>
      <c r="P446" s="66" t="s">
        <v>112</v>
      </c>
      <c r="Q446" s="22"/>
      <c r="R446" s="22"/>
      <c r="S446" s="22"/>
      <c r="T446" s="74"/>
      <c r="U446" s="6"/>
      <c r="V446" s="74"/>
    </row>
    <row r="447" ht="22.5" customHeight="1">
      <c r="A447" s="6"/>
      <c r="C447" s="6"/>
      <c r="D447" s="22"/>
      <c r="E447" s="20"/>
      <c r="F447" s="21"/>
      <c r="G447" s="21"/>
      <c r="H447" s="21"/>
      <c r="I447" s="35" t="b">
        <v>0</v>
      </c>
      <c r="J447" s="35" t="b">
        <v>0</v>
      </c>
      <c r="K447" s="35" t="b">
        <v>0</v>
      </c>
      <c r="L447" s="82" t="b">
        <v>0</v>
      </c>
      <c r="M447" s="83"/>
      <c r="N447" s="84"/>
      <c r="O447" s="89"/>
      <c r="P447" s="66" t="s">
        <v>112</v>
      </c>
      <c r="Q447" s="22"/>
      <c r="R447" s="22"/>
      <c r="S447" s="22"/>
      <c r="T447" s="74"/>
      <c r="U447" s="6"/>
      <c r="V447" s="74"/>
    </row>
    <row r="448" ht="22.5" customHeight="1">
      <c r="A448" s="6"/>
      <c r="C448" s="6"/>
      <c r="D448" s="22"/>
      <c r="E448" s="20"/>
      <c r="F448" s="21"/>
      <c r="G448" s="21"/>
      <c r="H448" s="21"/>
      <c r="I448" s="35" t="b">
        <v>0</v>
      </c>
      <c r="J448" s="35" t="b">
        <v>0</v>
      </c>
      <c r="K448" s="35" t="b">
        <v>0</v>
      </c>
      <c r="L448" s="82" t="b">
        <v>0</v>
      </c>
      <c r="M448" s="83"/>
      <c r="N448" s="84"/>
      <c r="O448" s="89"/>
      <c r="P448" s="66" t="s">
        <v>112</v>
      </c>
      <c r="Q448" s="22"/>
      <c r="R448" s="22"/>
      <c r="S448" s="22"/>
      <c r="T448" s="74"/>
      <c r="U448" s="6"/>
      <c r="V448" s="74"/>
    </row>
    <row r="449" ht="22.5" customHeight="1">
      <c r="A449" s="6"/>
      <c r="C449" s="6"/>
      <c r="D449" s="22"/>
      <c r="E449" s="20"/>
      <c r="F449" s="21"/>
      <c r="G449" s="21"/>
      <c r="H449" s="21"/>
      <c r="I449" s="35" t="b">
        <v>0</v>
      </c>
      <c r="J449" s="35" t="b">
        <v>0</v>
      </c>
      <c r="K449" s="35" t="b">
        <v>0</v>
      </c>
      <c r="L449" s="82" t="b">
        <v>0</v>
      </c>
      <c r="M449" s="83"/>
      <c r="N449" s="84"/>
      <c r="O449" s="89"/>
      <c r="P449" s="66" t="s">
        <v>112</v>
      </c>
      <c r="Q449" s="22"/>
      <c r="R449" s="22"/>
      <c r="S449" s="22"/>
      <c r="T449" s="74"/>
      <c r="U449" s="6"/>
      <c r="V449" s="74"/>
    </row>
    <row r="450" ht="22.5" customHeight="1">
      <c r="A450" s="6"/>
      <c r="C450" s="6"/>
      <c r="D450" s="22"/>
      <c r="E450" s="20"/>
      <c r="F450" s="21"/>
      <c r="G450" s="21"/>
      <c r="H450" s="21"/>
      <c r="I450" s="35" t="b">
        <v>0</v>
      </c>
      <c r="J450" s="35" t="b">
        <v>0</v>
      </c>
      <c r="K450" s="35" t="b">
        <v>0</v>
      </c>
      <c r="L450" s="82" t="b">
        <v>0</v>
      </c>
      <c r="M450" s="83"/>
      <c r="N450" s="84"/>
      <c r="O450" s="89"/>
      <c r="P450" s="66" t="s">
        <v>112</v>
      </c>
      <c r="Q450" s="22"/>
      <c r="R450" s="22"/>
      <c r="S450" s="22"/>
      <c r="T450" s="74"/>
      <c r="U450" s="6"/>
      <c r="V450" s="74"/>
    </row>
    <row r="451" ht="22.5" customHeight="1">
      <c r="A451" s="6"/>
      <c r="C451" s="6"/>
      <c r="D451" s="22"/>
      <c r="E451" s="20"/>
      <c r="F451" s="21"/>
      <c r="G451" s="21"/>
      <c r="H451" s="21"/>
      <c r="I451" s="35" t="b">
        <v>0</v>
      </c>
      <c r="J451" s="35" t="b">
        <v>0</v>
      </c>
      <c r="K451" s="35" t="b">
        <v>0</v>
      </c>
      <c r="L451" s="82" t="b">
        <v>0</v>
      </c>
      <c r="M451" s="83"/>
      <c r="N451" s="84"/>
      <c r="O451" s="89"/>
      <c r="P451" s="66" t="s">
        <v>112</v>
      </c>
      <c r="Q451" s="22"/>
      <c r="R451" s="22"/>
      <c r="S451" s="22"/>
      <c r="T451" s="74"/>
      <c r="U451" s="6"/>
      <c r="V451" s="74"/>
    </row>
    <row r="452" ht="22.5" customHeight="1">
      <c r="A452" s="6"/>
      <c r="C452" s="6"/>
      <c r="D452" s="22"/>
      <c r="E452" s="20"/>
      <c r="F452" s="21"/>
      <c r="G452" s="21"/>
      <c r="H452" s="21"/>
      <c r="I452" s="35" t="b">
        <v>0</v>
      </c>
      <c r="J452" s="35" t="b">
        <v>0</v>
      </c>
      <c r="K452" s="35" t="b">
        <v>0</v>
      </c>
      <c r="L452" s="82" t="b">
        <v>0</v>
      </c>
      <c r="M452" s="83"/>
      <c r="N452" s="84"/>
      <c r="O452" s="89"/>
      <c r="P452" s="66" t="s">
        <v>112</v>
      </c>
      <c r="Q452" s="22"/>
      <c r="R452" s="22"/>
      <c r="S452" s="22"/>
      <c r="T452" s="74"/>
      <c r="U452" s="6"/>
      <c r="V452" s="74"/>
    </row>
    <row r="453" ht="22.5" customHeight="1">
      <c r="A453" s="6"/>
      <c r="C453" s="6"/>
      <c r="D453" s="22"/>
      <c r="E453" s="20"/>
      <c r="F453" s="21"/>
      <c r="G453" s="21"/>
      <c r="H453" s="21"/>
      <c r="I453" s="35" t="b">
        <v>0</v>
      </c>
      <c r="J453" s="35" t="b">
        <v>0</v>
      </c>
      <c r="K453" s="35" t="b">
        <v>0</v>
      </c>
      <c r="L453" s="82" t="b">
        <v>0</v>
      </c>
      <c r="M453" s="83"/>
      <c r="N453" s="84"/>
      <c r="O453" s="89"/>
      <c r="P453" s="66" t="s">
        <v>112</v>
      </c>
      <c r="Q453" s="22"/>
      <c r="R453" s="22"/>
      <c r="S453" s="22"/>
      <c r="T453" s="74"/>
      <c r="U453" s="6"/>
      <c r="V453" s="74"/>
    </row>
    <row r="454" ht="22.5" customHeight="1">
      <c r="A454" s="6"/>
      <c r="C454" s="6"/>
      <c r="D454" s="22"/>
      <c r="E454" s="20"/>
      <c r="F454" s="21"/>
      <c r="G454" s="21"/>
      <c r="H454" s="21"/>
      <c r="I454" s="35" t="b">
        <v>0</v>
      </c>
      <c r="J454" s="35" t="b">
        <v>0</v>
      </c>
      <c r="K454" s="35" t="b">
        <v>0</v>
      </c>
      <c r="L454" s="82" t="b">
        <v>0</v>
      </c>
      <c r="M454" s="83"/>
      <c r="N454" s="84"/>
      <c r="O454" s="89"/>
      <c r="P454" s="66" t="s">
        <v>112</v>
      </c>
      <c r="Q454" s="22"/>
      <c r="R454" s="22"/>
      <c r="S454" s="22"/>
      <c r="T454" s="74"/>
      <c r="U454" s="6"/>
      <c r="V454" s="74"/>
    </row>
    <row r="455" ht="22.5" customHeight="1">
      <c r="A455" s="6"/>
      <c r="C455" s="6"/>
      <c r="D455" s="22"/>
      <c r="E455" s="20"/>
      <c r="F455" s="21"/>
      <c r="G455" s="21"/>
      <c r="H455" s="21"/>
      <c r="I455" s="35" t="b">
        <v>0</v>
      </c>
      <c r="J455" s="35" t="b">
        <v>0</v>
      </c>
      <c r="K455" s="35" t="b">
        <v>0</v>
      </c>
      <c r="L455" s="82" t="b">
        <v>0</v>
      </c>
      <c r="M455" s="83"/>
      <c r="N455" s="84"/>
      <c r="O455" s="89"/>
      <c r="P455" s="66" t="s">
        <v>112</v>
      </c>
      <c r="Q455" s="22"/>
      <c r="R455" s="22"/>
      <c r="S455" s="22"/>
      <c r="T455" s="74"/>
      <c r="U455" s="6"/>
      <c r="V455" s="74"/>
    </row>
    <row r="456" ht="22.5" customHeight="1">
      <c r="A456" s="6"/>
      <c r="C456" s="6"/>
      <c r="D456" s="22"/>
      <c r="E456" s="20"/>
      <c r="F456" s="21"/>
      <c r="G456" s="21"/>
      <c r="H456" s="21"/>
      <c r="I456" s="35" t="b">
        <v>0</v>
      </c>
      <c r="J456" s="35" t="b">
        <v>0</v>
      </c>
      <c r="K456" s="35" t="b">
        <v>0</v>
      </c>
      <c r="L456" s="82" t="b">
        <v>0</v>
      </c>
      <c r="M456" s="83"/>
      <c r="N456" s="84"/>
      <c r="O456" s="89"/>
      <c r="P456" s="66" t="s">
        <v>112</v>
      </c>
      <c r="Q456" s="22"/>
      <c r="R456" s="22"/>
      <c r="S456" s="22"/>
      <c r="T456" s="74"/>
      <c r="U456" s="6"/>
      <c r="V456" s="74"/>
    </row>
    <row r="457" ht="22.5" customHeight="1">
      <c r="A457" s="6"/>
      <c r="C457" s="6"/>
      <c r="D457" s="22"/>
      <c r="E457" s="20"/>
      <c r="F457" s="21"/>
      <c r="G457" s="21"/>
      <c r="H457" s="21"/>
      <c r="I457" s="35" t="b">
        <v>0</v>
      </c>
      <c r="J457" s="35" t="b">
        <v>0</v>
      </c>
      <c r="K457" s="35" t="b">
        <v>0</v>
      </c>
      <c r="L457" s="82" t="b">
        <v>0</v>
      </c>
      <c r="M457" s="83"/>
      <c r="N457" s="84"/>
      <c r="O457" s="89"/>
      <c r="P457" s="66" t="s">
        <v>112</v>
      </c>
      <c r="Q457" s="22"/>
      <c r="R457" s="22"/>
      <c r="S457" s="22"/>
      <c r="T457" s="74"/>
      <c r="U457" s="6"/>
      <c r="V457" s="74"/>
    </row>
    <row r="458" ht="22.5" customHeight="1">
      <c r="A458" s="6"/>
      <c r="C458" s="6"/>
      <c r="D458" s="22"/>
      <c r="E458" s="20"/>
      <c r="F458" s="21"/>
      <c r="G458" s="21"/>
      <c r="H458" s="21"/>
      <c r="I458" s="35" t="b">
        <v>0</v>
      </c>
      <c r="J458" s="35" t="b">
        <v>0</v>
      </c>
      <c r="K458" s="35" t="b">
        <v>0</v>
      </c>
      <c r="L458" s="82" t="b">
        <v>0</v>
      </c>
      <c r="M458" s="83"/>
      <c r="N458" s="84"/>
      <c r="O458" s="89"/>
      <c r="P458" s="66" t="s">
        <v>112</v>
      </c>
      <c r="Q458" s="22"/>
      <c r="R458" s="22"/>
      <c r="S458" s="22"/>
      <c r="T458" s="74"/>
      <c r="U458" s="6"/>
      <c r="V458" s="74"/>
    </row>
    <row r="459" ht="22.5" customHeight="1">
      <c r="A459" s="6"/>
      <c r="C459" s="6"/>
      <c r="D459" s="22"/>
      <c r="E459" s="20"/>
      <c r="F459" s="21"/>
      <c r="G459" s="21"/>
      <c r="H459" s="21"/>
      <c r="I459" s="35" t="b">
        <v>0</v>
      </c>
      <c r="J459" s="35" t="b">
        <v>0</v>
      </c>
      <c r="K459" s="35" t="b">
        <v>0</v>
      </c>
      <c r="L459" s="82" t="b">
        <v>0</v>
      </c>
      <c r="M459" s="83"/>
      <c r="N459" s="84"/>
      <c r="O459" s="89"/>
      <c r="P459" s="66" t="s">
        <v>112</v>
      </c>
      <c r="Q459" s="22"/>
      <c r="R459" s="22"/>
      <c r="S459" s="22"/>
      <c r="T459" s="74"/>
      <c r="U459" s="6"/>
      <c r="V459" s="74"/>
    </row>
    <row r="460" ht="22.5" customHeight="1">
      <c r="A460" s="6"/>
      <c r="C460" s="6"/>
      <c r="D460" s="22"/>
      <c r="E460" s="20"/>
      <c r="F460" s="21"/>
      <c r="G460" s="21"/>
      <c r="H460" s="21"/>
      <c r="I460" s="35" t="b">
        <v>0</v>
      </c>
      <c r="J460" s="35" t="b">
        <v>0</v>
      </c>
      <c r="K460" s="35" t="b">
        <v>0</v>
      </c>
      <c r="L460" s="82" t="b">
        <v>0</v>
      </c>
      <c r="M460" s="83"/>
      <c r="N460" s="84"/>
      <c r="O460" s="89"/>
      <c r="P460" s="66" t="s">
        <v>112</v>
      </c>
      <c r="Q460" s="22"/>
      <c r="R460" s="22"/>
      <c r="S460" s="22"/>
      <c r="T460" s="74"/>
      <c r="U460" s="6"/>
      <c r="V460" s="74"/>
    </row>
    <row r="461" ht="22.5" customHeight="1">
      <c r="A461" s="6"/>
      <c r="C461" s="6"/>
      <c r="D461" s="22"/>
      <c r="E461" s="20"/>
      <c r="F461" s="21"/>
      <c r="G461" s="21"/>
      <c r="H461" s="21"/>
      <c r="I461" s="35" t="b">
        <v>0</v>
      </c>
      <c r="J461" s="35" t="b">
        <v>0</v>
      </c>
      <c r="K461" s="35" t="b">
        <v>0</v>
      </c>
      <c r="L461" s="82" t="b">
        <v>0</v>
      </c>
      <c r="M461" s="83"/>
      <c r="N461" s="84"/>
      <c r="O461" s="89"/>
      <c r="P461" s="66" t="s">
        <v>112</v>
      </c>
      <c r="Q461" s="22"/>
      <c r="R461" s="22"/>
      <c r="S461" s="22"/>
      <c r="T461" s="74"/>
      <c r="U461" s="6"/>
      <c r="V461" s="74"/>
    </row>
    <row r="462" ht="22.5" customHeight="1">
      <c r="A462" s="6"/>
      <c r="C462" s="6"/>
      <c r="D462" s="22"/>
      <c r="E462" s="20"/>
      <c r="F462" s="21"/>
      <c r="G462" s="21"/>
      <c r="H462" s="21"/>
      <c r="I462" s="35" t="b">
        <v>0</v>
      </c>
      <c r="J462" s="35" t="b">
        <v>0</v>
      </c>
      <c r="K462" s="35" t="b">
        <v>0</v>
      </c>
      <c r="L462" s="82" t="b">
        <v>0</v>
      </c>
      <c r="M462" s="83"/>
      <c r="N462" s="84"/>
      <c r="O462" s="89"/>
      <c r="P462" s="66" t="s">
        <v>112</v>
      </c>
      <c r="Q462" s="22"/>
      <c r="R462" s="22"/>
      <c r="S462" s="22"/>
      <c r="T462" s="74"/>
      <c r="U462" s="6"/>
      <c r="V462" s="74"/>
    </row>
    <row r="463" ht="22.5" customHeight="1">
      <c r="A463" s="6"/>
      <c r="C463" s="6"/>
      <c r="D463" s="22"/>
      <c r="E463" s="20"/>
      <c r="F463" s="21"/>
      <c r="G463" s="21"/>
      <c r="H463" s="21"/>
      <c r="I463" s="35" t="b">
        <v>0</v>
      </c>
      <c r="J463" s="35" t="b">
        <v>0</v>
      </c>
      <c r="K463" s="35" t="b">
        <v>0</v>
      </c>
      <c r="L463" s="82" t="b">
        <v>0</v>
      </c>
      <c r="M463" s="83"/>
      <c r="N463" s="84"/>
      <c r="O463" s="89"/>
      <c r="P463" s="66" t="s">
        <v>112</v>
      </c>
      <c r="Q463" s="22"/>
      <c r="R463" s="22"/>
      <c r="S463" s="22"/>
      <c r="T463" s="74"/>
      <c r="U463" s="6"/>
      <c r="V463" s="74"/>
    </row>
    <row r="464" ht="22.5" customHeight="1">
      <c r="A464" s="6"/>
      <c r="C464" s="6"/>
      <c r="D464" s="22"/>
      <c r="E464" s="20"/>
      <c r="F464" s="21"/>
      <c r="G464" s="21"/>
      <c r="H464" s="21"/>
      <c r="I464" s="35" t="b">
        <v>0</v>
      </c>
      <c r="J464" s="35" t="b">
        <v>0</v>
      </c>
      <c r="K464" s="35" t="b">
        <v>0</v>
      </c>
      <c r="L464" s="82" t="b">
        <v>0</v>
      </c>
      <c r="M464" s="83"/>
      <c r="N464" s="84"/>
      <c r="O464" s="89"/>
      <c r="P464" s="66" t="s">
        <v>112</v>
      </c>
      <c r="Q464" s="22"/>
      <c r="R464" s="22"/>
      <c r="S464" s="22"/>
      <c r="T464" s="74"/>
      <c r="U464" s="6"/>
      <c r="V464" s="74"/>
    </row>
    <row r="465" ht="22.5" customHeight="1">
      <c r="A465" s="6"/>
      <c r="C465" s="6"/>
      <c r="D465" s="22"/>
      <c r="E465" s="20"/>
      <c r="F465" s="21"/>
      <c r="G465" s="21"/>
      <c r="H465" s="21"/>
      <c r="I465" s="35" t="b">
        <v>0</v>
      </c>
      <c r="J465" s="35" t="b">
        <v>0</v>
      </c>
      <c r="K465" s="35" t="b">
        <v>0</v>
      </c>
      <c r="L465" s="82" t="b">
        <v>0</v>
      </c>
      <c r="M465" s="83"/>
      <c r="N465" s="84"/>
      <c r="O465" s="89"/>
      <c r="P465" s="66" t="s">
        <v>112</v>
      </c>
      <c r="Q465" s="22"/>
      <c r="R465" s="22"/>
      <c r="S465" s="22"/>
      <c r="T465" s="74"/>
      <c r="U465" s="6"/>
      <c r="V465" s="74"/>
    </row>
    <row r="466" ht="22.5" customHeight="1">
      <c r="A466" s="6"/>
      <c r="C466" s="6"/>
      <c r="D466" s="22"/>
      <c r="E466" s="20"/>
      <c r="F466" s="21"/>
      <c r="G466" s="21"/>
      <c r="H466" s="21"/>
      <c r="I466" s="35" t="b">
        <v>0</v>
      </c>
      <c r="J466" s="35" t="b">
        <v>0</v>
      </c>
      <c r="K466" s="35" t="b">
        <v>0</v>
      </c>
      <c r="L466" s="82" t="b">
        <v>0</v>
      </c>
      <c r="M466" s="83"/>
      <c r="N466" s="84"/>
      <c r="O466" s="89"/>
      <c r="P466" s="66" t="s">
        <v>112</v>
      </c>
      <c r="Q466" s="22"/>
      <c r="R466" s="22"/>
      <c r="S466" s="22"/>
      <c r="T466" s="74"/>
      <c r="U466" s="6"/>
      <c r="V466" s="74"/>
    </row>
    <row r="467" ht="22.5" customHeight="1">
      <c r="A467" s="6"/>
      <c r="C467" s="6"/>
      <c r="D467" s="22"/>
      <c r="E467" s="20"/>
      <c r="F467" s="21"/>
      <c r="G467" s="21"/>
      <c r="H467" s="21"/>
      <c r="I467" s="35" t="b">
        <v>0</v>
      </c>
      <c r="J467" s="35" t="b">
        <v>0</v>
      </c>
      <c r="K467" s="35" t="b">
        <v>0</v>
      </c>
      <c r="L467" s="82" t="b">
        <v>0</v>
      </c>
      <c r="M467" s="83"/>
      <c r="N467" s="84"/>
      <c r="O467" s="89"/>
      <c r="P467" s="66" t="s">
        <v>112</v>
      </c>
      <c r="Q467" s="22"/>
      <c r="R467" s="22"/>
      <c r="S467" s="22"/>
      <c r="T467" s="74"/>
      <c r="U467" s="6"/>
      <c r="V467" s="74"/>
    </row>
    <row r="468" ht="22.5" customHeight="1">
      <c r="A468" s="6"/>
      <c r="C468" s="6"/>
      <c r="D468" s="22"/>
      <c r="E468" s="20"/>
      <c r="F468" s="21"/>
      <c r="G468" s="21"/>
      <c r="H468" s="21"/>
      <c r="I468" s="35" t="b">
        <v>0</v>
      </c>
      <c r="J468" s="35" t="b">
        <v>0</v>
      </c>
      <c r="K468" s="35" t="b">
        <v>0</v>
      </c>
      <c r="L468" s="82" t="b">
        <v>0</v>
      </c>
      <c r="M468" s="83"/>
      <c r="N468" s="84"/>
      <c r="O468" s="89"/>
      <c r="P468" s="66" t="s">
        <v>112</v>
      </c>
      <c r="Q468" s="22"/>
      <c r="R468" s="22"/>
      <c r="S468" s="22"/>
      <c r="T468" s="74"/>
      <c r="U468" s="6"/>
      <c r="V468" s="74"/>
    </row>
    <row r="469" ht="22.5" customHeight="1">
      <c r="A469" s="6"/>
      <c r="C469" s="6"/>
      <c r="D469" s="22"/>
      <c r="E469" s="20"/>
      <c r="F469" s="21"/>
      <c r="G469" s="21"/>
      <c r="H469" s="21"/>
      <c r="I469" s="35" t="b">
        <v>0</v>
      </c>
      <c r="J469" s="35" t="b">
        <v>0</v>
      </c>
      <c r="K469" s="35" t="b">
        <v>0</v>
      </c>
      <c r="L469" s="82" t="b">
        <v>0</v>
      </c>
      <c r="M469" s="83"/>
      <c r="N469" s="84"/>
      <c r="O469" s="89"/>
      <c r="P469" s="66" t="s">
        <v>112</v>
      </c>
      <c r="Q469" s="22"/>
      <c r="R469" s="22"/>
      <c r="S469" s="22"/>
      <c r="T469" s="74"/>
      <c r="U469" s="6"/>
      <c r="V469" s="74"/>
    </row>
    <row r="470" ht="22.5" customHeight="1">
      <c r="A470" s="6"/>
      <c r="C470" s="6"/>
      <c r="D470" s="22"/>
      <c r="E470" s="20"/>
      <c r="F470" s="21"/>
      <c r="G470" s="21"/>
      <c r="H470" s="21"/>
      <c r="I470" s="35" t="b">
        <v>0</v>
      </c>
      <c r="J470" s="35" t="b">
        <v>0</v>
      </c>
      <c r="K470" s="35" t="b">
        <v>0</v>
      </c>
      <c r="L470" s="82" t="b">
        <v>0</v>
      </c>
      <c r="M470" s="83"/>
      <c r="N470" s="84"/>
      <c r="O470" s="89"/>
      <c r="P470" s="66" t="s">
        <v>112</v>
      </c>
      <c r="Q470" s="22"/>
      <c r="R470" s="22"/>
      <c r="S470" s="22"/>
      <c r="T470" s="74"/>
      <c r="U470" s="6"/>
      <c r="V470" s="74"/>
    </row>
    <row r="471" ht="22.5" customHeight="1">
      <c r="A471" s="6"/>
      <c r="C471" s="6"/>
      <c r="D471" s="22"/>
      <c r="E471" s="20"/>
      <c r="F471" s="21"/>
      <c r="G471" s="21"/>
      <c r="H471" s="21"/>
      <c r="I471" s="35" t="b">
        <v>0</v>
      </c>
      <c r="J471" s="35" t="b">
        <v>0</v>
      </c>
      <c r="K471" s="35" t="b">
        <v>0</v>
      </c>
      <c r="L471" s="82" t="b">
        <v>0</v>
      </c>
      <c r="M471" s="83"/>
      <c r="N471" s="84"/>
      <c r="O471" s="89"/>
      <c r="P471" s="66" t="s">
        <v>112</v>
      </c>
      <c r="Q471" s="22"/>
      <c r="R471" s="22"/>
      <c r="S471" s="22"/>
      <c r="T471" s="74"/>
      <c r="U471" s="6"/>
      <c r="V471" s="74"/>
    </row>
    <row r="472" ht="22.5" customHeight="1">
      <c r="A472" s="6"/>
      <c r="C472" s="6"/>
      <c r="D472" s="22"/>
      <c r="E472" s="20"/>
      <c r="F472" s="21"/>
      <c r="G472" s="21"/>
      <c r="H472" s="21"/>
      <c r="I472" s="35" t="b">
        <v>0</v>
      </c>
      <c r="J472" s="35" t="b">
        <v>0</v>
      </c>
      <c r="K472" s="35" t="b">
        <v>0</v>
      </c>
      <c r="L472" s="82" t="b">
        <v>0</v>
      </c>
      <c r="M472" s="83"/>
      <c r="N472" s="84"/>
      <c r="O472" s="89"/>
      <c r="P472" s="66" t="s">
        <v>112</v>
      </c>
      <c r="Q472" s="22"/>
      <c r="R472" s="22"/>
      <c r="S472" s="22"/>
      <c r="T472" s="74"/>
      <c r="U472" s="6"/>
      <c r="V472" s="74"/>
    </row>
    <row r="473" ht="22.5" customHeight="1">
      <c r="A473" s="6"/>
      <c r="C473" s="6"/>
      <c r="D473" s="22"/>
      <c r="E473" s="20"/>
      <c r="F473" s="21"/>
      <c r="G473" s="21"/>
      <c r="H473" s="21"/>
      <c r="I473" s="35" t="b">
        <v>0</v>
      </c>
      <c r="J473" s="35" t="b">
        <v>0</v>
      </c>
      <c r="K473" s="35" t="b">
        <v>0</v>
      </c>
      <c r="L473" s="82" t="b">
        <v>0</v>
      </c>
      <c r="M473" s="83"/>
      <c r="N473" s="84"/>
      <c r="O473" s="89"/>
      <c r="P473" s="66" t="s">
        <v>112</v>
      </c>
      <c r="Q473" s="22"/>
      <c r="R473" s="22"/>
      <c r="S473" s="22"/>
      <c r="T473" s="74"/>
      <c r="U473" s="6"/>
      <c r="V473" s="74"/>
    </row>
    <row r="474" ht="22.5" customHeight="1">
      <c r="A474" s="6"/>
      <c r="C474" s="6"/>
      <c r="D474" s="22"/>
      <c r="E474" s="20"/>
      <c r="F474" s="21"/>
      <c r="G474" s="21"/>
      <c r="H474" s="21"/>
      <c r="I474" s="35" t="b">
        <v>0</v>
      </c>
      <c r="J474" s="35" t="b">
        <v>0</v>
      </c>
      <c r="K474" s="35" t="b">
        <v>0</v>
      </c>
      <c r="L474" s="82" t="b">
        <v>0</v>
      </c>
      <c r="M474" s="83"/>
      <c r="N474" s="84"/>
      <c r="O474" s="89"/>
      <c r="P474" s="66" t="s">
        <v>112</v>
      </c>
      <c r="Q474" s="22"/>
      <c r="R474" s="22"/>
      <c r="S474" s="22"/>
      <c r="T474" s="74"/>
      <c r="U474" s="6"/>
      <c r="V474" s="74"/>
    </row>
    <row r="475" ht="22.5" customHeight="1">
      <c r="A475" s="6"/>
      <c r="C475" s="6"/>
      <c r="D475" s="22"/>
      <c r="E475" s="20"/>
      <c r="F475" s="21"/>
      <c r="G475" s="21"/>
      <c r="H475" s="21"/>
      <c r="I475" s="35" t="b">
        <v>0</v>
      </c>
      <c r="J475" s="35" t="b">
        <v>0</v>
      </c>
      <c r="K475" s="35" t="b">
        <v>0</v>
      </c>
      <c r="L475" s="82" t="b">
        <v>0</v>
      </c>
      <c r="M475" s="83"/>
      <c r="N475" s="84"/>
      <c r="O475" s="89"/>
      <c r="P475" s="66" t="s">
        <v>112</v>
      </c>
      <c r="Q475" s="22"/>
      <c r="R475" s="22"/>
      <c r="S475" s="22"/>
      <c r="T475" s="74"/>
      <c r="U475" s="6"/>
      <c r="V475" s="74"/>
    </row>
    <row r="476" ht="22.5" customHeight="1">
      <c r="A476" s="6"/>
      <c r="C476" s="6"/>
      <c r="D476" s="22"/>
      <c r="E476" s="20"/>
      <c r="F476" s="21"/>
      <c r="G476" s="21"/>
      <c r="H476" s="21"/>
      <c r="I476" s="35" t="b">
        <v>0</v>
      </c>
      <c r="J476" s="35" t="b">
        <v>0</v>
      </c>
      <c r="K476" s="35" t="b">
        <v>0</v>
      </c>
      <c r="L476" s="82" t="b">
        <v>0</v>
      </c>
      <c r="M476" s="83"/>
      <c r="N476" s="84"/>
      <c r="O476" s="89"/>
      <c r="P476" s="66" t="s">
        <v>112</v>
      </c>
      <c r="Q476" s="22"/>
      <c r="R476" s="22"/>
      <c r="S476" s="22"/>
      <c r="T476" s="74"/>
      <c r="U476" s="6"/>
      <c r="V476" s="74"/>
    </row>
    <row r="477" ht="22.5" customHeight="1">
      <c r="A477" s="6"/>
      <c r="C477" s="6"/>
      <c r="D477" s="22"/>
      <c r="E477" s="20"/>
      <c r="F477" s="21"/>
      <c r="G477" s="21"/>
      <c r="H477" s="21"/>
      <c r="I477" s="35" t="b">
        <v>0</v>
      </c>
      <c r="J477" s="35" t="b">
        <v>0</v>
      </c>
      <c r="K477" s="35" t="b">
        <v>0</v>
      </c>
      <c r="L477" s="82" t="b">
        <v>0</v>
      </c>
      <c r="M477" s="83"/>
      <c r="N477" s="84"/>
      <c r="O477" s="89"/>
      <c r="P477" s="66" t="s">
        <v>112</v>
      </c>
      <c r="Q477" s="22"/>
      <c r="R477" s="22"/>
      <c r="S477" s="22"/>
      <c r="T477" s="74"/>
      <c r="U477" s="6"/>
      <c r="V477" s="74"/>
    </row>
    <row r="478" ht="22.5" customHeight="1">
      <c r="A478" s="6"/>
      <c r="C478" s="6"/>
      <c r="D478" s="22"/>
      <c r="E478" s="20"/>
      <c r="F478" s="21"/>
      <c r="G478" s="21"/>
      <c r="H478" s="21"/>
      <c r="I478" s="35" t="b">
        <v>0</v>
      </c>
      <c r="J478" s="35" t="b">
        <v>0</v>
      </c>
      <c r="K478" s="35" t="b">
        <v>0</v>
      </c>
      <c r="L478" s="82" t="b">
        <v>0</v>
      </c>
      <c r="M478" s="83"/>
      <c r="N478" s="84"/>
      <c r="O478" s="89"/>
      <c r="P478" s="66" t="s">
        <v>112</v>
      </c>
      <c r="Q478" s="22"/>
      <c r="R478" s="22"/>
      <c r="S478" s="22"/>
      <c r="T478" s="74"/>
      <c r="U478" s="6"/>
      <c r="V478" s="74"/>
    </row>
    <row r="479" ht="22.5" customHeight="1">
      <c r="A479" s="6"/>
      <c r="C479" s="6"/>
      <c r="D479" s="22"/>
      <c r="E479" s="20"/>
      <c r="F479" s="21"/>
      <c r="G479" s="21"/>
      <c r="H479" s="21"/>
      <c r="I479" s="35" t="b">
        <v>0</v>
      </c>
      <c r="J479" s="35" t="b">
        <v>0</v>
      </c>
      <c r="K479" s="35" t="b">
        <v>0</v>
      </c>
      <c r="L479" s="82" t="b">
        <v>0</v>
      </c>
      <c r="M479" s="83"/>
      <c r="N479" s="84"/>
      <c r="O479" s="89"/>
      <c r="P479" s="66" t="s">
        <v>112</v>
      </c>
      <c r="Q479" s="22"/>
      <c r="R479" s="22"/>
      <c r="S479" s="22"/>
      <c r="T479" s="74"/>
      <c r="U479" s="6"/>
      <c r="V479" s="74"/>
    </row>
    <row r="480" ht="22.5" customHeight="1">
      <c r="A480" s="6"/>
      <c r="C480" s="6"/>
      <c r="D480" s="22"/>
      <c r="E480" s="20"/>
      <c r="F480" s="21"/>
      <c r="G480" s="21"/>
      <c r="H480" s="21"/>
      <c r="I480" s="35" t="b">
        <v>0</v>
      </c>
      <c r="J480" s="35" t="b">
        <v>0</v>
      </c>
      <c r="K480" s="35" t="b">
        <v>0</v>
      </c>
      <c r="L480" s="82" t="b">
        <v>0</v>
      </c>
      <c r="M480" s="83"/>
      <c r="N480" s="84"/>
      <c r="O480" s="89"/>
      <c r="P480" s="66" t="s">
        <v>112</v>
      </c>
      <c r="Q480" s="22"/>
      <c r="R480" s="22"/>
      <c r="S480" s="22"/>
      <c r="T480" s="74"/>
      <c r="U480" s="6"/>
      <c r="V480" s="74"/>
    </row>
    <row r="481" ht="22.5" customHeight="1">
      <c r="A481" s="6"/>
      <c r="C481" s="6"/>
      <c r="D481" s="22"/>
      <c r="E481" s="20"/>
      <c r="F481" s="21"/>
      <c r="G481" s="21"/>
      <c r="H481" s="21"/>
      <c r="I481" s="35" t="b">
        <v>0</v>
      </c>
      <c r="J481" s="35" t="b">
        <v>0</v>
      </c>
      <c r="K481" s="35" t="b">
        <v>0</v>
      </c>
      <c r="L481" s="82" t="b">
        <v>0</v>
      </c>
      <c r="M481" s="83"/>
      <c r="N481" s="84"/>
      <c r="O481" s="89"/>
      <c r="P481" s="66" t="s">
        <v>112</v>
      </c>
      <c r="Q481" s="22"/>
      <c r="R481" s="22"/>
      <c r="S481" s="22"/>
      <c r="T481" s="74"/>
      <c r="U481" s="6"/>
      <c r="V481" s="74"/>
    </row>
    <row r="482" ht="22.5" customHeight="1">
      <c r="A482" s="6"/>
      <c r="C482" s="6"/>
      <c r="D482" s="22"/>
      <c r="E482" s="20"/>
      <c r="F482" s="21"/>
      <c r="G482" s="21"/>
      <c r="H482" s="21"/>
      <c r="I482" s="35" t="b">
        <v>0</v>
      </c>
      <c r="J482" s="35" t="b">
        <v>0</v>
      </c>
      <c r="K482" s="35" t="b">
        <v>0</v>
      </c>
      <c r="L482" s="82" t="b">
        <v>0</v>
      </c>
      <c r="M482" s="83"/>
      <c r="N482" s="84"/>
      <c r="O482" s="89"/>
      <c r="P482" s="66" t="s">
        <v>112</v>
      </c>
      <c r="Q482" s="22"/>
      <c r="R482" s="22"/>
      <c r="S482" s="22"/>
      <c r="T482" s="74"/>
      <c r="U482" s="6"/>
      <c r="V482" s="74"/>
    </row>
    <row r="483" ht="22.5" customHeight="1">
      <c r="A483" s="6"/>
      <c r="C483" s="6"/>
      <c r="D483" s="22"/>
      <c r="E483" s="20"/>
      <c r="F483" s="21"/>
      <c r="G483" s="21"/>
      <c r="H483" s="21"/>
      <c r="I483" s="35" t="b">
        <v>0</v>
      </c>
      <c r="J483" s="35" t="b">
        <v>0</v>
      </c>
      <c r="K483" s="35" t="b">
        <v>0</v>
      </c>
      <c r="L483" s="82" t="b">
        <v>0</v>
      </c>
      <c r="M483" s="83"/>
      <c r="N483" s="84"/>
      <c r="O483" s="89"/>
      <c r="P483" s="66" t="s">
        <v>112</v>
      </c>
      <c r="Q483" s="22"/>
      <c r="R483" s="22"/>
      <c r="S483" s="22"/>
      <c r="T483" s="74"/>
      <c r="U483" s="6"/>
      <c r="V483" s="74"/>
    </row>
    <row r="484" ht="22.5" customHeight="1">
      <c r="A484" s="6"/>
      <c r="C484" s="6"/>
      <c r="D484" s="22"/>
      <c r="E484" s="20"/>
      <c r="F484" s="21"/>
      <c r="G484" s="21"/>
      <c r="H484" s="21"/>
      <c r="I484" s="35" t="b">
        <v>0</v>
      </c>
      <c r="J484" s="35" t="b">
        <v>0</v>
      </c>
      <c r="K484" s="35" t="b">
        <v>0</v>
      </c>
      <c r="L484" s="82" t="b">
        <v>0</v>
      </c>
      <c r="M484" s="83"/>
      <c r="N484" s="84"/>
      <c r="O484" s="89"/>
      <c r="P484" s="66" t="s">
        <v>112</v>
      </c>
      <c r="Q484" s="22"/>
      <c r="R484" s="22"/>
      <c r="S484" s="22"/>
      <c r="T484" s="74"/>
      <c r="U484" s="6"/>
      <c r="V484" s="74"/>
    </row>
    <row r="485" ht="22.5" customHeight="1">
      <c r="A485" s="6"/>
      <c r="C485" s="6"/>
      <c r="D485" s="22"/>
      <c r="E485" s="20"/>
      <c r="F485" s="21"/>
      <c r="G485" s="21"/>
      <c r="H485" s="21"/>
      <c r="I485" s="35" t="b">
        <v>0</v>
      </c>
      <c r="J485" s="35" t="b">
        <v>0</v>
      </c>
      <c r="K485" s="35" t="b">
        <v>0</v>
      </c>
      <c r="L485" s="82" t="b">
        <v>0</v>
      </c>
      <c r="M485" s="83"/>
      <c r="N485" s="84"/>
      <c r="O485" s="89"/>
      <c r="P485" s="66" t="s">
        <v>112</v>
      </c>
      <c r="Q485" s="22"/>
      <c r="R485" s="22"/>
      <c r="S485" s="22"/>
      <c r="T485" s="74"/>
      <c r="U485" s="6"/>
      <c r="V485" s="74"/>
    </row>
    <row r="486" ht="22.5" customHeight="1">
      <c r="A486" s="6"/>
      <c r="C486" s="6"/>
      <c r="D486" s="22"/>
      <c r="E486" s="20"/>
      <c r="F486" s="21"/>
      <c r="G486" s="21"/>
      <c r="H486" s="21"/>
      <c r="I486" s="35" t="b">
        <v>0</v>
      </c>
      <c r="J486" s="35" t="b">
        <v>0</v>
      </c>
      <c r="K486" s="35" t="b">
        <v>0</v>
      </c>
      <c r="L486" s="82" t="b">
        <v>0</v>
      </c>
      <c r="M486" s="83"/>
      <c r="N486" s="84"/>
      <c r="O486" s="89"/>
      <c r="P486" s="66" t="s">
        <v>112</v>
      </c>
      <c r="Q486" s="22"/>
      <c r="R486" s="22"/>
      <c r="S486" s="22"/>
      <c r="T486" s="74"/>
      <c r="U486" s="6"/>
      <c r="V486" s="74"/>
    </row>
    <row r="487" ht="22.5" customHeight="1">
      <c r="A487" s="6"/>
      <c r="C487" s="6"/>
      <c r="D487" s="22"/>
      <c r="E487" s="20"/>
      <c r="F487" s="21"/>
      <c r="G487" s="21"/>
      <c r="H487" s="21"/>
      <c r="I487" s="35" t="b">
        <v>0</v>
      </c>
      <c r="J487" s="35" t="b">
        <v>0</v>
      </c>
      <c r="K487" s="35" t="b">
        <v>0</v>
      </c>
      <c r="L487" s="82" t="b">
        <v>0</v>
      </c>
      <c r="M487" s="83"/>
      <c r="N487" s="84"/>
      <c r="O487" s="89"/>
      <c r="P487" s="66" t="s">
        <v>112</v>
      </c>
      <c r="Q487" s="22"/>
      <c r="R487" s="22"/>
      <c r="S487" s="22"/>
      <c r="T487" s="74"/>
      <c r="U487" s="6"/>
      <c r="V487" s="74"/>
    </row>
    <row r="488" ht="22.5" customHeight="1">
      <c r="A488" s="6"/>
      <c r="C488" s="6"/>
      <c r="D488" s="22"/>
      <c r="E488" s="20"/>
      <c r="F488" s="21"/>
      <c r="G488" s="21"/>
      <c r="H488" s="21"/>
      <c r="I488" s="35" t="b">
        <v>0</v>
      </c>
      <c r="J488" s="35" t="b">
        <v>0</v>
      </c>
      <c r="K488" s="35" t="b">
        <v>0</v>
      </c>
      <c r="L488" s="82" t="b">
        <v>0</v>
      </c>
      <c r="M488" s="83"/>
      <c r="N488" s="84"/>
      <c r="O488" s="89"/>
      <c r="P488" s="66" t="s">
        <v>112</v>
      </c>
      <c r="Q488" s="22"/>
      <c r="R488" s="22"/>
      <c r="S488" s="22"/>
      <c r="T488" s="74"/>
      <c r="U488" s="6"/>
      <c r="V488" s="74"/>
    </row>
    <row r="489" ht="22.5" customHeight="1">
      <c r="A489" s="6"/>
      <c r="C489" s="6"/>
      <c r="D489" s="22"/>
      <c r="E489" s="20"/>
      <c r="F489" s="21"/>
      <c r="G489" s="21"/>
      <c r="H489" s="21"/>
      <c r="I489" s="35" t="b">
        <v>0</v>
      </c>
      <c r="J489" s="35" t="b">
        <v>0</v>
      </c>
      <c r="K489" s="35" t="b">
        <v>0</v>
      </c>
      <c r="L489" s="82" t="b">
        <v>0</v>
      </c>
      <c r="M489" s="83"/>
      <c r="N489" s="84"/>
      <c r="O489" s="89"/>
      <c r="P489" s="66" t="s">
        <v>112</v>
      </c>
      <c r="Q489" s="22"/>
      <c r="R489" s="22"/>
      <c r="S489" s="22"/>
      <c r="T489" s="74"/>
      <c r="U489" s="6"/>
      <c r="V489" s="74"/>
    </row>
    <row r="490" ht="22.5" customHeight="1">
      <c r="A490" s="6"/>
      <c r="C490" s="6"/>
      <c r="D490" s="22"/>
      <c r="E490" s="20"/>
      <c r="F490" s="21"/>
      <c r="G490" s="21"/>
      <c r="H490" s="21"/>
      <c r="I490" s="35" t="b">
        <v>0</v>
      </c>
      <c r="J490" s="35" t="b">
        <v>0</v>
      </c>
      <c r="K490" s="35" t="b">
        <v>0</v>
      </c>
      <c r="L490" s="82" t="b">
        <v>0</v>
      </c>
      <c r="M490" s="83"/>
      <c r="N490" s="84"/>
      <c r="O490" s="89"/>
      <c r="P490" s="66" t="s">
        <v>112</v>
      </c>
      <c r="Q490" s="22"/>
      <c r="R490" s="22"/>
      <c r="S490" s="22"/>
      <c r="T490" s="74"/>
      <c r="U490" s="6"/>
      <c r="V490" s="74"/>
    </row>
    <row r="491" ht="22.5" customHeight="1">
      <c r="A491" s="6"/>
      <c r="C491" s="6"/>
      <c r="D491" s="22"/>
      <c r="E491" s="20"/>
      <c r="F491" s="21"/>
      <c r="G491" s="21"/>
      <c r="H491" s="21"/>
      <c r="I491" s="35" t="b">
        <v>0</v>
      </c>
      <c r="J491" s="35" t="b">
        <v>0</v>
      </c>
      <c r="K491" s="35" t="b">
        <v>0</v>
      </c>
      <c r="L491" s="82" t="b">
        <v>0</v>
      </c>
      <c r="M491" s="83"/>
      <c r="N491" s="84"/>
      <c r="O491" s="89"/>
      <c r="P491" s="66" t="s">
        <v>112</v>
      </c>
      <c r="Q491" s="22"/>
      <c r="R491" s="22"/>
      <c r="S491" s="22"/>
      <c r="T491" s="74"/>
      <c r="U491" s="6"/>
      <c r="V491" s="74"/>
    </row>
    <row r="492" ht="22.5" customHeight="1">
      <c r="A492" s="6"/>
      <c r="C492" s="6"/>
      <c r="D492" s="22"/>
      <c r="E492" s="20"/>
      <c r="F492" s="21"/>
      <c r="G492" s="21"/>
      <c r="H492" s="21"/>
      <c r="I492" s="35" t="b">
        <v>0</v>
      </c>
      <c r="J492" s="35" t="b">
        <v>0</v>
      </c>
      <c r="K492" s="35" t="b">
        <v>0</v>
      </c>
      <c r="L492" s="82" t="b">
        <v>0</v>
      </c>
      <c r="M492" s="83"/>
      <c r="N492" s="84"/>
      <c r="O492" s="89"/>
      <c r="P492" s="66" t="s">
        <v>112</v>
      </c>
      <c r="Q492" s="22"/>
      <c r="R492" s="22"/>
      <c r="S492" s="22"/>
      <c r="T492" s="74"/>
      <c r="U492" s="6"/>
      <c r="V492" s="74"/>
    </row>
    <row r="493" ht="22.5" customHeight="1">
      <c r="A493" s="6"/>
      <c r="C493" s="6"/>
      <c r="D493" s="22"/>
      <c r="E493" s="20"/>
      <c r="F493" s="21"/>
      <c r="G493" s="21"/>
      <c r="H493" s="21"/>
      <c r="I493" s="35" t="b">
        <v>0</v>
      </c>
      <c r="J493" s="35" t="b">
        <v>0</v>
      </c>
      <c r="K493" s="35" t="b">
        <v>0</v>
      </c>
      <c r="L493" s="82" t="b">
        <v>0</v>
      </c>
      <c r="M493" s="83"/>
      <c r="N493" s="84"/>
      <c r="O493" s="89"/>
      <c r="P493" s="66" t="s">
        <v>112</v>
      </c>
      <c r="Q493" s="22"/>
      <c r="R493" s="22"/>
      <c r="S493" s="22"/>
      <c r="T493" s="74"/>
      <c r="U493" s="6"/>
      <c r="V493" s="74"/>
    </row>
    <row r="494" ht="22.5" customHeight="1">
      <c r="A494" s="6"/>
      <c r="C494" s="6"/>
      <c r="D494" s="22"/>
      <c r="E494" s="20"/>
      <c r="F494" s="21"/>
      <c r="G494" s="21"/>
      <c r="H494" s="21"/>
      <c r="I494" s="35" t="b">
        <v>0</v>
      </c>
      <c r="J494" s="35" t="b">
        <v>0</v>
      </c>
      <c r="K494" s="35" t="b">
        <v>0</v>
      </c>
      <c r="L494" s="82" t="b">
        <v>0</v>
      </c>
      <c r="M494" s="83"/>
      <c r="N494" s="84"/>
      <c r="O494" s="89"/>
      <c r="P494" s="66" t="s">
        <v>112</v>
      </c>
      <c r="Q494" s="22"/>
      <c r="R494" s="22"/>
      <c r="S494" s="22"/>
      <c r="T494" s="74"/>
      <c r="U494" s="6"/>
      <c r="V494" s="74"/>
    </row>
    <row r="495" ht="22.5" customHeight="1">
      <c r="A495" s="6"/>
      <c r="C495" s="6"/>
      <c r="D495" s="22"/>
      <c r="E495" s="20"/>
      <c r="F495" s="21"/>
      <c r="G495" s="21"/>
      <c r="H495" s="21"/>
      <c r="I495" s="35" t="b">
        <v>0</v>
      </c>
      <c r="J495" s="35" t="b">
        <v>0</v>
      </c>
      <c r="K495" s="35" t="b">
        <v>0</v>
      </c>
      <c r="L495" s="82" t="b">
        <v>0</v>
      </c>
      <c r="M495" s="83"/>
      <c r="N495" s="84"/>
      <c r="O495" s="89"/>
      <c r="P495" s="66" t="s">
        <v>112</v>
      </c>
      <c r="Q495" s="22"/>
      <c r="R495" s="22"/>
      <c r="S495" s="22"/>
      <c r="T495" s="74"/>
      <c r="U495" s="6"/>
      <c r="V495" s="74"/>
    </row>
    <row r="496" ht="22.5" customHeight="1">
      <c r="A496" s="6"/>
      <c r="C496" s="6"/>
      <c r="D496" s="22"/>
      <c r="E496" s="20"/>
      <c r="F496" s="21"/>
      <c r="G496" s="21"/>
      <c r="H496" s="21"/>
      <c r="I496" s="35" t="b">
        <v>0</v>
      </c>
      <c r="J496" s="35" t="b">
        <v>0</v>
      </c>
      <c r="K496" s="35" t="b">
        <v>0</v>
      </c>
      <c r="L496" s="82" t="b">
        <v>0</v>
      </c>
      <c r="M496" s="83"/>
      <c r="N496" s="84"/>
      <c r="O496" s="89"/>
      <c r="P496" s="66" t="s">
        <v>112</v>
      </c>
      <c r="Q496" s="22"/>
      <c r="R496" s="22"/>
      <c r="S496" s="22"/>
      <c r="T496" s="74"/>
      <c r="U496" s="6"/>
      <c r="V496" s="74"/>
    </row>
    <row r="497" ht="22.5" customHeight="1">
      <c r="A497" s="6"/>
      <c r="C497" s="6"/>
      <c r="D497" s="22"/>
      <c r="E497" s="20"/>
      <c r="F497" s="21"/>
      <c r="G497" s="21"/>
      <c r="H497" s="21"/>
      <c r="I497" s="35" t="b">
        <v>0</v>
      </c>
      <c r="J497" s="35" t="b">
        <v>0</v>
      </c>
      <c r="K497" s="35" t="b">
        <v>0</v>
      </c>
      <c r="L497" s="82" t="b">
        <v>0</v>
      </c>
      <c r="M497" s="83"/>
      <c r="N497" s="84"/>
      <c r="O497" s="89"/>
      <c r="P497" s="66" t="s">
        <v>112</v>
      </c>
      <c r="Q497" s="22"/>
      <c r="R497" s="22"/>
      <c r="S497" s="22"/>
      <c r="T497" s="74"/>
      <c r="U497" s="6"/>
      <c r="V497" s="74"/>
    </row>
    <row r="498" ht="22.5" customHeight="1">
      <c r="A498" s="6"/>
      <c r="C498" s="6"/>
      <c r="D498" s="22"/>
      <c r="E498" s="20"/>
      <c r="F498" s="21"/>
      <c r="G498" s="21"/>
      <c r="H498" s="21"/>
      <c r="I498" s="35" t="b">
        <v>0</v>
      </c>
      <c r="J498" s="35" t="b">
        <v>0</v>
      </c>
      <c r="K498" s="35" t="b">
        <v>0</v>
      </c>
      <c r="L498" s="82" t="b">
        <v>0</v>
      </c>
      <c r="M498" s="83"/>
      <c r="N498" s="84"/>
      <c r="O498" s="89"/>
      <c r="P498" s="66" t="s">
        <v>112</v>
      </c>
      <c r="Q498" s="22"/>
      <c r="R498" s="22"/>
      <c r="S498" s="22"/>
      <c r="T498" s="74"/>
      <c r="U498" s="6"/>
      <c r="V498" s="74"/>
    </row>
    <row r="499" ht="22.5" customHeight="1">
      <c r="A499" s="6"/>
      <c r="C499" s="6"/>
      <c r="D499" s="22"/>
      <c r="E499" s="20"/>
      <c r="F499" s="21"/>
      <c r="G499" s="21"/>
      <c r="H499" s="21"/>
      <c r="I499" s="35" t="b">
        <v>0</v>
      </c>
      <c r="J499" s="35" t="b">
        <v>0</v>
      </c>
      <c r="K499" s="35" t="b">
        <v>0</v>
      </c>
      <c r="L499" s="82" t="b">
        <v>0</v>
      </c>
      <c r="M499" s="83"/>
      <c r="N499" s="84"/>
      <c r="O499" s="89"/>
      <c r="P499" s="66" t="s">
        <v>112</v>
      </c>
      <c r="Q499" s="22"/>
      <c r="R499" s="22"/>
      <c r="S499" s="22"/>
      <c r="T499" s="74"/>
      <c r="U499" s="6"/>
      <c r="V499" s="74"/>
    </row>
    <row r="500" ht="22.5" customHeight="1">
      <c r="A500" s="6"/>
      <c r="C500" s="6"/>
      <c r="D500" s="22"/>
      <c r="E500" s="20"/>
      <c r="F500" s="21"/>
      <c r="G500" s="21"/>
      <c r="H500" s="21"/>
      <c r="I500" s="35" t="b">
        <v>0</v>
      </c>
      <c r="J500" s="35" t="b">
        <v>0</v>
      </c>
      <c r="K500" s="35" t="b">
        <v>0</v>
      </c>
      <c r="L500" s="82" t="b">
        <v>0</v>
      </c>
      <c r="M500" s="83"/>
      <c r="N500" s="84"/>
      <c r="O500" s="89"/>
      <c r="P500" s="66" t="s">
        <v>112</v>
      </c>
      <c r="Q500" s="22"/>
      <c r="R500" s="22"/>
      <c r="S500" s="22"/>
      <c r="T500" s="74"/>
      <c r="U500" s="6"/>
      <c r="V500" s="74"/>
    </row>
    <row r="501" ht="22.5" customHeight="1">
      <c r="A501" s="6"/>
      <c r="C501" s="6"/>
      <c r="D501" s="22"/>
      <c r="E501" s="20"/>
      <c r="F501" s="21"/>
      <c r="G501" s="21"/>
      <c r="H501" s="21"/>
      <c r="I501" s="35" t="b">
        <v>0</v>
      </c>
      <c r="J501" s="35" t="b">
        <v>0</v>
      </c>
      <c r="K501" s="35" t="b">
        <v>0</v>
      </c>
      <c r="L501" s="82" t="b">
        <v>0</v>
      </c>
      <c r="M501" s="83"/>
      <c r="N501" s="84"/>
      <c r="O501" s="89"/>
      <c r="P501" s="66" t="s">
        <v>112</v>
      </c>
      <c r="Q501" s="22"/>
      <c r="R501" s="22"/>
      <c r="S501" s="22"/>
      <c r="T501" s="74"/>
      <c r="U501" s="6"/>
      <c r="V501" s="74"/>
    </row>
    <row r="502" ht="22.5" customHeight="1">
      <c r="A502" s="6"/>
      <c r="C502" s="6"/>
      <c r="D502" s="22"/>
      <c r="E502" s="20"/>
      <c r="F502" s="21"/>
      <c r="G502" s="21"/>
      <c r="H502" s="21"/>
      <c r="I502" s="35" t="b">
        <v>0</v>
      </c>
      <c r="J502" s="35" t="b">
        <v>0</v>
      </c>
      <c r="K502" s="35" t="b">
        <v>0</v>
      </c>
      <c r="L502" s="82" t="b">
        <v>0</v>
      </c>
      <c r="M502" s="83"/>
      <c r="N502" s="84"/>
      <c r="O502" s="89"/>
      <c r="P502" s="66" t="s">
        <v>112</v>
      </c>
      <c r="Q502" s="22"/>
      <c r="R502" s="22"/>
      <c r="S502" s="22"/>
      <c r="T502" s="74"/>
      <c r="U502" s="6"/>
      <c r="V502" s="74"/>
    </row>
    <row r="503" ht="22.5" customHeight="1">
      <c r="A503" s="6"/>
      <c r="C503" s="6"/>
      <c r="D503" s="22"/>
      <c r="E503" s="20"/>
      <c r="F503" s="21"/>
      <c r="G503" s="21"/>
      <c r="H503" s="21"/>
      <c r="I503" s="35" t="b">
        <v>0</v>
      </c>
      <c r="J503" s="35" t="b">
        <v>0</v>
      </c>
      <c r="K503" s="35" t="b">
        <v>0</v>
      </c>
      <c r="L503" s="82" t="b">
        <v>0</v>
      </c>
      <c r="M503" s="83"/>
      <c r="N503" s="84"/>
      <c r="O503" s="89"/>
      <c r="P503" s="66" t="s">
        <v>112</v>
      </c>
      <c r="Q503" s="22"/>
      <c r="R503" s="22"/>
      <c r="S503" s="22"/>
      <c r="T503" s="74"/>
      <c r="U503" s="6"/>
      <c r="V503" s="74"/>
    </row>
    <row r="504" ht="22.5" customHeight="1">
      <c r="A504" s="6"/>
      <c r="C504" s="6"/>
      <c r="D504" s="22"/>
      <c r="E504" s="20"/>
      <c r="F504" s="21"/>
      <c r="G504" s="21"/>
      <c r="H504" s="21"/>
      <c r="I504" s="35" t="b">
        <v>0</v>
      </c>
      <c r="J504" s="35" t="b">
        <v>0</v>
      </c>
      <c r="K504" s="35" t="b">
        <v>0</v>
      </c>
      <c r="L504" s="82" t="b">
        <v>0</v>
      </c>
      <c r="M504" s="83"/>
      <c r="N504" s="84"/>
      <c r="O504" s="89"/>
      <c r="P504" s="66" t="s">
        <v>112</v>
      </c>
      <c r="Q504" s="22"/>
      <c r="R504" s="22"/>
      <c r="S504" s="22"/>
      <c r="T504" s="74"/>
      <c r="U504" s="6"/>
      <c r="V504" s="74"/>
    </row>
    <row r="505" ht="22.5" customHeight="1">
      <c r="A505" s="6"/>
      <c r="C505" s="6"/>
      <c r="D505" s="22"/>
      <c r="E505" s="20"/>
      <c r="F505" s="21"/>
      <c r="G505" s="21"/>
      <c r="H505" s="21"/>
      <c r="I505" s="35" t="b">
        <v>0</v>
      </c>
      <c r="J505" s="35" t="b">
        <v>0</v>
      </c>
      <c r="K505" s="35" t="b">
        <v>0</v>
      </c>
      <c r="L505" s="82" t="b">
        <v>0</v>
      </c>
      <c r="M505" s="83"/>
      <c r="N505" s="84"/>
      <c r="O505" s="89"/>
      <c r="P505" s="66" t="s">
        <v>112</v>
      </c>
      <c r="Q505" s="22"/>
      <c r="R505" s="22"/>
      <c r="S505" s="22"/>
      <c r="T505" s="74"/>
      <c r="U505" s="6"/>
      <c r="V505" s="74"/>
    </row>
    <row r="506" ht="22.5" customHeight="1">
      <c r="A506" s="6"/>
      <c r="C506" s="6"/>
      <c r="D506" s="22"/>
      <c r="E506" s="20"/>
      <c r="F506" s="21"/>
      <c r="G506" s="21"/>
      <c r="H506" s="21"/>
      <c r="I506" s="35" t="b">
        <v>0</v>
      </c>
      <c r="J506" s="35" t="b">
        <v>0</v>
      </c>
      <c r="K506" s="35" t="b">
        <v>0</v>
      </c>
      <c r="L506" s="82" t="b">
        <v>0</v>
      </c>
      <c r="M506" s="83"/>
      <c r="N506" s="84"/>
      <c r="O506" s="89"/>
      <c r="P506" s="66" t="s">
        <v>112</v>
      </c>
      <c r="Q506" s="22"/>
      <c r="R506" s="22"/>
      <c r="S506" s="22"/>
      <c r="T506" s="74"/>
      <c r="U506" s="6"/>
      <c r="V506" s="74"/>
    </row>
    <row r="507" ht="22.5" customHeight="1">
      <c r="A507" s="6"/>
      <c r="C507" s="6"/>
      <c r="D507" s="22"/>
      <c r="E507" s="20"/>
      <c r="F507" s="21"/>
      <c r="G507" s="21"/>
      <c r="H507" s="21"/>
      <c r="I507" s="35" t="b">
        <v>0</v>
      </c>
      <c r="J507" s="35" t="b">
        <v>0</v>
      </c>
      <c r="K507" s="35" t="b">
        <v>0</v>
      </c>
      <c r="L507" s="82" t="b">
        <v>0</v>
      </c>
      <c r="M507" s="83"/>
      <c r="N507" s="84"/>
      <c r="O507" s="89"/>
      <c r="P507" s="66" t="s">
        <v>112</v>
      </c>
      <c r="Q507" s="22"/>
      <c r="R507" s="22"/>
      <c r="S507" s="22"/>
      <c r="T507" s="74"/>
      <c r="U507" s="6"/>
      <c r="V507" s="74"/>
    </row>
    <row r="508" ht="22.5" customHeight="1">
      <c r="A508" s="6"/>
      <c r="C508" s="6"/>
      <c r="D508" s="22"/>
      <c r="E508" s="20"/>
      <c r="F508" s="21"/>
      <c r="G508" s="21"/>
      <c r="H508" s="21"/>
      <c r="I508" s="35" t="b">
        <v>0</v>
      </c>
      <c r="J508" s="35" t="b">
        <v>0</v>
      </c>
      <c r="K508" s="35" t="b">
        <v>0</v>
      </c>
      <c r="L508" s="82" t="b">
        <v>0</v>
      </c>
      <c r="M508" s="83"/>
      <c r="N508" s="84"/>
      <c r="O508" s="89"/>
      <c r="P508" s="66" t="s">
        <v>112</v>
      </c>
      <c r="Q508" s="22"/>
      <c r="R508" s="22"/>
      <c r="S508" s="22"/>
      <c r="T508" s="74"/>
      <c r="U508" s="6"/>
      <c r="V508" s="74"/>
    </row>
    <row r="509" ht="22.5" customHeight="1">
      <c r="A509" s="6"/>
      <c r="C509" s="6"/>
      <c r="D509" s="22"/>
      <c r="E509" s="20"/>
      <c r="F509" s="21"/>
      <c r="G509" s="21"/>
      <c r="H509" s="21"/>
      <c r="I509" s="35" t="b">
        <v>0</v>
      </c>
      <c r="J509" s="35" t="b">
        <v>0</v>
      </c>
      <c r="K509" s="35" t="b">
        <v>0</v>
      </c>
      <c r="L509" s="82" t="b">
        <v>0</v>
      </c>
      <c r="M509" s="83"/>
      <c r="N509" s="84"/>
      <c r="O509" s="89"/>
      <c r="P509" s="66" t="s">
        <v>112</v>
      </c>
      <c r="Q509" s="22"/>
      <c r="R509" s="22"/>
      <c r="S509" s="22"/>
      <c r="T509" s="74"/>
      <c r="U509" s="6"/>
      <c r="V509" s="74"/>
    </row>
    <row r="510" ht="22.5" customHeight="1">
      <c r="A510" s="6"/>
      <c r="C510" s="6"/>
      <c r="D510" s="22"/>
      <c r="E510" s="20"/>
      <c r="F510" s="21"/>
      <c r="G510" s="21"/>
      <c r="H510" s="21"/>
      <c r="I510" s="35" t="b">
        <v>0</v>
      </c>
      <c r="J510" s="35" t="b">
        <v>0</v>
      </c>
      <c r="K510" s="35" t="b">
        <v>0</v>
      </c>
      <c r="L510" s="82" t="b">
        <v>0</v>
      </c>
      <c r="M510" s="83"/>
      <c r="N510" s="84"/>
      <c r="O510" s="89"/>
      <c r="P510" s="66" t="s">
        <v>112</v>
      </c>
      <c r="Q510" s="22"/>
      <c r="R510" s="22"/>
      <c r="S510" s="22"/>
      <c r="T510" s="74"/>
      <c r="U510" s="6"/>
      <c r="V510" s="74"/>
    </row>
    <row r="511" ht="22.5" customHeight="1">
      <c r="A511" s="6"/>
      <c r="C511" s="6"/>
      <c r="D511" s="22"/>
      <c r="E511" s="20"/>
      <c r="F511" s="21"/>
      <c r="G511" s="21"/>
      <c r="H511" s="21"/>
      <c r="I511" s="35" t="b">
        <v>0</v>
      </c>
      <c r="J511" s="35" t="b">
        <v>0</v>
      </c>
      <c r="K511" s="35" t="b">
        <v>0</v>
      </c>
      <c r="L511" s="82" t="b">
        <v>0</v>
      </c>
      <c r="M511" s="83"/>
      <c r="N511" s="84"/>
      <c r="O511" s="89"/>
      <c r="P511" s="66" t="s">
        <v>112</v>
      </c>
      <c r="Q511" s="22"/>
      <c r="R511" s="22"/>
      <c r="S511" s="22"/>
      <c r="T511" s="74"/>
      <c r="U511" s="6"/>
      <c r="V511" s="74"/>
    </row>
    <row r="512" ht="22.5" customHeight="1">
      <c r="A512" s="6"/>
      <c r="C512" s="6"/>
      <c r="D512" s="22"/>
      <c r="E512" s="20"/>
      <c r="F512" s="21"/>
      <c r="G512" s="21"/>
      <c r="H512" s="21"/>
      <c r="I512" s="35" t="b">
        <v>0</v>
      </c>
      <c r="J512" s="35" t="b">
        <v>0</v>
      </c>
      <c r="K512" s="35" t="b">
        <v>0</v>
      </c>
      <c r="L512" s="82" t="b">
        <v>0</v>
      </c>
      <c r="M512" s="83"/>
      <c r="N512" s="84"/>
      <c r="O512" s="89"/>
      <c r="P512" s="66" t="s">
        <v>112</v>
      </c>
      <c r="Q512" s="22"/>
      <c r="R512" s="22"/>
      <c r="S512" s="22"/>
      <c r="T512" s="74"/>
      <c r="U512" s="6"/>
      <c r="V512" s="74"/>
    </row>
    <row r="513" ht="22.5" customHeight="1">
      <c r="A513" s="6"/>
      <c r="C513" s="6"/>
      <c r="D513" s="22"/>
      <c r="E513" s="20"/>
      <c r="F513" s="21"/>
      <c r="G513" s="21"/>
      <c r="H513" s="21"/>
      <c r="I513" s="35" t="b">
        <v>0</v>
      </c>
      <c r="J513" s="35" t="b">
        <v>0</v>
      </c>
      <c r="K513" s="35" t="b">
        <v>0</v>
      </c>
      <c r="L513" s="82" t="b">
        <v>0</v>
      </c>
      <c r="M513" s="83"/>
      <c r="N513" s="84"/>
      <c r="O513" s="89"/>
      <c r="P513" s="66" t="s">
        <v>112</v>
      </c>
      <c r="Q513" s="22"/>
      <c r="R513" s="22"/>
      <c r="S513" s="22"/>
      <c r="T513" s="74"/>
      <c r="U513" s="6"/>
      <c r="V513" s="74"/>
    </row>
    <row r="514" ht="22.5" customHeight="1">
      <c r="A514" s="6"/>
      <c r="C514" s="6"/>
      <c r="D514" s="22"/>
      <c r="E514" s="20"/>
      <c r="F514" s="21"/>
      <c r="G514" s="21"/>
      <c r="H514" s="21"/>
      <c r="I514" s="35" t="b">
        <v>0</v>
      </c>
      <c r="J514" s="35" t="b">
        <v>0</v>
      </c>
      <c r="K514" s="35" t="b">
        <v>0</v>
      </c>
      <c r="L514" s="82" t="b">
        <v>0</v>
      </c>
      <c r="M514" s="83"/>
      <c r="N514" s="84"/>
      <c r="O514" s="89"/>
      <c r="P514" s="66" t="s">
        <v>112</v>
      </c>
      <c r="Q514" s="22"/>
      <c r="R514" s="22"/>
      <c r="S514" s="22"/>
      <c r="T514" s="74"/>
      <c r="U514" s="6"/>
      <c r="V514" s="74"/>
    </row>
    <row r="515" ht="22.5" customHeight="1">
      <c r="A515" s="6"/>
      <c r="C515" s="6"/>
      <c r="D515" s="22"/>
      <c r="E515" s="20"/>
      <c r="F515" s="21"/>
      <c r="G515" s="21"/>
      <c r="H515" s="21"/>
      <c r="I515" s="35" t="b">
        <v>0</v>
      </c>
      <c r="J515" s="35" t="b">
        <v>0</v>
      </c>
      <c r="K515" s="35" t="b">
        <v>0</v>
      </c>
      <c r="L515" s="82" t="b">
        <v>0</v>
      </c>
      <c r="M515" s="83"/>
      <c r="N515" s="84"/>
      <c r="O515" s="89"/>
      <c r="P515" s="66" t="s">
        <v>112</v>
      </c>
      <c r="Q515" s="22"/>
      <c r="R515" s="22"/>
      <c r="S515" s="22"/>
      <c r="T515" s="74"/>
      <c r="U515" s="6"/>
      <c r="V515" s="74"/>
    </row>
    <row r="516" ht="22.5" customHeight="1">
      <c r="A516" s="6"/>
      <c r="C516" s="6"/>
      <c r="D516" s="22"/>
      <c r="E516" s="20"/>
      <c r="F516" s="21"/>
      <c r="G516" s="21"/>
      <c r="H516" s="21"/>
      <c r="I516" s="35" t="b">
        <v>0</v>
      </c>
      <c r="J516" s="35" t="b">
        <v>0</v>
      </c>
      <c r="K516" s="35" t="b">
        <v>0</v>
      </c>
      <c r="L516" s="82" t="b">
        <v>0</v>
      </c>
      <c r="M516" s="83"/>
      <c r="N516" s="84"/>
      <c r="O516" s="89"/>
      <c r="P516" s="66" t="s">
        <v>112</v>
      </c>
      <c r="Q516" s="22"/>
      <c r="R516" s="22"/>
      <c r="S516" s="22"/>
      <c r="T516" s="74"/>
      <c r="U516" s="6"/>
      <c r="V516" s="74"/>
    </row>
    <row r="517" ht="22.5" customHeight="1">
      <c r="A517" s="6"/>
      <c r="C517" s="6"/>
      <c r="D517" s="22"/>
      <c r="E517" s="20"/>
      <c r="F517" s="21"/>
      <c r="G517" s="21"/>
      <c r="H517" s="21"/>
      <c r="I517" s="35" t="b">
        <v>0</v>
      </c>
      <c r="J517" s="35" t="b">
        <v>0</v>
      </c>
      <c r="K517" s="35" t="b">
        <v>0</v>
      </c>
      <c r="L517" s="82" t="b">
        <v>0</v>
      </c>
      <c r="M517" s="83"/>
      <c r="N517" s="84"/>
      <c r="O517" s="89"/>
      <c r="P517" s="66" t="s">
        <v>112</v>
      </c>
      <c r="Q517" s="22"/>
      <c r="R517" s="22"/>
      <c r="S517" s="22"/>
      <c r="T517" s="74"/>
      <c r="U517" s="6"/>
      <c r="V517" s="74"/>
    </row>
    <row r="518" ht="22.5" customHeight="1">
      <c r="A518" s="6"/>
      <c r="C518" s="6"/>
      <c r="D518" s="22"/>
      <c r="E518" s="20"/>
      <c r="F518" s="21"/>
      <c r="G518" s="21"/>
      <c r="H518" s="21"/>
      <c r="I518" s="35" t="b">
        <v>0</v>
      </c>
      <c r="J518" s="35" t="b">
        <v>0</v>
      </c>
      <c r="K518" s="35" t="b">
        <v>0</v>
      </c>
      <c r="L518" s="82" t="b">
        <v>0</v>
      </c>
      <c r="M518" s="83"/>
      <c r="N518" s="84"/>
      <c r="O518" s="89"/>
      <c r="P518" s="66" t="s">
        <v>112</v>
      </c>
      <c r="Q518" s="22"/>
      <c r="R518" s="22"/>
      <c r="S518" s="22"/>
      <c r="T518" s="74"/>
      <c r="U518" s="6"/>
      <c r="V518" s="74"/>
    </row>
    <row r="519" ht="22.5" customHeight="1">
      <c r="A519" s="6"/>
      <c r="C519" s="6"/>
      <c r="D519" s="22"/>
      <c r="E519" s="20"/>
      <c r="F519" s="21"/>
      <c r="G519" s="21"/>
      <c r="H519" s="21"/>
      <c r="I519" s="35" t="b">
        <v>0</v>
      </c>
      <c r="J519" s="35" t="b">
        <v>0</v>
      </c>
      <c r="K519" s="35" t="b">
        <v>0</v>
      </c>
      <c r="L519" s="82" t="b">
        <v>0</v>
      </c>
      <c r="M519" s="83"/>
      <c r="N519" s="84"/>
      <c r="O519" s="89"/>
      <c r="P519" s="66" t="s">
        <v>112</v>
      </c>
      <c r="Q519" s="22"/>
      <c r="R519" s="22"/>
      <c r="S519" s="22"/>
      <c r="T519" s="74"/>
      <c r="U519" s="6"/>
      <c r="V519" s="74"/>
    </row>
    <row r="520" ht="22.5" customHeight="1">
      <c r="A520" s="6"/>
      <c r="C520" s="6"/>
      <c r="D520" s="22"/>
      <c r="E520" s="20"/>
      <c r="F520" s="21"/>
      <c r="G520" s="21"/>
      <c r="H520" s="21"/>
      <c r="I520" s="35" t="b">
        <v>0</v>
      </c>
      <c r="J520" s="35" t="b">
        <v>0</v>
      </c>
      <c r="K520" s="35" t="b">
        <v>0</v>
      </c>
      <c r="L520" s="82" t="b">
        <v>0</v>
      </c>
      <c r="M520" s="83"/>
      <c r="N520" s="84"/>
      <c r="O520" s="89"/>
      <c r="P520" s="66" t="s">
        <v>112</v>
      </c>
      <c r="Q520" s="22"/>
      <c r="R520" s="22"/>
      <c r="S520" s="22"/>
      <c r="T520" s="74"/>
      <c r="U520" s="6"/>
      <c r="V520" s="74"/>
    </row>
    <row r="521" ht="22.5" customHeight="1">
      <c r="A521" s="6"/>
      <c r="C521" s="6"/>
      <c r="D521" s="22"/>
      <c r="E521" s="20"/>
      <c r="F521" s="21"/>
      <c r="G521" s="21"/>
      <c r="H521" s="21"/>
      <c r="I521" s="35" t="b">
        <v>0</v>
      </c>
      <c r="J521" s="35" t="b">
        <v>0</v>
      </c>
      <c r="K521" s="35" t="b">
        <v>0</v>
      </c>
      <c r="L521" s="82" t="b">
        <v>0</v>
      </c>
      <c r="M521" s="83"/>
      <c r="N521" s="84"/>
      <c r="O521" s="89"/>
      <c r="P521" s="66" t="s">
        <v>112</v>
      </c>
      <c r="Q521" s="22"/>
      <c r="R521" s="22"/>
      <c r="S521" s="22"/>
      <c r="T521" s="74"/>
      <c r="U521" s="6"/>
      <c r="V521" s="74"/>
    </row>
    <row r="522" ht="22.5" customHeight="1">
      <c r="A522" s="6"/>
      <c r="C522" s="6"/>
      <c r="D522" s="22"/>
      <c r="E522" s="20"/>
      <c r="F522" s="21"/>
      <c r="G522" s="21"/>
      <c r="H522" s="21"/>
      <c r="I522" s="35" t="b">
        <v>0</v>
      </c>
      <c r="J522" s="35" t="b">
        <v>0</v>
      </c>
      <c r="K522" s="35" t="b">
        <v>0</v>
      </c>
      <c r="L522" s="82" t="b">
        <v>0</v>
      </c>
      <c r="M522" s="83"/>
      <c r="N522" s="84"/>
      <c r="O522" s="89"/>
      <c r="P522" s="66" t="s">
        <v>112</v>
      </c>
      <c r="Q522" s="22"/>
      <c r="R522" s="22"/>
      <c r="S522" s="22"/>
      <c r="T522" s="74"/>
      <c r="U522" s="6"/>
      <c r="V522" s="74"/>
    </row>
    <row r="523" ht="22.5" customHeight="1">
      <c r="A523" s="6"/>
      <c r="C523" s="6"/>
      <c r="D523" s="22"/>
      <c r="E523" s="20"/>
      <c r="F523" s="21"/>
      <c r="G523" s="21"/>
      <c r="H523" s="21"/>
      <c r="I523" s="35" t="b">
        <v>0</v>
      </c>
      <c r="J523" s="35" t="b">
        <v>0</v>
      </c>
      <c r="K523" s="35" t="b">
        <v>0</v>
      </c>
      <c r="L523" s="82" t="b">
        <v>0</v>
      </c>
      <c r="M523" s="83"/>
      <c r="N523" s="84"/>
      <c r="O523" s="89"/>
      <c r="P523" s="66" t="s">
        <v>112</v>
      </c>
      <c r="Q523" s="22"/>
      <c r="R523" s="22"/>
      <c r="S523" s="22"/>
      <c r="T523" s="74"/>
      <c r="U523" s="6"/>
      <c r="V523" s="74"/>
    </row>
    <row r="524" ht="22.5" customHeight="1">
      <c r="A524" s="6"/>
      <c r="C524" s="6"/>
      <c r="D524" s="22"/>
      <c r="E524" s="20"/>
      <c r="F524" s="21"/>
      <c r="G524" s="21"/>
      <c r="H524" s="21"/>
      <c r="I524" s="35" t="b">
        <v>0</v>
      </c>
      <c r="J524" s="35" t="b">
        <v>0</v>
      </c>
      <c r="K524" s="35" t="b">
        <v>0</v>
      </c>
      <c r="L524" s="82" t="b">
        <v>0</v>
      </c>
      <c r="M524" s="83"/>
      <c r="N524" s="84"/>
      <c r="O524" s="89"/>
      <c r="P524" s="66" t="s">
        <v>112</v>
      </c>
      <c r="Q524" s="22"/>
      <c r="R524" s="22"/>
      <c r="S524" s="22"/>
      <c r="T524" s="74"/>
      <c r="U524" s="6"/>
      <c r="V524" s="74"/>
    </row>
    <row r="525" ht="22.5" customHeight="1">
      <c r="A525" s="6"/>
      <c r="C525" s="6"/>
      <c r="D525" s="22"/>
      <c r="E525" s="20"/>
      <c r="F525" s="21"/>
      <c r="G525" s="21"/>
      <c r="H525" s="21"/>
      <c r="I525" s="35" t="b">
        <v>0</v>
      </c>
      <c r="J525" s="35" t="b">
        <v>0</v>
      </c>
      <c r="K525" s="35" t="b">
        <v>0</v>
      </c>
      <c r="L525" s="82" t="b">
        <v>0</v>
      </c>
      <c r="M525" s="83"/>
      <c r="N525" s="84"/>
      <c r="O525" s="89"/>
      <c r="P525" s="66" t="s">
        <v>112</v>
      </c>
      <c r="Q525" s="22"/>
      <c r="R525" s="22"/>
      <c r="S525" s="22"/>
      <c r="T525" s="74"/>
      <c r="U525" s="6"/>
      <c r="V525" s="74"/>
    </row>
    <row r="526" ht="22.5" customHeight="1">
      <c r="A526" s="6"/>
      <c r="C526" s="6"/>
      <c r="D526" s="22"/>
      <c r="E526" s="20"/>
      <c r="F526" s="21"/>
      <c r="G526" s="21"/>
      <c r="H526" s="21"/>
      <c r="I526" s="35" t="b">
        <v>0</v>
      </c>
      <c r="J526" s="35" t="b">
        <v>0</v>
      </c>
      <c r="K526" s="35" t="b">
        <v>0</v>
      </c>
      <c r="L526" s="82" t="b">
        <v>0</v>
      </c>
      <c r="M526" s="83"/>
      <c r="N526" s="84"/>
      <c r="O526" s="89"/>
      <c r="P526" s="66" t="s">
        <v>112</v>
      </c>
      <c r="Q526" s="22"/>
      <c r="R526" s="22"/>
      <c r="S526" s="22"/>
      <c r="T526" s="74"/>
      <c r="U526" s="6"/>
      <c r="V526" s="74"/>
    </row>
    <row r="527" ht="22.5" customHeight="1">
      <c r="A527" s="6"/>
      <c r="C527" s="6"/>
      <c r="D527" s="22"/>
      <c r="E527" s="20"/>
      <c r="F527" s="21"/>
      <c r="G527" s="21"/>
      <c r="H527" s="21"/>
      <c r="I527" s="35" t="b">
        <v>0</v>
      </c>
      <c r="J527" s="35" t="b">
        <v>0</v>
      </c>
      <c r="K527" s="35" t="b">
        <v>0</v>
      </c>
      <c r="L527" s="82" t="b">
        <v>0</v>
      </c>
      <c r="M527" s="83"/>
      <c r="N527" s="84"/>
      <c r="O527" s="89"/>
      <c r="P527" s="66" t="s">
        <v>112</v>
      </c>
      <c r="Q527" s="22"/>
      <c r="R527" s="22"/>
      <c r="S527" s="22"/>
      <c r="T527" s="74"/>
      <c r="U527" s="6"/>
      <c r="V527" s="74"/>
    </row>
    <row r="528" ht="22.5" customHeight="1">
      <c r="A528" s="6"/>
      <c r="C528" s="6"/>
      <c r="D528" s="22"/>
      <c r="E528" s="20"/>
      <c r="F528" s="21"/>
      <c r="G528" s="21"/>
      <c r="H528" s="21"/>
      <c r="I528" s="35" t="b">
        <v>0</v>
      </c>
      <c r="J528" s="35" t="b">
        <v>0</v>
      </c>
      <c r="K528" s="35" t="b">
        <v>0</v>
      </c>
      <c r="L528" s="82" t="b">
        <v>0</v>
      </c>
      <c r="M528" s="83"/>
      <c r="N528" s="84"/>
      <c r="O528" s="89"/>
      <c r="P528" s="66" t="s">
        <v>112</v>
      </c>
      <c r="Q528" s="22"/>
      <c r="R528" s="22"/>
      <c r="S528" s="22"/>
      <c r="T528" s="74"/>
      <c r="U528" s="6"/>
      <c r="V528" s="74"/>
    </row>
    <row r="529" ht="22.5" customHeight="1">
      <c r="A529" s="6"/>
      <c r="C529" s="6"/>
      <c r="D529" s="22"/>
      <c r="E529" s="20"/>
      <c r="F529" s="21"/>
      <c r="G529" s="21"/>
      <c r="H529" s="21"/>
      <c r="I529" s="35" t="b">
        <v>0</v>
      </c>
      <c r="J529" s="35" t="b">
        <v>0</v>
      </c>
      <c r="K529" s="35" t="b">
        <v>0</v>
      </c>
      <c r="L529" s="82" t="b">
        <v>0</v>
      </c>
      <c r="M529" s="83"/>
      <c r="N529" s="84"/>
      <c r="O529" s="89"/>
      <c r="P529" s="66" t="s">
        <v>112</v>
      </c>
      <c r="Q529" s="22"/>
      <c r="R529" s="22"/>
      <c r="S529" s="22"/>
      <c r="T529" s="74"/>
      <c r="U529" s="6"/>
      <c r="V529" s="74"/>
    </row>
    <row r="530" ht="22.5" customHeight="1">
      <c r="A530" s="6"/>
      <c r="C530" s="6"/>
      <c r="D530" s="22"/>
      <c r="E530" s="20"/>
      <c r="F530" s="21"/>
      <c r="G530" s="21"/>
      <c r="H530" s="21"/>
      <c r="I530" s="35" t="b">
        <v>0</v>
      </c>
      <c r="J530" s="35" t="b">
        <v>0</v>
      </c>
      <c r="K530" s="35" t="b">
        <v>0</v>
      </c>
      <c r="L530" s="82" t="b">
        <v>0</v>
      </c>
      <c r="M530" s="83"/>
      <c r="N530" s="84"/>
      <c r="O530" s="89"/>
      <c r="P530" s="66" t="s">
        <v>112</v>
      </c>
      <c r="Q530" s="22"/>
      <c r="R530" s="22"/>
      <c r="S530" s="22"/>
      <c r="T530" s="74"/>
      <c r="U530" s="6"/>
      <c r="V530" s="74"/>
    </row>
    <row r="531" ht="22.5" customHeight="1">
      <c r="A531" s="6"/>
      <c r="C531" s="6"/>
      <c r="D531" s="22"/>
      <c r="E531" s="20"/>
      <c r="F531" s="21"/>
      <c r="G531" s="21"/>
      <c r="H531" s="21"/>
      <c r="I531" s="35" t="b">
        <v>0</v>
      </c>
      <c r="J531" s="35" t="b">
        <v>0</v>
      </c>
      <c r="K531" s="35" t="b">
        <v>0</v>
      </c>
      <c r="L531" s="82" t="b">
        <v>0</v>
      </c>
      <c r="M531" s="83"/>
      <c r="N531" s="84"/>
      <c r="O531" s="89"/>
      <c r="P531" s="66" t="s">
        <v>112</v>
      </c>
      <c r="Q531" s="22"/>
      <c r="R531" s="22"/>
      <c r="S531" s="22"/>
      <c r="T531" s="74"/>
      <c r="U531" s="6"/>
      <c r="V531" s="74"/>
    </row>
    <row r="532" ht="22.5" customHeight="1">
      <c r="A532" s="6"/>
      <c r="C532" s="6"/>
      <c r="D532" s="22"/>
      <c r="E532" s="20"/>
      <c r="F532" s="21"/>
      <c r="G532" s="21"/>
      <c r="H532" s="21"/>
      <c r="I532" s="35" t="b">
        <v>0</v>
      </c>
      <c r="J532" s="35" t="b">
        <v>0</v>
      </c>
      <c r="K532" s="35" t="b">
        <v>0</v>
      </c>
      <c r="L532" s="82" t="b">
        <v>0</v>
      </c>
      <c r="M532" s="83"/>
      <c r="N532" s="84"/>
      <c r="O532" s="89"/>
      <c r="P532" s="66" t="s">
        <v>112</v>
      </c>
      <c r="Q532" s="22"/>
      <c r="R532" s="22"/>
      <c r="S532" s="22"/>
      <c r="T532" s="74"/>
      <c r="U532" s="6"/>
      <c r="V532" s="74"/>
    </row>
    <row r="533" ht="22.5" customHeight="1">
      <c r="A533" s="6"/>
      <c r="C533" s="6"/>
      <c r="D533" s="22"/>
      <c r="E533" s="20"/>
      <c r="F533" s="21"/>
      <c r="G533" s="21"/>
      <c r="H533" s="21"/>
      <c r="I533" s="35" t="b">
        <v>0</v>
      </c>
      <c r="J533" s="35" t="b">
        <v>0</v>
      </c>
      <c r="K533" s="35" t="b">
        <v>0</v>
      </c>
      <c r="L533" s="82" t="b">
        <v>0</v>
      </c>
      <c r="M533" s="83"/>
      <c r="N533" s="84"/>
      <c r="O533" s="89"/>
      <c r="P533" s="66" t="s">
        <v>112</v>
      </c>
      <c r="Q533" s="22"/>
      <c r="R533" s="22"/>
      <c r="S533" s="22"/>
      <c r="T533" s="74"/>
      <c r="U533" s="6"/>
      <c r="V533" s="74"/>
    </row>
    <row r="534" ht="22.5" customHeight="1">
      <c r="A534" s="6"/>
      <c r="C534" s="6"/>
      <c r="D534" s="22"/>
      <c r="E534" s="20"/>
      <c r="F534" s="21"/>
      <c r="G534" s="21"/>
      <c r="H534" s="21"/>
      <c r="I534" s="35" t="b">
        <v>0</v>
      </c>
      <c r="J534" s="35" t="b">
        <v>0</v>
      </c>
      <c r="K534" s="35" t="b">
        <v>0</v>
      </c>
      <c r="L534" s="82" t="b">
        <v>0</v>
      </c>
      <c r="M534" s="83"/>
      <c r="N534" s="84"/>
      <c r="O534" s="89"/>
      <c r="P534" s="66" t="s">
        <v>112</v>
      </c>
      <c r="Q534" s="22"/>
      <c r="R534" s="22"/>
      <c r="S534" s="22"/>
      <c r="T534" s="74"/>
      <c r="U534" s="6"/>
      <c r="V534" s="74"/>
    </row>
    <row r="535" ht="22.5" customHeight="1">
      <c r="A535" s="6"/>
      <c r="C535" s="6"/>
      <c r="D535" s="22"/>
      <c r="E535" s="20"/>
      <c r="F535" s="21"/>
      <c r="G535" s="21"/>
      <c r="H535" s="21"/>
      <c r="I535" s="35" t="b">
        <v>0</v>
      </c>
      <c r="J535" s="35" t="b">
        <v>0</v>
      </c>
      <c r="K535" s="35" t="b">
        <v>0</v>
      </c>
      <c r="L535" s="82" t="b">
        <v>0</v>
      </c>
      <c r="M535" s="83"/>
      <c r="N535" s="84"/>
      <c r="O535" s="89"/>
      <c r="P535" s="66" t="s">
        <v>112</v>
      </c>
      <c r="Q535" s="22"/>
      <c r="R535" s="22"/>
      <c r="S535" s="22"/>
      <c r="T535" s="74"/>
      <c r="U535" s="6"/>
      <c r="V535" s="74"/>
    </row>
    <row r="536" ht="22.5" customHeight="1">
      <c r="A536" s="6"/>
      <c r="C536" s="6"/>
      <c r="D536" s="22"/>
      <c r="E536" s="20"/>
      <c r="F536" s="21"/>
      <c r="G536" s="21"/>
      <c r="H536" s="21"/>
      <c r="I536" s="35" t="b">
        <v>0</v>
      </c>
      <c r="J536" s="35" t="b">
        <v>0</v>
      </c>
      <c r="K536" s="35" t="b">
        <v>0</v>
      </c>
      <c r="L536" s="82" t="b">
        <v>0</v>
      </c>
      <c r="M536" s="83"/>
      <c r="N536" s="84"/>
      <c r="O536" s="89"/>
      <c r="P536" s="66" t="s">
        <v>112</v>
      </c>
      <c r="Q536" s="22"/>
      <c r="R536" s="22"/>
      <c r="S536" s="22"/>
      <c r="T536" s="74"/>
      <c r="U536" s="6"/>
      <c r="V536" s="74"/>
    </row>
    <row r="537" ht="22.5" customHeight="1">
      <c r="A537" s="6"/>
      <c r="C537" s="6"/>
      <c r="D537" s="22"/>
      <c r="E537" s="20"/>
      <c r="F537" s="21"/>
      <c r="G537" s="21"/>
      <c r="H537" s="21"/>
      <c r="I537" s="35" t="b">
        <v>0</v>
      </c>
      <c r="J537" s="35" t="b">
        <v>0</v>
      </c>
      <c r="K537" s="35" t="b">
        <v>0</v>
      </c>
      <c r="L537" s="82" t="b">
        <v>0</v>
      </c>
      <c r="M537" s="83"/>
      <c r="N537" s="84"/>
      <c r="O537" s="89"/>
      <c r="P537" s="66" t="s">
        <v>112</v>
      </c>
      <c r="Q537" s="22"/>
      <c r="R537" s="22"/>
      <c r="S537" s="22"/>
      <c r="T537" s="74"/>
      <c r="U537" s="6"/>
      <c r="V537" s="74"/>
    </row>
    <row r="538" ht="22.5" customHeight="1">
      <c r="A538" s="6"/>
      <c r="C538" s="6"/>
      <c r="D538" s="22"/>
      <c r="E538" s="20"/>
      <c r="F538" s="21"/>
      <c r="G538" s="21"/>
      <c r="H538" s="21"/>
      <c r="I538" s="35" t="b">
        <v>0</v>
      </c>
      <c r="J538" s="35" t="b">
        <v>0</v>
      </c>
      <c r="K538" s="35" t="b">
        <v>0</v>
      </c>
      <c r="L538" s="82" t="b">
        <v>0</v>
      </c>
      <c r="M538" s="83"/>
      <c r="N538" s="84"/>
      <c r="O538" s="89"/>
      <c r="P538" s="66" t="s">
        <v>112</v>
      </c>
      <c r="Q538" s="22"/>
      <c r="R538" s="22"/>
      <c r="S538" s="22"/>
      <c r="T538" s="74"/>
      <c r="U538" s="6"/>
      <c r="V538" s="74"/>
    </row>
    <row r="539" ht="22.5" customHeight="1">
      <c r="A539" s="6"/>
      <c r="C539" s="6"/>
      <c r="D539" s="22"/>
      <c r="E539" s="20"/>
      <c r="F539" s="21"/>
      <c r="G539" s="21"/>
      <c r="H539" s="21"/>
      <c r="I539" s="35" t="b">
        <v>0</v>
      </c>
      <c r="J539" s="35" t="b">
        <v>0</v>
      </c>
      <c r="K539" s="35" t="b">
        <v>0</v>
      </c>
      <c r="L539" s="82" t="b">
        <v>0</v>
      </c>
      <c r="M539" s="83"/>
      <c r="N539" s="84"/>
      <c r="O539" s="89"/>
      <c r="P539" s="66" t="s">
        <v>112</v>
      </c>
      <c r="Q539" s="22"/>
      <c r="R539" s="22"/>
      <c r="S539" s="22"/>
      <c r="T539" s="74"/>
      <c r="U539" s="6"/>
      <c r="V539" s="74"/>
    </row>
    <row r="540" ht="22.5" customHeight="1">
      <c r="A540" s="6"/>
      <c r="C540" s="6"/>
      <c r="D540" s="22"/>
      <c r="E540" s="20"/>
      <c r="F540" s="21"/>
      <c r="G540" s="21"/>
      <c r="H540" s="21"/>
      <c r="I540" s="35" t="b">
        <v>0</v>
      </c>
      <c r="J540" s="35" t="b">
        <v>0</v>
      </c>
      <c r="K540" s="35" t="b">
        <v>0</v>
      </c>
      <c r="L540" s="82" t="b">
        <v>0</v>
      </c>
      <c r="M540" s="83"/>
      <c r="N540" s="84"/>
      <c r="O540" s="89"/>
      <c r="P540" s="66" t="s">
        <v>112</v>
      </c>
      <c r="Q540" s="22"/>
      <c r="R540" s="22"/>
      <c r="S540" s="22"/>
      <c r="T540" s="74"/>
      <c r="U540" s="6"/>
      <c r="V540" s="74"/>
    </row>
    <row r="541" ht="22.5" customHeight="1">
      <c r="A541" s="6"/>
      <c r="C541" s="6"/>
      <c r="D541" s="22"/>
      <c r="E541" s="20"/>
      <c r="F541" s="21"/>
      <c r="G541" s="21"/>
      <c r="H541" s="21"/>
      <c r="I541" s="35" t="b">
        <v>0</v>
      </c>
      <c r="J541" s="35" t="b">
        <v>0</v>
      </c>
      <c r="K541" s="35" t="b">
        <v>0</v>
      </c>
      <c r="L541" s="82" t="b">
        <v>0</v>
      </c>
      <c r="M541" s="83"/>
      <c r="N541" s="84"/>
      <c r="O541" s="89"/>
      <c r="P541" s="66" t="s">
        <v>112</v>
      </c>
      <c r="Q541" s="22"/>
      <c r="R541" s="22"/>
      <c r="S541" s="22"/>
      <c r="T541" s="74"/>
      <c r="U541" s="6"/>
      <c r="V541" s="74"/>
    </row>
    <row r="542" ht="22.5" customHeight="1">
      <c r="A542" s="6"/>
      <c r="C542" s="6"/>
      <c r="D542" s="22"/>
      <c r="E542" s="20"/>
      <c r="F542" s="21"/>
      <c r="G542" s="21"/>
      <c r="H542" s="21"/>
      <c r="I542" s="35" t="b">
        <v>0</v>
      </c>
      <c r="J542" s="35" t="b">
        <v>0</v>
      </c>
      <c r="K542" s="35" t="b">
        <v>0</v>
      </c>
      <c r="L542" s="82" t="b">
        <v>0</v>
      </c>
      <c r="M542" s="83"/>
      <c r="N542" s="84"/>
      <c r="O542" s="89"/>
      <c r="P542" s="66" t="s">
        <v>112</v>
      </c>
      <c r="Q542" s="22"/>
      <c r="R542" s="22"/>
      <c r="S542" s="22"/>
      <c r="T542" s="74"/>
      <c r="U542" s="6"/>
      <c r="V542" s="74"/>
    </row>
    <row r="543" ht="22.5" customHeight="1">
      <c r="A543" s="6"/>
      <c r="C543" s="6"/>
      <c r="D543" s="22"/>
      <c r="E543" s="20"/>
      <c r="F543" s="21"/>
      <c r="G543" s="21"/>
      <c r="H543" s="21"/>
      <c r="I543" s="35" t="b">
        <v>0</v>
      </c>
      <c r="J543" s="35" t="b">
        <v>0</v>
      </c>
      <c r="K543" s="35" t="b">
        <v>0</v>
      </c>
      <c r="L543" s="82" t="b">
        <v>0</v>
      </c>
      <c r="M543" s="83"/>
      <c r="N543" s="84"/>
      <c r="O543" s="89"/>
      <c r="P543" s="66" t="s">
        <v>112</v>
      </c>
      <c r="Q543" s="22"/>
      <c r="R543" s="22"/>
      <c r="S543" s="22"/>
      <c r="T543" s="74"/>
      <c r="U543" s="6"/>
      <c r="V543" s="74"/>
    </row>
    <row r="544" ht="22.5" customHeight="1">
      <c r="A544" s="6"/>
      <c r="C544" s="6"/>
      <c r="D544" s="22"/>
      <c r="E544" s="20"/>
      <c r="F544" s="21"/>
      <c r="G544" s="21"/>
      <c r="H544" s="21"/>
      <c r="I544" s="35" t="b">
        <v>0</v>
      </c>
      <c r="J544" s="35" t="b">
        <v>0</v>
      </c>
      <c r="K544" s="35" t="b">
        <v>0</v>
      </c>
      <c r="L544" s="82" t="b">
        <v>0</v>
      </c>
      <c r="M544" s="83"/>
      <c r="N544" s="84"/>
      <c r="O544" s="89"/>
      <c r="P544" s="66" t="s">
        <v>112</v>
      </c>
      <c r="Q544" s="22"/>
      <c r="R544" s="22"/>
      <c r="S544" s="22"/>
      <c r="T544" s="74"/>
      <c r="U544" s="6"/>
      <c r="V544" s="74"/>
    </row>
    <row r="545" ht="22.5" customHeight="1">
      <c r="A545" s="6"/>
      <c r="C545" s="6"/>
      <c r="D545" s="22"/>
      <c r="E545" s="20"/>
      <c r="F545" s="21"/>
      <c r="G545" s="21"/>
      <c r="H545" s="21"/>
      <c r="I545" s="35" t="b">
        <v>0</v>
      </c>
      <c r="J545" s="35" t="b">
        <v>0</v>
      </c>
      <c r="K545" s="35" t="b">
        <v>0</v>
      </c>
      <c r="L545" s="82" t="b">
        <v>0</v>
      </c>
      <c r="M545" s="83"/>
      <c r="N545" s="84"/>
      <c r="O545" s="89"/>
      <c r="P545" s="66" t="s">
        <v>112</v>
      </c>
      <c r="Q545" s="22"/>
      <c r="R545" s="22"/>
      <c r="S545" s="22"/>
      <c r="T545" s="74"/>
      <c r="U545" s="6"/>
      <c r="V545" s="74"/>
    </row>
    <row r="546" ht="22.5" customHeight="1">
      <c r="A546" s="6"/>
      <c r="C546" s="6"/>
      <c r="D546" s="22"/>
      <c r="E546" s="20"/>
      <c r="F546" s="21"/>
      <c r="G546" s="21"/>
      <c r="H546" s="21"/>
      <c r="I546" s="35" t="b">
        <v>0</v>
      </c>
      <c r="J546" s="35" t="b">
        <v>0</v>
      </c>
      <c r="K546" s="35" t="b">
        <v>0</v>
      </c>
      <c r="L546" s="82" t="b">
        <v>0</v>
      </c>
      <c r="M546" s="83"/>
      <c r="N546" s="84"/>
      <c r="O546" s="89"/>
      <c r="P546" s="66" t="s">
        <v>112</v>
      </c>
      <c r="Q546" s="22"/>
      <c r="R546" s="22"/>
      <c r="S546" s="22"/>
      <c r="T546" s="74"/>
      <c r="U546" s="6"/>
      <c r="V546" s="74"/>
    </row>
    <row r="547" ht="22.5" customHeight="1">
      <c r="A547" s="6"/>
      <c r="C547" s="6"/>
      <c r="D547" s="22"/>
      <c r="E547" s="20"/>
      <c r="F547" s="21"/>
      <c r="G547" s="21"/>
      <c r="H547" s="21"/>
      <c r="I547" s="35" t="b">
        <v>0</v>
      </c>
      <c r="J547" s="35" t="b">
        <v>0</v>
      </c>
      <c r="K547" s="35" t="b">
        <v>0</v>
      </c>
      <c r="L547" s="82" t="b">
        <v>0</v>
      </c>
      <c r="M547" s="83"/>
      <c r="N547" s="84"/>
      <c r="O547" s="89"/>
      <c r="P547" s="66" t="s">
        <v>112</v>
      </c>
      <c r="Q547" s="22"/>
      <c r="R547" s="22"/>
      <c r="S547" s="22"/>
      <c r="T547" s="74"/>
      <c r="U547" s="6"/>
      <c r="V547" s="74"/>
    </row>
    <row r="548" ht="22.5" customHeight="1">
      <c r="A548" s="6"/>
      <c r="C548" s="6"/>
      <c r="D548" s="22"/>
      <c r="E548" s="20"/>
      <c r="F548" s="21"/>
      <c r="G548" s="21"/>
      <c r="H548" s="21"/>
      <c r="I548" s="35" t="b">
        <v>0</v>
      </c>
      <c r="J548" s="35" t="b">
        <v>0</v>
      </c>
      <c r="K548" s="35" t="b">
        <v>0</v>
      </c>
      <c r="L548" s="82" t="b">
        <v>0</v>
      </c>
      <c r="M548" s="83"/>
      <c r="N548" s="84"/>
      <c r="O548" s="89"/>
      <c r="P548" s="66" t="s">
        <v>112</v>
      </c>
      <c r="Q548" s="22"/>
      <c r="R548" s="22"/>
      <c r="S548" s="22"/>
      <c r="T548" s="74"/>
      <c r="U548" s="6"/>
      <c r="V548" s="74"/>
    </row>
    <row r="549" ht="22.5" customHeight="1">
      <c r="A549" s="6"/>
      <c r="C549" s="6"/>
      <c r="D549" s="22"/>
      <c r="E549" s="20"/>
      <c r="F549" s="21"/>
      <c r="G549" s="21"/>
      <c r="H549" s="21"/>
      <c r="I549" s="35" t="b">
        <v>0</v>
      </c>
      <c r="J549" s="35" t="b">
        <v>0</v>
      </c>
      <c r="K549" s="35" t="b">
        <v>0</v>
      </c>
      <c r="L549" s="82" t="b">
        <v>0</v>
      </c>
      <c r="M549" s="83"/>
      <c r="N549" s="84"/>
      <c r="O549" s="89"/>
      <c r="P549" s="66" t="s">
        <v>112</v>
      </c>
      <c r="Q549" s="22"/>
      <c r="R549" s="22"/>
      <c r="S549" s="22"/>
      <c r="T549" s="74"/>
      <c r="U549" s="6"/>
      <c r="V549" s="74"/>
    </row>
    <row r="550" ht="22.5" customHeight="1">
      <c r="A550" s="6"/>
      <c r="C550" s="6"/>
      <c r="D550" s="22"/>
      <c r="E550" s="20"/>
      <c r="F550" s="21"/>
      <c r="G550" s="21"/>
      <c r="H550" s="21"/>
      <c r="I550" s="35" t="b">
        <v>0</v>
      </c>
      <c r="J550" s="35" t="b">
        <v>0</v>
      </c>
      <c r="K550" s="35" t="b">
        <v>0</v>
      </c>
      <c r="L550" s="82" t="b">
        <v>0</v>
      </c>
      <c r="M550" s="83"/>
      <c r="N550" s="84"/>
      <c r="O550" s="89"/>
      <c r="P550" s="66" t="s">
        <v>112</v>
      </c>
      <c r="Q550" s="22"/>
      <c r="R550" s="22"/>
      <c r="S550" s="22"/>
      <c r="T550" s="74"/>
      <c r="U550" s="6"/>
      <c r="V550" s="74"/>
    </row>
    <row r="551" ht="22.5" customHeight="1">
      <c r="A551" s="6"/>
      <c r="C551" s="6"/>
      <c r="D551" s="22"/>
      <c r="E551" s="20"/>
      <c r="F551" s="21"/>
      <c r="G551" s="21"/>
      <c r="H551" s="21"/>
      <c r="I551" s="35" t="b">
        <v>0</v>
      </c>
      <c r="J551" s="35" t="b">
        <v>0</v>
      </c>
      <c r="K551" s="35" t="b">
        <v>0</v>
      </c>
      <c r="L551" s="82" t="b">
        <v>0</v>
      </c>
      <c r="M551" s="83"/>
      <c r="N551" s="84"/>
      <c r="O551" s="89"/>
      <c r="P551" s="66" t="s">
        <v>112</v>
      </c>
      <c r="Q551" s="22"/>
      <c r="R551" s="22"/>
      <c r="S551" s="22"/>
      <c r="T551" s="74"/>
      <c r="U551" s="6"/>
      <c r="V551" s="74"/>
    </row>
    <row r="552" ht="22.5" customHeight="1">
      <c r="A552" s="6"/>
      <c r="C552" s="6"/>
      <c r="D552" s="22"/>
      <c r="E552" s="20"/>
      <c r="F552" s="21"/>
      <c r="G552" s="21"/>
      <c r="H552" s="21"/>
      <c r="I552" s="35" t="b">
        <v>0</v>
      </c>
      <c r="J552" s="35" t="b">
        <v>0</v>
      </c>
      <c r="K552" s="35" t="b">
        <v>0</v>
      </c>
      <c r="L552" s="82" t="b">
        <v>0</v>
      </c>
      <c r="M552" s="83"/>
      <c r="N552" s="84"/>
      <c r="O552" s="89"/>
      <c r="P552" s="66" t="s">
        <v>112</v>
      </c>
      <c r="Q552" s="22"/>
      <c r="R552" s="22"/>
      <c r="S552" s="22"/>
      <c r="T552" s="74"/>
      <c r="U552" s="6"/>
      <c r="V552" s="74"/>
    </row>
    <row r="553" ht="22.5" customHeight="1">
      <c r="A553" s="6"/>
      <c r="C553" s="6"/>
      <c r="D553" s="22"/>
      <c r="E553" s="20"/>
      <c r="F553" s="21"/>
      <c r="G553" s="21"/>
      <c r="H553" s="21"/>
      <c r="I553" s="35" t="b">
        <v>0</v>
      </c>
      <c r="J553" s="35" t="b">
        <v>0</v>
      </c>
      <c r="K553" s="35" t="b">
        <v>0</v>
      </c>
      <c r="L553" s="82" t="b">
        <v>0</v>
      </c>
      <c r="M553" s="83"/>
      <c r="N553" s="84"/>
      <c r="O553" s="89"/>
      <c r="P553" s="66" t="s">
        <v>112</v>
      </c>
      <c r="Q553" s="22"/>
      <c r="R553" s="22"/>
      <c r="S553" s="22"/>
      <c r="T553" s="74"/>
      <c r="U553" s="6"/>
      <c r="V553" s="74"/>
    </row>
    <row r="554" ht="22.5" customHeight="1">
      <c r="A554" s="6"/>
      <c r="C554" s="6"/>
      <c r="D554" s="22"/>
      <c r="E554" s="20"/>
      <c r="F554" s="21"/>
      <c r="G554" s="21"/>
      <c r="H554" s="21"/>
      <c r="I554" s="35" t="b">
        <v>0</v>
      </c>
      <c r="J554" s="35" t="b">
        <v>0</v>
      </c>
      <c r="K554" s="35" t="b">
        <v>0</v>
      </c>
      <c r="L554" s="82" t="b">
        <v>0</v>
      </c>
      <c r="M554" s="83"/>
      <c r="N554" s="84"/>
      <c r="O554" s="89"/>
      <c r="P554" s="66" t="s">
        <v>112</v>
      </c>
      <c r="Q554" s="22"/>
      <c r="R554" s="22"/>
      <c r="S554" s="22"/>
      <c r="T554" s="74"/>
      <c r="U554" s="6"/>
      <c r="V554" s="74"/>
    </row>
    <row r="555" ht="22.5" customHeight="1">
      <c r="A555" s="6"/>
      <c r="C555" s="6"/>
      <c r="D555" s="22"/>
      <c r="E555" s="20"/>
      <c r="F555" s="21"/>
      <c r="G555" s="21"/>
      <c r="H555" s="21"/>
      <c r="I555" s="35" t="b">
        <v>0</v>
      </c>
      <c r="J555" s="35" t="b">
        <v>0</v>
      </c>
      <c r="K555" s="35" t="b">
        <v>0</v>
      </c>
      <c r="L555" s="82" t="b">
        <v>0</v>
      </c>
      <c r="M555" s="83"/>
      <c r="N555" s="84"/>
      <c r="O555" s="89"/>
      <c r="P555" s="66" t="s">
        <v>112</v>
      </c>
      <c r="Q555" s="22"/>
      <c r="R555" s="22"/>
      <c r="S555" s="22"/>
      <c r="T555" s="74"/>
      <c r="U555" s="6"/>
      <c r="V555" s="74"/>
    </row>
    <row r="556" ht="22.5" customHeight="1">
      <c r="A556" s="6"/>
      <c r="C556" s="6"/>
      <c r="D556" s="22"/>
      <c r="E556" s="20"/>
      <c r="F556" s="21"/>
      <c r="G556" s="21"/>
      <c r="H556" s="21"/>
      <c r="I556" s="35" t="b">
        <v>0</v>
      </c>
      <c r="J556" s="35" t="b">
        <v>0</v>
      </c>
      <c r="K556" s="35" t="b">
        <v>0</v>
      </c>
      <c r="L556" s="82" t="b">
        <v>0</v>
      </c>
      <c r="M556" s="83"/>
      <c r="N556" s="84"/>
      <c r="O556" s="89"/>
      <c r="P556" s="66" t="s">
        <v>112</v>
      </c>
      <c r="Q556" s="22"/>
      <c r="R556" s="22"/>
      <c r="S556" s="22"/>
      <c r="T556" s="74"/>
      <c r="U556" s="6"/>
      <c r="V556" s="74"/>
    </row>
    <row r="557" ht="22.5" customHeight="1">
      <c r="A557" s="6"/>
      <c r="C557" s="6"/>
      <c r="D557" s="22"/>
      <c r="E557" s="20"/>
      <c r="F557" s="21"/>
      <c r="G557" s="21"/>
      <c r="H557" s="21"/>
      <c r="I557" s="35" t="b">
        <v>0</v>
      </c>
      <c r="J557" s="35" t="b">
        <v>0</v>
      </c>
      <c r="K557" s="35" t="b">
        <v>0</v>
      </c>
      <c r="L557" s="82" t="b">
        <v>0</v>
      </c>
      <c r="M557" s="83"/>
      <c r="N557" s="84"/>
      <c r="O557" s="89"/>
      <c r="P557" s="66" t="s">
        <v>112</v>
      </c>
      <c r="Q557" s="22"/>
      <c r="R557" s="22"/>
      <c r="S557" s="22"/>
      <c r="T557" s="74"/>
      <c r="U557" s="6"/>
      <c r="V557" s="74"/>
    </row>
    <row r="558" ht="22.5" customHeight="1">
      <c r="A558" s="6"/>
      <c r="C558" s="6"/>
      <c r="D558" s="22"/>
      <c r="E558" s="20"/>
      <c r="F558" s="21"/>
      <c r="G558" s="21"/>
      <c r="H558" s="21"/>
      <c r="I558" s="35" t="b">
        <v>0</v>
      </c>
      <c r="J558" s="35" t="b">
        <v>0</v>
      </c>
      <c r="K558" s="35" t="b">
        <v>0</v>
      </c>
      <c r="L558" s="82" t="b">
        <v>0</v>
      </c>
      <c r="M558" s="83"/>
      <c r="N558" s="84"/>
      <c r="O558" s="89"/>
      <c r="P558" s="66" t="s">
        <v>112</v>
      </c>
      <c r="Q558" s="22"/>
      <c r="R558" s="22"/>
      <c r="S558" s="22"/>
      <c r="T558" s="74"/>
      <c r="U558" s="6"/>
      <c r="V558" s="74"/>
    </row>
    <row r="559" ht="22.5" customHeight="1">
      <c r="A559" s="6"/>
      <c r="C559" s="6"/>
      <c r="D559" s="22"/>
      <c r="E559" s="20"/>
      <c r="F559" s="21"/>
      <c r="G559" s="21"/>
      <c r="H559" s="21"/>
      <c r="I559" s="35" t="b">
        <v>0</v>
      </c>
      <c r="J559" s="35" t="b">
        <v>0</v>
      </c>
      <c r="K559" s="35" t="b">
        <v>0</v>
      </c>
      <c r="L559" s="82" t="b">
        <v>0</v>
      </c>
      <c r="M559" s="83"/>
      <c r="N559" s="84"/>
      <c r="O559" s="89"/>
      <c r="P559" s="66" t="s">
        <v>112</v>
      </c>
      <c r="Q559" s="22"/>
      <c r="R559" s="22"/>
      <c r="S559" s="22"/>
      <c r="T559" s="74"/>
      <c r="U559" s="6"/>
      <c r="V559" s="74"/>
    </row>
    <row r="560" ht="22.5" customHeight="1">
      <c r="A560" s="6"/>
      <c r="C560" s="6"/>
      <c r="D560" s="22"/>
      <c r="E560" s="20"/>
      <c r="F560" s="21"/>
      <c r="G560" s="21"/>
      <c r="H560" s="21"/>
      <c r="I560" s="35" t="b">
        <v>0</v>
      </c>
      <c r="J560" s="35" t="b">
        <v>0</v>
      </c>
      <c r="K560" s="35" t="b">
        <v>0</v>
      </c>
      <c r="L560" s="82" t="b">
        <v>0</v>
      </c>
      <c r="M560" s="83"/>
      <c r="N560" s="84"/>
      <c r="O560" s="89"/>
      <c r="P560" s="66" t="s">
        <v>112</v>
      </c>
      <c r="Q560" s="22"/>
      <c r="R560" s="22"/>
      <c r="S560" s="22"/>
      <c r="T560" s="74"/>
      <c r="U560" s="6"/>
      <c r="V560" s="74"/>
    </row>
    <row r="561" ht="22.5" customHeight="1">
      <c r="A561" s="6"/>
      <c r="C561" s="6"/>
      <c r="D561" s="22"/>
      <c r="E561" s="20"/>
      <c r="F561" s="21"/>
      <c r="G561" s="21"/>
      <c r="H561" s="21"/>
      <c r="I561" s="35" t="b">
        <v>0</v>
      </c>
      <c r="J561" s="35" t="b">
        <v>0</v>
      </c>
      <c r="K561" s="35" t="b">
        <v>0</v>
      </c>
      <c r="L561" s="82" t="b">
        <v>0</v>
      </c>
      <c r="M561" s="83"/>
      <c r="N561" s="84"/>
      <c r="O561" s="89"/>
      <c r="P561" s="66" t="s">
        <v>112</v>
      </c>
      <c r="Q561" s="22"/>
      <c r="R561" s="22"/>
      <c r="S561" s="22"/>
      <c r="T561" s="74"/>
      <c r="U561" s="6"/>
      <c r="V561" s="74"/>
    </row>
    <row r="562" ht="22.5" customHeight="1">
      <c r="A562" s="6"/>
      <c r="C562" s="6"/>
      <c r="D562" s="22"/>
      <c r="E562" s="20"/>
      <c r="F562" s="21"/>
      <c r="G562" s="21"/>
      <c r="H562" s="21"/>
      <c r="I562" s="35" t="b">
        <v>0</v>
      </c>
      <c r="J562" s="35" t="b">
        <v>0</v>
      </c>
      <c r="K562" s="35" t="b">
        <v>0</v>
      </c>
      <c r="L562" s="82" t="b">
        <v>0</v>
      </c>
      <c r="M562" s="83"/>
      <c r="N562" s="84"/>
      <c r="O562" s="89"/>
      <c r="P562" s="66" t="s">
        <v>112</v>
      </c>
      <c r="Q562" s="22"/>
      <c r="R562" s="22"/>
      <c r="S562" s="22"/>
      <c r="T562" s="74"/>
      <c r="U562" s="6"/>
      <c r="V562" s="74"/>
    </row>
    <row r="563" ht="22.5" customHeight="1">
      <c r="A563" s="6"/>
      <c r="C563" s="6"/>
      <c r="D563" s="22"/>
      <c r="E563" s="20"/>
      <c r="F563" s="21"/>
      <c r="G563" s="21"/>
      <c r="H563" s="21"/>
      <c r="I563" s="35" t="b">
        <v>0</v>
      </c>
      <c r="J563" s="35" t="b">
        <v>0</v>
      </c>
      <c r="K563" s="35" t="b">
        <v>0</v>
      </c>
      <c r="L563" s="82" t="b">
        <v>0</v>
      </c>
      <c r="M563" s="83"/>
      <c r="N563" s="84"/>
      <c r="O563" s="89"/>
      <c r="P563" s="66" t="s">
        <v>112</v>
      </c>
      <c r="Q563" s="22"/>
      <c r="R563" s="22"/>
      <c r="S563" s="22"/>
      <c r="T563" s="74"/>
      <c r="U563" s="6"/>
      <c r="V563" s="74"/>
    </row>
    <row r="564" ht="22.5" customHeight="1">
      <c r="A564" s="6"/>
      <c r="C564" s="6"/>
      <c r="D564" s="22"/>
      <c r="E564" s="20"/>
      <c r="F564" s="21"/>
      <c r="G564" s="21"/>
      <c r="H564" s="21"/>
      <c r="I564" s="35" t="b">
        <v>0</v>
      </c>
      <c r="J564" s="35" t="b">
        <v>0</v>
      </c>
      <c r="K564" s="35" t="b">
        <v>0</v>
      </c>
      <c r="L564" s="82" t="b">
        <v>0</v>
      </c>
      <c r="M564" s="83"/>
      <c r="N564" s="84"/>
      <c r="O564" s="89"/>
      <c r="P564" s="66" t="s">
        <v>112</v>
      </c>
      <c r="Q564" s="22"/>
      <c r="R564" s="22"/>
      <c r="S564" s="22"/>
      <c r="T564" s="74"/>
      <c r="U564" s="6"/>
      <c r="V564" s="74"/>
    </row>
    <row r="565" ht="22.5" customHeight="1">
      <c r="A565" s="6"/>
      <c r="C565" s="6"/>
      <c r="D565" s="22"/>
      <c r="E565" s="20"/>
      <c r="F565" s="21"/>
      <c r="G565" s="21"/>
      <c r="H565" s="21"/>
      <c r="I565" s="35" t="b">
        <v>0</v>
      </c>
      <c r="J565" s="35" t="b">
        <v>0</v>
      </c>
      <c r="K565" s="35" t="b">
        <v>0</v>
      </c>
      <c r="L565" s="82" t="b">
        <v>0</v>
      </c>
      <c r="M565" s="83"/>
      <c r="N565" s="84"/>
      <c r="O565" s="89"/>
      <c r="P565" s="66" t="s">
        <v>112</v>
      </c>
      <c r="Q565" s="22"/>
      <c r="R565" s="22"/>
      <c r="S565" s="22"/>
      <c r="T565" s="74"/>
      <c r="U565" s="6"/>
      <c r="V565" s="74"/>
    </row>
    <row r="566" ht="22.5" customHeight="1">
      <c r="A566" s="6"/>
      <c r="C566" s="6"/>
      <c r="D566" s="22"/>
      <c r="E566" s="20"/>
      <c r="F566" s="21"/>
      <c r="G566" s="21"/>
      <c r="H566" s="21"/>
      <c r="I566" s="35" t="b">
        <v>0</v>
      </c>
      <c r="J566" s="35" t="b">
        <v>0</v>
      </c>
      <c r="K566" s="35" t="b">
        <v>0</v>
      </c>
      <c r="L566" s="82" t="b">
        <v>0</v>
      </c>
      <c r="M566" s="83"/>
      <c r="N566" s="84"/>
      <c r="O566" s="89"/>
      <c r="P566" s="66" t="s">
        <v>112</v>
      </c>
      <c r="Q566" s="22"/>
      <c r="R566" s="22"/>
      <c r="S566" s="22"/>
      <c r="T566" s="74"/>
      <c r="U566" s="6"/>
      <c r="V566" s="74"/>
    </row>
    <row r="567" ht="22.5" customHeight="1">
      <c r="A567" s="6"/>
      <c r="C567" s="6"/>
      <c r="D567" s="22"/>
      <c r="E567" s="20"/>
      <c r="F567" s="21"/>
      <c r="G567" s="21"/>
      <c r="H567" s="21"/>
      <c r="I567" s="35" t="b">
        <v>0</v>
      </c>
      <c r="J567" s="35" t="b">
        <v>0</v>
      </c>
      <c r="K567" s="35" t="b">
        <v>0</v>
      </c>
      <c r="L567" s="82" t="b">
        <v>0</v>
      </c>
      <c r="M567" s="83"/>
      <c r="N567" s="84"/>
      <c r="O567" s="89"/>
      <c r="P567" s="66" t="s">
        <v>112</v>
      </c>
      <c r="Q567" s="22"/>
      <c r="R567" s="22"/>
      <c r="S567" s="22"/>
      <c r="T567" s="74"/>
      <c r="U567" s="6"/>
      <c r="V567" s="74"/>
    </row>
    <row r="568" ht="22.5" customHeight="1">
      <c r="A568" s="6"/>
      <c r="C568" s="6"/>
      <c r="D568" s="22"/>
      <c r="E568" s="20"/>
      <c r="F568" s="21"/>
      <c r="G568" s="21"/>
      <c r="H568" s="21"/>
      <c r="I568" s="35" t="b">
        <v>0</v>
      </c>
      <c r="J568" s="35" t="b">
        <v>0</v>
      </c>
      <c r="K568" s="35" t="b">
        <v>0</v>
      </c>
      <c r="L568" s="82" t="b">
        <v>0</v>
      </c>
      <c r="M568" s="83"/>
      <c r="N568" s="84"/>
      <c r="O568" s="89"/>
      <c r="P568" s="66" t="s">
        <v>112</v>
      </c>
      <c r="Q568" s="22"/>
      <c r="R568" s="22"/>
      <c r="S568" s="22"/>
      <c r="T568" s="74"/>
      <c r="U568" s="6"/>
      <c r="V568" s="74"/>
    </row>
    <row r="569" ht="22.5" customHeight="1">
      <c r="A569" s="6"/>
      <c r="C569" s="6"/>
      <c r="D569" s="22"/>
      <c r="E569" s="20"/>
      <c r="F569" s="21"/>
      <c r="G569" s="21"/>
      <c r="H569" s="21"/>
      <c r="I569" s="35" t="b">
        <v>0</v>
      </c>
      <c r="J569" s="35" t="b">
        <v>0</v>
      </c>
      <c r="K569" s="35" t="b">
        <v>0</v>
      </c>
      <c r="L569" s="82" t="b">
        <v>0</v>
      </c>
      <c r="M569" s="83"/>
      <c r="N569" s="84"/>
      <c r="O569" s="89"/>
      <c r="P569" s="66" t="s">
        <v>112</v>
      </c>
      <c r="Q569" s="22"/>
      <c r="R569" s="22"/>
      <c r="S569" s="22"/>
      <c r="T569" s="74"/>
      <c r="U569" s="6"/>
      <c r="V569" s="74"/>
    </row>
    <row r="570" ht="22.5" customHeight="1">
      <c r="A570" s="6"/>
      <c r="C570" s="6"/>
      <c r="D570" s="22"/>
      <c r="E570" s="20"/>
      <c r="F570" s="21"/>
      <c r="G570" s="21"/>
      <c r="H570" s="21"/>
      <c r="I570" s="35" t="b">
        <v>0</v>
      </c>
      <c r="J570" s="35" t="b">
        <v>0</v>
      </c>
      <c r="K570" s="35" t="b">
        <v>0</v>
      </c>
      <c r="L570" s="82" t="b">
        <v>0</v>
      </c>
      <c r="M570" s="83"/>
      <c r="N570" s="84"/>
      <c r="O570" s="89"/>
      <c r="P570" s="66" t="s">
        <v>112</v>
      </c>
      <c r="Q570" s="22"/>
      <c r="R570" s="22"/>
      <c r="S570" s="22"/>
      <c r="T570" s="74"/>
      <c r="U570" s="6"/>
      <c r="V570" s="74"/>
    </row>
    <row r="571" ht="22.5" customHeight="1">
      <c r="A571" s="6"/>
      <c r="C571" s="6"/>
      <c r="D571" s="22"/>
      <c r="E571" s="20"/>
      <c r="F571" s="21"/>
      <c r="G571" s="21"/>
      <c r="H571" s="21"/>
      <c r="I571" s="35" t="b">
        <v>0</v>
      </c>
      <c r="J571" s="35" t="b">
        <v>0</v>
      </c>
      <c r="K571" s="35" t="b">
        <v>0</v>
      </c>
      <c r="L571" s="82" t="b">
        <v>0</v>
      </c>
      <c r="M571" s="83"/>
      <c r="N571" s="84"/>
      <c r="O571" s="89"/>
      <c r="P571" s="66" t="s">
        <v>112</v>
      </c>
      <c r="Q571" s="22"/>
      <c r="R571" s="22"/>
      <c r="S571" s="22"/>
      <c r="T571" s="74"/>
      <c r="U571" s="6"/>
      <c r="V571" s="74"/>
    </row>
    <row r="572" ht="22.5" customHeight="1">
      <c r="A572" s="6"/>
      <c r="C572" s="6"/>
      <c r="D572" s="22"/>
      <c r="E572" s="20"/>
      <c r="F572" s="21"/>
      <c r="G572" s="21"/>
      <c r="H572" s="21"/>
      <c r="I572" s="35" t="b">
        <v>0</v>
      </c>
      <c r="J572" s="35" t="b">
        <v>0</v>
      </c>
      <c r="K572" s="35" t="b">
        <v>0</v>
      </c>
      <c r="L572" s="82" t="b">
        <v>0</v>
      </c>
      <c r="M572" s="83"/>
      <c r="N572" s="84"/>
      <c r="O572" s="89"/>
      <c r="P572" s="66" t="s">
        <v>112</v>
      </c>
      <c r="Q572" s="22"/>
      <c r="R572" s="22"/>
      <c r="S572" s="22"/>
      <c r="T572" s="74"/>
      <c r="U572" s="6"/>
      <c r="V572" s="74"/>
    </row>
    <row r="573" ht="22.5" customHeight="1">
      <c r="A573" s="6"/>
      <c r="C573" s="6"/>
      <c r="D573" s="22"/>
      <c r="E573" s="20"/>
      <c r="F573" s="21"/>
      <c r="G573" s="21"/>
      <c r="H573" s="21"/>
      <c r="I573" s="35" t="b">
        <v>0</v>
      </c>
      <c r="J573" s="35" t="b">
        <v>0</v>
      </c>
      <c r="K573" s="35" t="b">
        <v>0</v>
      </c>
      <c r="L573" s="82" t="b">
        <v>0</v>
      </c>
      <c r="M573" s="83"/>
      <c r="N573" s="84"/>
      <c r="O573" s="89"/>
      <c r="P573" s="66" t="s">
        <v>112</v>
      </c>
      <c r="Q573" s="22"/>
      <c r="R573" s="22"/>
      <c r="S573" s="22"/>
      <c r="T573" s="74"/>
      <c r="U573" s="6"/>
      <c r="V573" s="74"/>
    </row>
    <row r="574" ht="22.5" customHeight="1">
      <c r="A574" s="6"/>
      <c r="C574" s="6"/>
      <c r="D574" s="22"/>
      <c r="E574" s="20"/>
      <c r="F574" s="21"/>
      <c r="G574" s="21"/>
      <c r="H574" s="21"/>
      <c r="I574" s="35" t="b">
        <v>0</v>
      </c>
      <c r="J574" s="35" t="b">
        <v>0</v>
      </c>
      <c r="K574" s="35" t="b">
        <v>0</v>
      </c>
      <c r="L574" s="82" t="b">
        <v>0</v>
      </c>
      <c r="M574" s="83"/>
      <c r="N574" s="84"/>
      <c r="O574" s="89"/>
      <c r="P574" s="66" t="s">
        <v>112</v>
      </c>
      <c r="Q574" s="22"/>
      <c r="R574" s="22"/>
      <c r="S574" s="22"/>
      <c r="T574" s="74"/>
      <c r="U574" s="6"/>
      <c r="V574" s="74"/>
    </row>
    <row r="575" ht="22.5" customHeight="1">
      <c r="A575" s="6"/>
      <c r="C575" s="6"/>
      <c r="D575" s="22"/>
      <c r="E575" s="20"/>
      <c r="F575" s="21"/>
      <c r="G575" s="21"/>
      <c r="H575" s="21"/>
      <c r="I575" s="35" t="b">
        <v>0</v>
      </c>
      <c r="J575" s="35" t="b">
        <v>0</v>
      </c>
      <c r="K575" s="35" t="b">
        <v>0</v>
      </c>
      <c r="L575" s="82" t="b">
        <v>0</v>
      </c>
      <c r="M575" s="83"/>
      <c r="N575" s="84"/>
      <c r="O575" s="89"/>
      <c r="P575" s="66" t="s">
        <v>112</v>
      </c>
      <c r="Q575" s="22"/>
      <c r="R575" s="22"/>
      <c r="S575" s="22"/>
      <c r="T575" s="74"/>
      <c r="U575" s="6"/>
      <c r="V575" s="74"/>
    </row>
    <row r="576" ht="22.5" customHeight="1">
      <c r="A576" s="6"/>
      <c r="C576" s="6"/>
      <c r="D576" s="22"/>
      <c r="E576" s="20"/>
      <c r="F576" s="21"/>
      <c r="G576" s="21"/>
      <c r="H576" s="21"/>
      <c r="I576" s="35" t="b">
        <v>0</v>
      </c>
      <c r="J576" s="35" t="b">
        <v>0</v>
      </c>
      <c r="K576" s="35" t="b">
        <v>0</v>
      </c>
      <c r="L576" s="82" t="b">
        <v>0</v>
      </c>
      <c r="M576" s="83"/>
      <c r="N576" s="84"/>
      <c r="O576" s="89"/>
      <c r="P576" s="66" t="s">
        <v>112</v>
      </c>
      <c r="Q576" s="22"/>
      <c r="R576" s="22"/>
      <c r="S576" s="22"/>
      <c r="T576" s="74"/>
      <c r="U576" s="6"/>
      <c r="V576" s="74"/>
    </row>
    <row r="577" ht="22.5" customHeight="1">
      <c r="A577" s="6"/>
      <c r="C577" s="6"/>
      <c r="D577" s="22"/>
      <c r="E577" s="20"/>
      <c r="F577" s="21"/>
      <c r="G577" s="21"/>
      <c r="H577" s="21"/>
      <c r="I577" s="35" t="b">
        <v>0</v>
      </c>
      <c r="J577" s="35" t="b">
        <v>0</v>
      </c>
      <c r="K577" s="35" t="b">
        <v>0</v>
      </c>
      <c r="L577" s="82" t="b">
        <v>0</v>
      </c>
      <c r="M577" s="83"/>
      <c r="N577" s="84"/>
      <c r="O577" s="89"/>
      <c r="P577" s="66" t="s">
        <v>112</v>
      </c>
      <c r="Q577" s="22"/>
      <c r="R577" s="22"/>
      <c r="S577" s="22"/>
      <c r="T577" s="74"/>
      <c r="U577" s="6"/>
      <c r="V577" s="74"/>
    </row>
    <row r="578" ht="22.5" customHeight="1">
      <c r="A578" s="6"/>
      <c r="C578" s="6"/>
      <c r="D578" s="22"/>
      <c r="E578" s="20"/>
      <c r="F578" s="21"/>
      <c r="G578" s="21"/>
      <c r="H578" s="21"/>
      <c r="I578" s="35" t="b">
        <v>0</v>
      </c>
      <c r="J578" s="35" t="b">
        <v>0</v>
      </c>
      <c r="K578" s="35" t="b">
        <v>0</v>
      </c>
      <c r="L578" s="82" t="b">
        <v>0</v>
      </c>
      <c r="M578" s="83"/>
      <c r="N578" s="84"/>
      <c r="O578" s="89"/>
      <c r="P578" s="66" t="s">
        <v>112</v>
      </c>
      <c r="Q578" s="22"/>
      <c r="R578" s="22"/>
      <c r="S578" s="22"/>
      <c r="T578" s="74"/>
      <c r="U578" s="6"/>
      <c r="V578" s="74"/>
    </row>
    <row r="579" ht="22.5" customHeight="1">
      <c r="A579" s="6"/>
      <c r="C579" s="6"/>
      <c r="D579" s="22"/>
      <c r="E579" s="20"/>
      <c r="F579" s="21"/>
      <c r="G579" s="21"/>
      <c r="H579" s="21"/>
      <c r="I579" s="35" t="b">
        <v>0</v>
      </c>
      <c r="J579" s="35" t="b">
        <v>0</v>
      </c>
      <c r="K579" s="35" t="b">
        <v>0</v>
      </c>
      <c r="L579" s="82" t="b">
        <v>0</v>
      </c>
      <c r="M579" s="83"/>
      <c r="N579" s="84"/>
      <c r="O579" s="89"/>
      <c r="P579" s="66" t="s">
        <v>112</v>
      </c>
      <c r="Q579" s="22"/>
      <c r="R579" s="22"/>
      <c r="S579" s="22"/>
      <c r="T579" s="74"/>
      <c r="U579" s="6"/>
      <c r="V579" s="74"/>
    </row>
    <row r="580" ht="22.5" customHeight="1">
      <c r="A580" s="6"/>
      <c r="C580" s="6"/>
      <c r="D580" s="22"/>
      <c r="E580" s="20"/>
      <c r="F580" s="21"/>
      <c r="G580" s="21"/>
      <c r="H580" s="21"/>
      <c r="I580" s="35" t="b">
        <v>0</v>
      </c>
      <c r="J580" s="35" t="b">
        <v>0</v>
      </c>
      <c r="K580" s="35" t="b">
        <v>0</v>
      </c>
      <c r="L580" s="82" t="b">
        <v>0</v>
      </c>
      <c r="M580" s="83"/>
      <c r="N580" s="84"/>
      <c r="O580" s="89"/>
      <c r="P580" s="66" t="s">
        <v>112</v>
      </c>
      <c r="Q580" s="22"/>
      <c r="R580" s="22"/>
      <c r="S580" s="22"/>
      <c r="T580" s="74"/>
      <c r="U580" s="6"/>
      <c r="V580" s="74"/>
    </row>
    <row r="581" ht="22.5" customHeight="1">
      <c r="A581" s="6"/>
      <c r="C581" s="6"/>
      <c r="D581" s="22"/>
      <c r="E581" s="20"/>
      <c r="F581" s="21"/>
      <c r="G581" s="21"/>
      <c r="H581" s="21"/>
      <c r="I581" s="35" t="b">
        <v>0</v>
      </c>
      <c r="J581" s="35" t="b">
        <v>0</v>
      </c>
      <c r="K581" s="35" t="b">
        <v>0</v>
      </c>
      <c r="L581" s="82" t="b">
        <v>0</v>
      </c>
      <c r="M581" s="83"/>
      <c r="N581" s="84"/>
      <c r="O581" s="89"/>
      <c r="P581" s="66" t="s">
        <v>112</v>
      </c>
      <c r="Q581" s="22"/>
      <c r="R581" s="22"/>
      <c r="S581" s="22"/>
      <c r="T581" s="74"/>
      <c r="U581" s="6"/>
      <c r="V581" s="74"/>
    </row>
    <row r="582" ht="22.5" customHeight="1">
      <c r="A582" s="6"/>
      <c r="C582" s="6"/>
      <c r="D582" s="22"/>
      <c r="E582" s="20"/>
      <c r="F582" s="21"/>
      <c r="G582" s="21"/>
      <c r="H582" s="21"/>
      <c r="I582" s="35" t="b">
        <v>0</v>
      </c>
      <c r="J582" s="35" t="b">
        <v>0</v>
      </c>
      <c r="K582" s="35" t="b">
        <v>0</v>
      </c>
      <c r="L582" s="82" t="b">
        <v>0</v>
      </c>
      <c r="M582" s="83"/>
      <c r="N582" s="84"/>
      <c r="O582" s="89"/>
      <c r="P582" s="66" t="s">
        <v>112</v>
      </c>
      <c r="Q582" s="22"/>
      <c r="R582" s="22"/>
      <c r="S582" s="22"/>
      <c r="T582" s="74"/>
      <c r="U582" s="6"/>
      <c r="V582" s="74"/>
    </row>
    <row r="583" ht="22.5" customHeight="1">
      <c r="A583" s="6"/>
      <c r="C583" s="6"/>
      <c r="D583" s="22"/>
      <c r="E583" s="20"/>
      <c r="F583" s="21"/>
      <c r="G583" s="21"/>
      <c r="H583" s="21"/>
      <c r="I583" s="35" t="b">
        <v>0</v>
      </c>
      <c r="J583" s="35" t="b">
        <v>0</v>
      </c>
      <c r="K583" s="35" t="b">
        <v>0</v>
      </c>
      <c r="L583" s="82" t="b">
        <v>0</v>
      </c>
      <c r="M583" s="83"/>
      <c r="N583" s="84"/>
      <c r="O583" s="89"/>
      <c r="P583" s="66" t="s">
        <v>112</v>
      </c>
      <c r="Q583" s="22"/>
      <c r="R583" s="22"/>
      <c r="S583" s="22"/>
      <c r="T583" s="74"/>
      <c r="U583" s="6"/>
      <c r="V583" s="74"/>
    </row>
    <row r="584" ht="22.5" customHeight="1">
      <c r="A584" s="6"/>
      <c r="C584" s="6"/>
      <c r="D584" s="22"/>
      <c r="E584" s="20"/>
      <c r="F584" s="21"/>
      <c r="G584" s="21"/>
      <c r="H584" s="21"/>
      <c r="I584" s="35" t="b">
        <v>0</v>
      </c>
      <c r="J584" s="35" t="b">
        <v>0</v>
      </c>
      <c r="K584" s="35" t="b">
        <v>0</v>
      </c>
      <c r="L584" s="82" t="b">
        <v>0</v>
      </c>
      <c r="M584" s="83"/>
      <c r="N584" s="84"/>
      <c r="O584" s="89"/>
      <c r="P584" s="66" t="s">
        <v>112</v>
      </c>
      <c r="Q584" s="22"/>
      <c r="R584" s="22"/>
      <c r="S584" s="22"/>
      <c r="T584" s="74"/>
      <c r="U584" s="6"/>
      <c r="V584" s="74"/>
    </row>
    <row r="585" ht="22.5" customHeight="1">
      <c r="A585" s="6"/>
      <c r="C585" s="6"/>
      <c r="D585" s="22"/>
      <c r="E585" s="20"/>
      <c r="F585" s="21"/>
      <c r="G585" s="21"/>
      <c r="H585" s="21"/>
      <c r="I585" s="35" t="b">
        <v>0</v>
      </c>
      <c r="J585" s="35" t="b">
        <v>0</v>
      </c>
      <c r="K585" s="35" t="b">
        <v>0</v>
      </c>
      <c r="L585" s="82" t="b">
        <v>0</v>
      </c>
      <c r="M585" s="83"/>
      <c r="N585" s="84"/>
      <c r="O585" s="89"/>
      <c r="P585" s="66" t="s">
        <v>112</v>
      </c>
      <c r="Q585" s="22"/>
      <c r="R585" s="22"/>
      <c r="S585" s="22"/>
      <c r="T585" s="74"/>
      <c r="U585" s="6"/>
      <c r="V585" s="74"/>
    </row>
    <row r="586" ht="22.5" customHeight="1">
      <c r="A586" s="6"/>
      <c r="C586" s="6"/>
      <c r="D586" s="22"/>
      <c r="E586" s="20"/>
      <c r="F586" s="21"/>
      <c r="G586" s="21"/>
      <c r="H586" s="21"/>
      <c r="I586" s="35" t="b">
        <v>0</v>
      </c>
      <c r="J586" s="35" t="b">
        <v>0</v>
      </c>
      <c r="K586" s="35" t="b">
        <v>0</v>
      </c>
      <c r="L586" s="82" t="b">
        <v>0</v>
      </c>
      <c r="M586" s="83"/>
      <c r="N586" s="84"/>
      <c r="O586" s="89"/>
      <c r="P586" s="66" t="s">
        <v>112</v>
      </c>
      <c r="Q586" s="22"/>
      <c r="R586" s="22"/>
      <c r="S586" s="22"/>
      <c r="T586" s="74"/>
      <c r="U586" s="6"/>
      <c r="V586" s="74"/>
    </row>
    <row r="587" ht="22.5" customHeight="1">
      <c r="A587" s="6"/>
      <c r="C587" s="6"/>
      <c r="D587" s="22"/>
      <c r="E587" s="20"/>
      <c r="F587" s="21"/>
      <c r="G587" s="21"/>
      <c r="H587" s="21"/>
      <c r="I587" s="35" t="b">
        <v>0</v>
      </c>
      <c r="J587" s="35" t="b">
        <v>0</v>
      </c>
      <c r="K587" s="35" t="b">
        <v>0</v>
      </c>
      <c r="L587" s="82" t="b">
        <v>0</v>
      </c>
      <c r="M587" s="83"/>
      <c r="N587" s="84"/>
      <c r="O587" s="89"/>
      <c r="P587" s="66" t="s">
        <v>112</v>
      </c>
      <c r="Q587" s="22"/>
      <c r="R587" s="22"/>
      <c r="S587" s="22"/>
      <c r="T587" s="74"/>
      <c r="U587" s="6"/>
      <c r="V587" s="74"/>
    </row>
    <row r="588" ht="22.5" customHeight="1">
      <c r="A588" s="6"/>
      <c r="C588" s="6"/>
      <c r="D588" s="22"/>
      <c r="E588" s="20"/>
      <c r="F588" s="21"/>
      <c r="G588" s="21"/>
      <c r="H588" s="21"/>
      <c r="I588" s="35" t="b">
        <v>0</v>
      </c>
      <c r="J588" s="35" t="b">
        <v>0</v>
      </c>
      <c r="K588" s="35" t="b">
        <v>0</v>
      </c>
      <c r="L588" s="82" t="b">
        <v>0</v>
      </c>
      <c r="M588" s="83"/>
      <c r="N588" s="84"/>
      <c r="O588" s="89"/>
      <c r="P588" s="66" t="s">
        <v>112</v>
      </c>
      <c r="Q588" s="22"/>
      <c r="R588" s="22"/>
      <c r="S588" s="22"/>
      <c r="T588" s="74"/>
      <c r="U588" s="6"/>
      <c r="V588" s="74"/>
    </row>
    <row r="589" ht="22.5" customHeight="1">
      <c r="A589" s="6"/>
      <c r="C589" s="6"/>
      <c r="D589" s="22"/>
      <c r="E589" s="20"/>
      <c r="F589" s="21"/>
      <c r="G589" s="21"/>
      <c r="H589" s="21"/>
      <c r="I589" s="35" t="b">
        <v>0</v>
      </c>
      <c r="J589" s="35" t="b">
        <v>0</v>
      </c>
      <c r="K589" s="35" t="b">
        <v>0</v>
      </c>
      <c r="L589" s="82" t="b">
        <v>0</v>
      </c>
      <c r="M589" s="83"/>
      <c r="N589" s="84"/>
      <c r="O589" s="89"/>
      <c r="P589" s="66" t="s">
        <v>112</v>
      </c>
      <c r="Q589" s="22"/>
      <c r="R589" s="22"/>
      <c r="S589" s="22"/>
      <c r="T589" s="74"/>
      <c r="U589" s="6"/>
      <c r="V589" s="74"/>
    </row>
    <row r="590" ht="22.5" customHeight="1">
      <c r="A590" s="6"/>
      <c r="C590" s="6"/>
      <c r="D590" s="22"/>
      <c r="E590" s="20"/>
      <c r="F590" s="21"/>
      <c r="G590" s="21"/>
      <c r="H590" s="21"/>
      <c r="I590" s="35" t="b">
        <v>0</v>
      </c>
      <c r="J590" s="35" t="b">
        <v>0</v>
      </c>
      <c r="K590" s="35" t="b">
        <v>0</v>
      </c>
      <c r="L590" s="82" t="b">
        <v>0</v>
      </c>
      <c r="M590" s="83"/>
      <c r="N590" s="84"/>
      <c r="O590" s="89"/>
      <c r="P590" s="66" t="s">
        <v>112</v>
      </c>
      <c r="Q590" s="22"/>
      <c r="R590" s="22"/>
      <c r="S590" s="22"/>
      <c r="T590" s="74"/>
      <c r="U590" s="6"/>
      <c r="V590" s="74"/>
    </row>
    <row r="591" ht="22.5" customHeight="1">
      <c r="A591" s="6"/>
      <c r="C591" s="6"/>
      <c r="D591" s="22"/>
      <c r="E591" s="20"/>
      <c r="F591" s="21"/>
      <c r="G591" s="21"/>
      <c r="H591" s="21"/>
      <c r="I591" s="35" t="b">
        <v>0</v>
      </c>
      <c r="J591" s="35" t="b">
        <v>0</v>
      </c>
      <c r="K591" s="35" t="b">
        <v>0</v>
      </c>
      <c r="L591" s="82" t="b">
        <v>0</v>
      </c>
      <c r="M591" s="83"/>
      <c r="N591" s="84"/>
      <c r="O591" s="89"/>
      <c r="P591" s="66" t="s">
        <v>112</v>
      </c>
      <c r="Q591" s="22"/>
      <c r="R591" s="22"/>
      <c r="S591" s="22"/>
      <c r="T591" s="74"/>
      <c r="U591" s="6"/>
      <c r="V591" s="74"/>
    </row>
    <row r="592" ht="22.5" customHeight="1">
      <c r="A592" s="6"/>
      <c r="C592" s="6"/>
      <c r="D592" s="22"/>
      <c r="E592" s="20"/>
      <c r="F592" s="21"/>
      <c r="G592" s="21"/>
      <c r="H592" s="21"/>
      <c r="I592" s="35" t="b">
        <v>0</v>
      </c>
      <c r="J592" s="35" t="b">
        <v>0</v>
      </c>
      <c r="K592" s="35" t="b">
        <v>0</v>
      </c>
      <c r="L592" s="82" t="b">
        <v>0</v>
      </c>
      <c r="M592" s="83"/>
      <c r="N592" s="84"/>
      <c r="O592" s="89"/>
      <c r="P592" s="66" t="s">
        <v>112</v>
      </c>
      <c r="Q592" s="22"/>
      <c r="R592" s="22"/>
      <c r="S592" s="22"/>
      <c r="T592" s="74"/>
      <c r="U592" s="6"/>
      <c r="V592" s="74"/>
    </row>
    <row r="593" ht="22.5" customHeight="1">
      <c r="A593" s="6"/>
      <c r="C593" s="6"/>
      <c r="D593" s="22"/>
      <c r="E593" s="20"/>
      <c r="F593" s="21"/>
      <c r="G593" s="21"/>
      <c r="H593" s="21"/>
      <c r="I593" s="35" t="b">
        <v>0</v>
      </c>
      <c r="J593" s="35" t="b">
        <v>0</v>
      </c>
      <c r="K593" s="35" t="b">
        <v>0</v>
      </c>
      <c r="L593" s="82" t="b">
        <v>0</v>
      </c>
      <c r="M593" s="83"/>
      <c r="N593" s="84"/>
      <c r="O593" s="89"/>
      <c r="P593" s="66" t="s">
        <v>112</v>
      </c>
      <c r="Q593" s="22"/>
      <c r="R593" s="22"/>
      <c r="S593" s="22"/>
      <c r="T593" s="74"/>
      <c r="U593" s="6"/>
      <c r="V593" s="74"/>
    </row>
    <row r="594" ht="22.5" customHeight="1">
      <c r="A594" s="6"/>
      <c r="C594" s="6"/>
      <c r="D594" s="22"/>
      <c r="E594" s="20"/>
      <c r="F594" s="21"/>
      <c r="G594" s="21"/>
      <c r="H594" s="21"/>
      <c r="I594" s="35" t="b">
        <v>0</v>
      </c>
      <c r="J594" s="35" t="b">
        <v>0</v>
      </c>
      <c r="K594" s="35" t="b">
        <v>0</v>
      </c>
      <c r="L594" s="82" t="b">
        <v>0</v>
      </c>
      <c r="M594" s="83"/>
      <c r="N594" s="84"/>
      <c r="O594" s="89"/>
      <c r="P594" s="66" t="s">
        <v>112</v>
      </c>
      <c r="Q594" s="22"/>
      <c r="R594" s="22"/>
      <c r="S594" s="22"/>
      <c r="T594" s="74"/>
      <c r="U594" s="6"/>
      <c r="V594" s="74"/>
    </row>
    <row r="595" ht="22.5" customHeight="1">
      <c r="A595" s="6"/>
      <c r="C595" s="6"/>
      <c r="D595" s="22"/>
      <c r="E595" s="20"/>
      <c r="F595" s="21"/>
      <c r="G595" s="21"/>
      <c r="H595" s="21"/>
      <c r="I595" s="35" t="b">
        <v>0</v>
      </c>
      <c r="J595" s="35" t="b">
        <v>0</v>
      </c>
      <c r="K595" s="35" t="b">
        <v>0</v>
      </c>
      <c r="L595" s="82" t="b">
        <v>0</v>
      </c>
      <c r="M595" s="83"/>
      <c r="N595" s="84"/>
      <c r="O595" s="89"/>
      <c r="P595" s="66" t="s">
        <v>112</v>
      </c>
      <c r="Q595" s="22"/>
      <c r="R595" s="22"/>
      <c r="S595" s="22"/>
      <c r="T595" s="74"/>
      <c r="U595" s="6"/>
      <c r="V595" s="74"/>
    </row>
    <row r="596" ht="22.5" customHeight="1">
      <c r="A596" s="6"/>
      <c r="C596" s="6"/>
      <c r="D596" s="22"/>
      <c r="E596" s="20"/>
      <c r="F596" s="21"/>
      <c r="G596" s="21"/>
      <c r="H596" s="21"/>
      <c r="I596" s="35" t="b">
        <v>0</v>
      </c>
      <c r="J596" s="35" t="b">
        <v>0</v>
      </c>
      <c r="K596" s="35" t="b">
        <v>0</v>
      </c>
      <c r="L596" s="82" t="b">
        <v>0</v>
      </c>
      <c r="M596" s="83"/>
      <c r="N596" s="84"/>
      <c r="O596" s="89"/>
      <c r="P596" s="66" t="s">
        <v>112</v>
      </c>
      <c r="Q596" s="22"/>
      <c r="R596" s="22"/>
      <c r="S596" s="22"/>
      <c r="T596" s="74"/>
      <c r="U596" s="6"/>
      <c r="V596" s="74"/>
    </row>
    <row r="597" ht="22.5" customHeight="1">
      <c r="A597" s="6"/>
      <c r="C597" s="6"/>
      <c r="D597" s="22"/>
      <c r="E597" s="20"/>
      <c r="F597" s="21"/>
      <c r="G597" s="21"/>
      <c r="H597" s="21"/>
      <c r="I597" s="35" t="b">
        <v>0</v>
      </c>
      <c r="J597" s="35" t="b">
        <v>0</v>
      </c>
      <c r="K597" s="35" t="b">
        <v>0</v>
      </c>
      <c r="L597" s="82" t="b">
        <v>0</v>
      </c>
      <c r="M597" s="83"/>
      <c r="N597" s="84"/>
      <c r="O597" s="89"/>
      <c r="P597" s="66" t="s">
        <v>112</v>
      </c>
      <c r="Q597" s="22"/>
      <c r="R597" s="22"/>
      <c r="S597" s="22"/>
      <c r="T597" s="74"/>
      <c r="U597" s="6"/>
      <c r="V597" s="74"/>
    </row>
    <row r="598" ht="22.5" customHeight="1">
      <c r="A598" s="6"/>
      <c r="C598" s="6"/>
      <c r="D598" s="22"/>
      <c r="E598" s="20"/>
      <c r="F598" s="21"/>
      <c r="G598" s="21"/>
      <c r="H598" s="21"/>
      <c r="I598" s="35" t="b">
        <v>0</v>
      </c>
      <c r="J598" s="35" t="b">
        <v>0</v>
      </c>
      <c r="K598" s="35" t="b">
        <v>0</v>
      </c>
      <c r="L598" s="82" t="b">
        <v>0</v>
      </c>
      <c r="M598" s="83"/>
      <c r="N598" s="84"/>
      <c r="O598" s="89"/>
      <c r="P598" s="66" t="s">
        <v>112</v>
      </c>
      <c r="Q598" s="22"/>
      <c r="R598" s="22"/>
      <c r="S598" s="22"/>
      <c r="T598" s="74"/>
      <c r="U598" s="6"/>
      <c r="V598" s="74"/>
    </row>
    <row r="599" ht="22.5" customHeight="1">
      <c r="A599" s="6"/>
      <c r="C599" s="6"/>
      <c r="D599" s="22"/>
      <c r="E599" s="20"/>
      <c r="F599" s="21"/>
      <c r="G599" s="21"/>
      <c r="H599" s="21"/>
      <c r="I599" s="35" t="b">
        <v>0</v>
      </c>
      <c r="J599" s="35" t="b">
        <v>0</v>
      </c>
      <c r="K599" s="35" t="b">
        <v>0</v>
      </c>
      <c r="L599" s="82" t="b">
        <v>0</v>
      </c>
      <c r="M599" s="83"/>
      <c r="N599" s="84"/>
      <c r="O599" s="89"/>
      <c r="P599" s="66" t="s">
        <v>112</v>
      </c>
      <c r="Q599" s="22"/>
      <c r="R599" s="22"/>
      <c r="S599" s="22"/>
      <c r="T599" s="74"/>
      <c r="U599" s="6"/>
      <c r="V599" s="74"/>
    </row>
    <row r="600" ht="22.5" customHeight="1">
      <c r="A600" s="6"/>
      <c r="C600" s="6"/>
      <c r="D600" s="22"/>
      <c r="E600" s="20"/>
      <c r="F600" s="21"/>
      <c r="G600" s="21"/>
      <c r="H600" s="21"/>
      <c r="I600" s="35" t="b">
        <v>0</v>
      </c>
      <c r="J600" s="35" t="b">
        <v>0</v>
      </c>
      <c r="K600" s="35" t="b">
        <v>0</v>
      </c>
      <c r="L600" s="82" t="b">
        <v>0</v>
      </c>
      <c r="M600" s="83"/>
      <c r="N600" s="84"/>
      <c r="O600" s="89"/>
      <c r="P600" s="66" t="s">
        <v>112</v>
      </c>
      <c r="Q600" s="22"/>
      <c r="R600" s="22"/>
      <c r="S600" s="22"/>
      <c r="T600" s="74"/>
      <c r="U600" s="6"/>
      <c r="V600" s="74"/>
    </row>
    <row r="601" ht="22.5" customHeight="1">
      <c r="A601" s="6"/>
      <c r="C601" s="6"/>
      <c r="D601" s="22"/>
      <c r="E601" s="20"/>
      <c r="F601" s="21"/>
      <c r="G601" s="21"/>
      <c r="H601" s="21"/>
      <c r="I601" s="35" t="b">
        <v>0</v>
      </c>
      <c r="J601" s="35" t="b">
        <v>0</v>
      </c>
      <c r="K601" s="35" t="b">
        <v>0</v>
      </c>
      <c r="L601" s="82" t="b">
        <v>0</v>
      </c>
      <c r="M601" s="83"/>
      <c r="N601" s="84"/>
      <c r="O601" s="89"/>
      <c r="P601" s="66" t="s">
        <v>112</v>
      </c>
      <c r="Q601" s="22"/>
      <c r="R601" s="22"/>
      <c r="S601" s="22"/>
      <c r="T601" s="74"/>
      <c r="U601" s="6"/>
      <c r="V601" s="74"/>
    </row>
    <row r="602" ht="22.5" customHeight="1">
      <c r="A602" s="6"/>
      <c r="C602" s="6"/>
      <c r="D602" s="22"/>
      <c r="E602" s="20"/>
      <c r="F602" s="21"/>
      <c r="G602" s="21"/>
      <c r="H602" s="21"/>
      <c r="I602" s="35" t="b">
        <v>0</v>
      </c>
      <c r="J602" s="35" t="b">
        <v>0</v>
      </c>
      <c r="K602" s="35" t="b">
        <v>0</v>
      </c>
      <c r="L602" s="82" t="b">
        <v>0</v>
      </c>
      <c r="M602" s="83"/>
      <c r="N602" s="84"/>
      <c r="O602" s="89"/>
      <c r="P602" s="66" t="s">
        <v>112</v>
      </c>
      <c r="Q602" s="22"/>
      <c r="R602" s="22"/>
      <c r="S602" s="22"/>
      <c r="T602" s="74"/>
      <c r="U602" s="6"/>
      <c r="V602" s="74"/>
    </row>
    <row r="603" ht="22.5" customHeight="1">
      <c r="A603" s="6"/>
      <c r="C603" s="6"/>
      <c r="D603" s="22"/>
      <c r="E603" s="20"/>
      <c r="F603" s="21"/>
      <c r="G603" s="21"/>
      <c r="H603" s="21"/>
      <c r="I603" s="35" t="b">
        <v>0</v>
      </c>
      <c r="J603" s="35" t="b">
        <v>0</v>
      </c>
      <c r="K603" s="35" t="b">
        <v>0</v>
      </c>
      <c r="L603" s="82" t="b">
        <v>0</v>
      </c>
      <c r="M603" s="83"/>
      <c r="N603" s="84"/>
      <c r="O603" s="89"/>
      <c r="P603" s="66" t="s">
        <v>112</v>
      </c>
      <c r="Q603" s="22"/>
      <c r="R603" s="22"/>
      <c r="S603" s="22"/>
      <c r="T603" s="74"/>
      <c r="U603" s="6"/>
      <c r="V603" s="74"/>
    </row>
    <row r="604" ht="22.5" customHeight="1">
      <c r="A604" s="6"/>
      <c r="C604" s="6"/>
      <c r="D604" s="22"/>
      <c r="E604" s="20"/>
      <c r="F604" s="21"/>
      <c r="G604" s="21"/>
      <c r="H604" s="21"/>
      <c r="I604" s="35" t="b">
        <v>0</v>
      </c>
      <c r="J604" s="35" t="b">
        <v>0</v>
      </c>
      <c r="K604" s="35" t="b">
        <v>0</v>
      </c>
      <c r="L604" s="82" t="b">
        <v>0</v>
      </c>
      <c r="M604" s="83"/>
      <c r="N604" s="84"/>
      <c r="O604" s="89"/>
      <c r="P604" s="66" t="s">
        <v>112</v>
      </c>
      <c r="Q604" s="22"/>
      <c r="R604" s="22"/>
      <c r="S604" s="22"/>
      <c r="T604" s="74"/>
      <c r="U604" s="6"/>
      <c r="V604" s="74"/>
    </row>
    <row r="605" ht="22.5" customHeight="1">
      <c r="A605" s="6"/>
      <c r="C605" s="6"/>
      <c r="D605" s="22"/>
      <c r="E605" s="20"/>
      <c r="F605" s="21"/>
      <c r="G605" s="21"/>
      <c r="H605" s="21"/>
      <c r="I605" s="35" t="b">
        <v>0</v>
      </c>
      <c r="J605" s="35" t="b">
        <v>0</v>
      </c>
      <c r="K605" s="35" t="b">
        <v>0</v>
      </c>
      <c r="L605" s="82" t="b">
        <v>0</v>
      </c>
      <c r="M605" s="83"/>
      <c r="N605" s="84"/>
      <c r="O605" s="89"/>
      <c r="P605" s="66" t="s">
        <v>112</v>
      </c>
      <c r="Q605" s="22"/>
      <c r="R605" s="22"/>
      <c r="S605" s="22"/>
      <c r="T605" s="74"/>
      <c r="U605" s="6"/>
      <c r="V605" s="74"/>
    </row>
    <row r="606" ht="22.5" customHeight="1">
      <c r="A606" s="6"/>
      <c r="C606" s="6"/>
      <c r="D606" s="22"/>
      <c r="E606" s="20"/>
      <c r="F606" s="21"/>
      <c r="G606" s="21"/>
      <c r="H606" s="21"/>
      <c r="I606" s="35" t="b">
        <v>0</v>
      </c>
      <c r="J606" s="35" t="b">
        <v>0</v>
      </c>
      <c r="K606" s="35" t="b">
        <v>0</v>
      </c>
      <c r="L606" s="82" t="b">
        <v>0</v>
      </c>
      <c r="M606" s="83"/>
      <c r="N606" s="84"/>
      <c r="O606" s="89"/>
      <c r="P606" s="66" t="s">
        <v>112</v>
      </c>
      <c r="Q606" s="22"/>
      <c r="R606" s="22"/>
      <c r="S606" s="22"/>
      <c r="T606" s="74"/>
      <c r="U606" s="6"/>
      <c r="V606" s="74"/>
    </row>
    <row r="607" ht="22.5" customHeight="1">
      <c r="A607" s="6"/>
      <c r="C607" s="6"/>
      <c r="D607" s="22"/>
      <c r="E607" s="20"/>
      <c r="F607" s="21"/>
      <c r="G607" s="21"/>
      <c r="H607" s="21"/>
      <c r="I607" s="35" t="b">
        <v>0</v>
      </c>
      <c r="J607" s="35" t="b">
        <v>0</v>
      </c>
      <c r="K607" s="35" t="b">
        <v>0</v>
      </c>
      <c r="L607" s="82" t="b">
        <v>0</v>
      </c>
      <c r="M607" s="83"/>
      <c r="N607" s="84"/>
      <c r="O607" s="89"/>
      <c r="P607" s="66" t="s">
        <v>112</v>
      </c>
      <c r="Q607" s="22"/>
      <c r="R607" s="22"/>
      <c r="S607" s="22"/>
      <c r="T607" s="74"/>
      <c r="U607" s="6"/>
      <c r="V607" s="74"/>
    </row>
    <row r="608" ht="22.5" customHeight="1">
      <c r="A608" s="6"/>
      <c r="C608" s="6"/>
      <c r="D608" s="22"/>
      <c r="E608" s="20"/>
      <c r="F608" s="21"/>
      <c r="G608" s="21"/>
      <c r="H608" s="21"/>
      <c r="I608" s="35" t="b">
        <v>0</v>
      </c>
      <c r="J608" s="35" t="b">
        <v>0</v>
      </c>
      <c r="K608" s="35" t="b">
        <v>0</v>
      </c>
      <c r="L608" s="82" t="b">
        <v>0</v>
      </c>
      <c r="M608" s="83"/>
      <c r="N608" s="84"/>
      <c r="O608" s="89"/>
      <c r="P608" s="66" t="s">
        <v>112</v>
      </c>
      <c r="Q608" s="22"/>
      <c r="R608" s="22"/>
      <c r="S608" s="22"/>
      <c r="T608" s="74"/>
      <c r="U608" s="6"/>
      <c r="V608" s="74"/>
    </row>
    <row r="609" ht="22.5" customHeight="1">
      <c r="A609" s="6"/>
      <c r="C609" s="6"/>
      <c r="D609" s="22"/>
      <c r="E609" s="20"/>
      <c r="F609" s="21"/>
      <c r="G609" s="21"/>
      <c r="H609" s="21"/>
      <c r="I609" s="35" t="b">
        <v>0</v>
      </c>
      <c r="J609" s="35" t="b">
        <v>0</v>
      </c>
      <c r="K609" s="35" t="b">
        <v>0</v>
      </c>
      <c r="L609" s="82" t="b">
        <v>0</v>
      </c>
      <c r="M609" s="83"/>
      <c r="N609" s="84"/>
      <c r="O609" s="89"/>
      <c r="P609" s="66" t="s">
        <v>112</v>
      </c>
      <c r="Q609" s="22"/>
      <c r="R609" s="22"/>
      <c r="S609" s="22"/>
      <c r="T609" s="74"/>
      <c r="U609" s="6"/>
      <c r="V609" s="74"/>
    </row>
    <row r="610" ht="22.5" customHeight="1">
      <c r="A610" s="6"/>
      <c r="C610" s="6"/>
      <c r="D610" s="22"/>
      <c r="E610" s="20"/>
      <c r="F610" s="21"/>
      <c r="G610" s="21"/>
      <c r="H610" s="21"/>
      <c r="I610" s="35" t="b">
        <v>0</v>
      </c>
      <c r="J610" s="35" t="b">
        <v>0</v>
      </c>
      <c r="K610" s="35" t="b">
        <v>0</v>
      </c>
      <c r="L610" s="82" t="b">
        <v>0</v>
      </c>
      <c r="M610" s="83"/>
      <c r="N610" s="84"/>
      <c r="O610" s="89"/>
      <c r="P610" s="66" t="s">
        <v>112</v>
      </c>
      <c r="Q610" s="22"/>
      <c r="R610" s="22"/>
      <c r="S610" s="22"/>
      <c r="T610" s="74"/>
      <c r="U610" s="6"/>
      <c r="V610" s="74"/>
    </row>
    <row r="611" ht="22.5" customHeight="1">
      <c r="A611" s="6"/>
      <c r="C611" s="6"/>
      <c r="D611" s="22"/>
      <c r="E611" s="20"/>
      <c r="F611" s="21"/>
      <c r="G611" s="21"/>
      <c r="H611" s="21"/>
      <c r="I611" s="35" t="b">
        <v>0</v>
      </c>
      <c r="J611" s="35" t="b">
        <v>0</v>
      </c>
      <c r="K611" s="35" t="b">
        <v>0</v>
      </c>
      <c r="L611" s="82" t="b">
        <v>0</v>
      </c>
      <c r="M611" s="83"/>
      <c r="N611" s="84"/>
      <c r="O611" s="89"/>
      <c r="P611" s="66" t="s">
        <v>112</v>
      </c>
      <c r="Q611" s="22"/>
      <c r="R611" s="22"/>
      <c r="S611" s="22"/>
      <c r="T611" s="74"/>
      <c r="U611" s="6"/>
      <c r="V611" s="74"/>
    </row>
    <row r="612" ht="22.5" customHeight="1">
      <c r="A612" s="6"/>
      <c r="C612" s="6"/>
      <c r="D612" s="22"/>
      <c r="E612" s="20"/>
      <c r="F612" s="21"/>
      <c r="G612" s="21"/>
      <c r="H612" s="21"/>
      <c r="I612" s="35" t="b">
        <v>0</v>
      </c>
      <c r="J612" s="35" t="b">
        <v>0</v>
      </c>
      <c r="K612" s="35" t="b">
        <v>0</v>
      </c>
      <c r="L612" s="82" t="b">
        <v>0</v>
      </c>
      <c r="M612" s="83"/>
      <c r="N612" s="84"/>
      <c r="O612" s="89"/>
      <c r="P612" s="66" t="s">
        <v>112</v>
      </c>
      <c r="Q612" s="22"/>
      <c r="R612" s="22"/>
      <c r="S612" s="22"/>
      <c r="T612" s="74"/>
      <c r="U612" s="6"/>
      <c r="V612" s="74"/>
    </row>
    <row r="613" ht="22.5" customHeight="1">
      <c r="A613" s="6"/>
      <c r="C613" s="6"/>
      <c r="D613" s="22"/>
      <c r="E613" s="20"/>
      <c r="F613" s="21"/>
      <c r="G613" s="21"/>
      <c r="H613" s="21"/>
      <c r="I613" s="35" t="b">
        <v>0</v>
      </c>
      <c r="J613" s="35" t="b">
        <v>0</v>
      </c>
      <c r="K613" s="35" t="b">
        <v>0</v>
      </c>
      <c r="L613" s="82" t="b">
        <v>0</v>
      </c>
      <c r="M613" s="83"/>
      <c r="N613" s="84"/>
      <c r="O613" s="89"/>
      <c r="P613" s="66" t="s">
        <v>112</v>
      </c>
      <c r="Q613" s="22"/>
      <c r="R613" s="22"/>
      <c r="S613" s="22"/>
      <c r="T613" s="74"/>
      <c r="U613" s="6"/>
      <c r="V613" s="74"/>
    </row>
    <row r="614" ht="22.5" customHeight="1">
      <c r="A614" s="6"/>
      <c r="C614" s="6"/>
      <c r="D614" s="22"/>
      <c r="E614" s="20"/>
      <c r="F614" s="21"/>
      <c r="G614" s="21"/>
      <c r="H614" s="21"/>
      <c r="I614" s="35" t="b">
        <v>0</v>
      </c>
      <c r="J614" s="35" t="b">
        <v>0</v>
      </c>
      <c r="K614" s="35" t="b">
        <v>0</v>
      </c>
      <c r="L614" s="82" t="b">
        <v>0</v>
      </c>
      <c r="M614" s="83"/>
      <c r="N614" s="84"/>
      <c r="O614" s="89"/>
      <c r="P614" s="66" t="s">
        <v>112</v>
      </c>
      <c r="Q614" s="22"/>
      <c r="R614" s="22"/>
      <c r="S614" s="22"/>
      <c r="T614" s="74"/>
      <c r="U614" s="6"/>
      <c r="V614" s="74"/>
    </row>
    <row r="615" ht="22.5" customHeight="1">
      <c r="A615" s="6"/>
      <c r="C615" s="6"/>
      <c r="D615" s="22"/>
      <c r="E615" s="20"/>
      <c r="F615" s="21"/>
      <c r="G615" s="21"/>
      <c r="H615" s="21"/>
      <c r="I615" s="35" t="b">
        <v>0</v>
      </c>
      <c r="J615" s="35" t="b">
        <v>0</v>
      </c>
      <c r="K615" s="35" t="b">
        <v>0</v>
      </c>
      <c r="L615" s="82" t="b">
        <v>0</v>
      </c>
      <c r="M615" s="83"/>
      <c r="N615" s="84"/>
      <c r="O615" s="89"/>
      <c r="P615" s="66" t="s">
        <v>112</v>
      </c>
      <c r="Q615" s="22"/>
      <c r="R615" s="22"/>
      <c r="S615" s="22"/>
      <c r="T615" s="74"/>
      <c r="U615" s="6"/>
      <c r="V615" s="74"/>
    </row>
    <row r="616" ht="22.5" customHeight="1">
      <c r="A616" s="6"/>
      <c r="C616" s="6"/>
      <c r="D616" s="22"/>
      <c r="E616" s="20"/>
      <c r="F616" s="21"/>
      <c r="G616" s="21"/>
      <c r="H616" s="21"/>
      <c r="I616" s="35" t="b">
        <v>0</v>
      </c>
      <c r="J616" s="35" t="b">
        <v>0</v>
      </c>
      <c r="K616" s="35" t="b">
        <v>0</v>
      </c>
      <c r="L616" s="82" t="b">
        <v>0</v>
      </c>
      <c r="M616" s="83"/>
      <c r="N616" s="84"/>
      <c r="O616" s="89"/>
      <c r="P616" s="66" t="s">
        <v>112</v>
      </c>
      <c r="Q616" s="22"/>
      <c r="R616" s="22"/>
      <c r="S616" s="22"/>
      <c r="T616" s="74"/>
      <c r="U616" s="6"/>
      <c r="V616" s="74"/>
    </row>
    <row r="617" ht="22.5" customHeight="1">
      <c r="A617" s="6"/>
      <c r="C617" s="6"/>
      <c r="D617" s="22"/>
      <c r="E617" s="20"/>
      <c r="F617" s="21"/>
      <c r="G617" s="21"/>
      <c r="H617" s="21"/>
      <c r="I617" s="35" t="b">
        <v>0</v>
      </c>
      <c r="J617" s="35" t="b">
        <v>0</v>
      </c>
      <c r="K617" s="35" t="b">
        <v>0</v>
      </c>
      <c r="L617" s="82" t="b">
        <v>0</v>
      </c>
      <c r="M617" s="83"/>
      <c r="N617" s="84"/>
      <c r="O617" s="89"/>
      <c r="P617" s="66" t="s">
        <v>112</v>
      </c>
      <c r="Q617" s="22"/>
      <c r="R617" s="22"/>
      <c r="S617" s="22"/>
      <c r="T617" s="74"/>
      <c r="U617" s="6"/>
      <c r="V617" s="74"/>
    </row>
    <row r="618" ht="22.5" customHeight="1">
      <c r="A618" s="6"/>
      <c r="C618" s="6"/>
      <c r="D618" s="22"/>
      <c r="E618" s="20"/>
      <c r="F618" s="21"/>
      <c r="G618" s="21"/>
      <c r="H618" s="21"/>
      <c r="I618" s="35" t="b">
        <v>0</v>
      </c>
      <c r="J618" s="35" t="b">
        <v>0</v>
      </c>
      <c r="K618" s="35" t="b">
        <v>0</v>
      </c>
      <c r="L618" s="82" t="b">
        <v>0</v>
      </c>
      <c r="M618" s="83"/>
      <c r="N618" s="84"/>
      <c r="O618" s="89"/>
      <c r="P618" s="66" t="s">
        <v>112</v>
      </c>
      <c r="Q618" s="22"/>
      <c r="R618" s="22"/>
      <c r="S618" s="22"/>
      <c r="T618" s="74"/>
      <c r="U618" s="6"/>
      <c r="V618" s="74"/>
    </row>
    <row r="619" ht="22.5" customHeight="1">
      <c r="A619" s="6"/>
      <c r="C619" s="6"/>
      <c r="D619" s="22"/>
      <c r="E619" s="20"/>
      <c r="F619" s="21"/>
      <c r="G619" s="21"/>
      <c r="H619" s="21"/>
      <c r="I619" s="35" t="b">
        <v>0</v>
      </c>
      <c r="J619" s="35" t="b">
        <v>0</v>
      </c>
      <c r="K619" s="35" t="b">
        <v>0</v>
      </c>
      <c r="L619" s="82" t="b">
        <v>0</v>
      </c>
      <c r="M619" s="83"/>
      <c r="N619" s="84"/>
      <c r="O619" s="89"/>
      <c r="P619" s="66" t="s">
        <v>112</v>
      </c>
      <c r="Q619" s="22"/>
      <c r="R619" s="22"/>
      <c r="S619" s="22"/>
      <c r="T619" s="74"/>
      <c r="U619" s="6"/>
      <c r="V619" s="74"/>
    </row>
    <row r="620" ht="22.5" customHeight="1">
      <c r="A620" s="6"/>
      <c r="C620" s="6"/>
      <c r="D620" s="22"/>
      <c r="E620" s="20"/>
      <c r="F620" s="21"/>
      <c r="G620" s="21"/>
      <c r="H620" s="21"/>
      <c r="I620" s="35" t="b">
        <v>0</v>
      </c>
      <c r="J620" s="35" t="b">
        <v>0</v>
      </c>
      <c r="K620" s="35" t="b">
        <v>0</v>
      </c>
      <c r="L620" s="82" t="b">
        <v>0</v>
      </c>
      <c r="M620" s="83"/>
      <c r="N620" s="84"/>
      <c r="O620" s="89"/>
      <c r="P620" s="66" t="s">
        <v>112</v>
      </c>
      <c r="Q620" s="22"/>
      <c r="R620" s="22"/>
      <c r="S620" s="22"/>
      <c r="T620" s="74"/>
      <c r="U620" s="6"/>
      <c r="V620" s="74"/>
    </row>
    <row r="621" ht="22.5" customHeight="1">
      <c r="A621" s="6"/>
      <c r="C621" s="6"/>
      <c r="D621" s="22"/>
      <c r="E621" s="20"/>
      <c r="F621" s="21"/>
      <c r="G621" s="21"/>
      <c r="H621" s="21"/>
      <c r="I621" s="35" t="b">
        <v>0</v>
      </c>
      <c r="J621" s="35" t="b">
        <v>0</v>
      </c>
      <c r="K621" s="35" t="b">
        <v>0</v>
      </c>
      <c r="L621" s="82" t="b">
        <v>0</v>
      </c>
      <c r="M621" s="83"/>
      <c r="N621" s="84"/>
      <c r="O621" s="89"/>
      <c r="P621" s="66" t="s">
        <v>112</v>
      </c>
      <c r="Q621" s="22"/>
      <c r="R621" s="22"/>
      <c r="S621" s="22"/>
      <c r="T621" s="74"/>
      <c r="U621" s="6"/>
      <c r="V621" s="74"/>
    </row>
    <row r="622" ht="22.5" customHeight="1">
      <c r="A622" s="6"/>
      <c r="C622" s="6"/>
      <c r="D622" s="22"/>
      <c r="E622" s="20"/>
      <c r="F622" s="21"/>
      <c r="G622" s="21"/>
      <c r="H622" s="21"/>
      <c r="I622" s="35" t="b">
        <v>0</v>
      </c>
      <c r="J622" s="35" t="b">
        <v>0</v>
      </c>
      <c r="K622" s="35" t="b">
        <v>0</v>
      </c>
      <c r="L622" s="82" t="b">
        <v>0</v>
      </c>
      <c r="M622" s="83"/>
      <c r="N622" s="84"/>
      <c r="O622" s="89"/>
      <c r="P622" s="66" t="s">
        <v>112</v>
      </c>
      <c r="Q622" s="22"/>
      <c r="R622" s="22"/>
      <c r="S622" s="22"/>
      <c r="T622" s="74"/>
      <c r="U622" s="6"/>
      <c r="V622" s="74"/>
    </row>
    <row r="623" ht="22.5" customHeight="1">
      <c r="A623" s="6"/>
      <c r="C623" s="6"/>
      <c r="D623" s="22"/>
      <c r="E623" s="20"/>
      <c r="F623" s="21"/>
      <c r="G623" s="21"/>
      <c r="H623" s="21"/>
      <c r="I623" s="35" t="b">
        <v>0</v>
      </c>
      <c r="J623" s="35" t="b">
        <v>0</v>
      </c>
      <c r="K623" s="35" t="b">
        <v>0</v>
      </c>
      <c r="L623" s="82" t="b">
        <v>0</v>
      </c>
      <c r="M623" s="83"/>
      <c r="N623" s="84"/>
      <c r="O623" s="89"/>
      <c r="P623" s="66" t="s">
        <v>112</v>
      </c>
      <c r="Q623" s="22"/>
      <c r="R623" s="22"/>
      <c r="S623" s="22"/>
      <c r="T623" s="74"/>
      <c r="U623" s="6"/>
      <c r="V623" s="74"/>
    </row>
    <row r="624" ht="22.5" customHeight="1">
      <c r="A624" s="6"/>
      <c r="C624" s="6"/>
      <c r="D624" s="22"/>
      <c r="E624" s="20"/>
      <c r="F624" s="21"/>
      <c r="G624" s="21"/>
      <c r="H624" s="21"/>
      <c r="I624" s="35" t="b">
        <v>0</v>
      </c>
      <c r="J624" s="35" t="b">
        <v>0</v>
      </c>
      <c r="K624" s="35" t="b">
        <v>0</v>
      </c>
      <c r="L624" s="82" t="b">
        <v>0</v>
      </c>
      <c r="M624" s="83"/>
      <c r="N624" s="84"/>
      <c r="O624" s="89"/>
      <c r="P624" s="66" t="s">
        <v>112</v>
      </c>
      <c r="Q624" s="22"/>
      <c r="R624" s="22"/>
      <c r="S624" s="22"/>
      <c r="T624" s="74"/>
      <c r="U624" s="6"/>
      <c r="V624" s="74"/>
    </row>
    <row r="625" ht="22.5" customHeight="1">
      <c r="A625" s="6"/>
      <c r="C625" s="6"/>
      <c r="D625" s="22"/>
      <c r="E625" s="20"/>
      <c r="F625" s="21"/>
      <c r="G625" s="21"/>
      <c r="H625" s="21"/>
      <c r="I625" s="35" t="b">
        <v>0</v>
      </c>
      <c r="J625" s="35" t="b">
        <v>0</v>
      </c>
      <c r="K625" s="35" t="b">
        <v>0</v>
      </c>
      <c r="L625" s="82" t="b">
        <v>0</v>
      </c>
      <c r="M625" s="83"/>
      <c r="N625" s="84"/>
      <c r="O625" s="89"/>
      <c r="P625" s="66" t="s">
        <v>112</v>
      </c>
      <c r="Q625" s="22"/>
      <c r="R625" s="22"/>
      <c r="S625" s="22"/>
      <c r="T625" s="74"/>
      <c r="U625" s="6"/>
      <c r="V625" s="74"/>
    </row>
    <row r="626" ht="22.5" customHeight="1">
      <c r="A626" s="6"/>
      <c r="C626" s="6"/>
      <c r="D626" s="22"/>
      <c r="E626" s="20"/>
      <c r="F626" s="21"/>
      <c r="G626" s="21"/>
      <c r="H626" s="21"/>
      <c r="I626" s="35" t="b">
        <v>0</v>
      </c>
      <c r="J626" s="35" t="b">
        <v>0</v>
      </c>
      <c r="K626" s="35" t="b">
        <v>0</v>
      </c>
      <c r="L626" s="82" t="b">
        <v>0</v>
      </c>
      <c r="M626" s="83"/>
      <c r="N626" s="84"/>
      <c r="O626" s="89"/>
      <c r="P626" s="66" t="s">
        <v>112</v>
      </c>
      <c r="Q626" s="22"/>
      <c r="R626" s="22"/>
      <c r="S626" s="22"/>
      <c r="T626" s="74"/>
      <c r="U626" s="6"/>
      <c r="V626" s="74"/>
    </row>
    <row r="627" ht="22.5" customHeight="1">
      <c r="A627" s="6"/>
      <c r="C627" s="6"/>
      <c r="D627" s="22"/>
      <c r="E627" s="20"/>
      <c r="F627" s="21"/>
      <c r="G627" s="21"/>
      <c r="H627" s="21"/>
      <c r="I627" s="35" t="b">
        <v>0</v>
      </c>
      <c r="J627" s="35" t="b">
        <v>0</v>
      </c>
      <c r="K627" s="35" t="b">
        <v>0</v>
      </c>
      <c r="L627" s="82" t="b">
        <v>0</v>
      </c>
      <c r="M627" s="83"/>
      <c r="N627" s="84"/>
      <c r="O627" s="89"/>
      <c r="P627" s="66" t="s">
        <v>112</v>
      </c>
      <c r="Q627" s="22"/>
      <c r="R627" s="22"/>
      <c r="S627" s="22"/>
      <c r="T627" s="74"/>
      <c r="U627" s="6"/>
      <c r="V627" s="74"/>
    </row>
    <row r="628" ht="22.5" customHeight="1">
      <c r="A628" s="6"/>
      <c r="C628" s="6"/>
      <c r="D628" s="22"/>
      <c r="E628" s="20"/>
      <c r="F628" s="21"/>
      <c r="G628" s="21"/>
      <c r="H628" s="21"/>
      <c r="I628" s="35" t="b">
        <v>0</v>
      </c>
      <c r="J628" s="35" t="b">
        <v>0</v>
      </c>
      <c r="K628" s="35" t="b">
        <v>0</v>
      </c>
      <c r="L628" s="82" t="b">
        <v>0</v>
      </c>
      <c r="M628" s="83"/>
      <c r="N628" s="84"/>
      <c r="O628" s="89"/>
      <c r="P628" s="66" t="s">
        <v>112</v>
      </c>
      <c r="Q628" s="22"/>
      <c r="R628" s="22"/>
      <c r="S628" s="22"/>
      <c r="T628" s="74"/>
      <c r="U628" s="6"/>
      <c r="V628" s="74"/>
    </row>
    <row r="629" ht="22.5" customHeight="1">
      <c r="A629" s="6"/>
      <c r="C629" s="6"/>
      <c r="D629" s="22"/>
      <c r="E629" s="20"/>
      <c r="F629" s="21"/>
      <c r="G629" s="21"/>
      <c r="H629" s="21"/>
      <c r="I629" s="35" t="b">
        <v>0</v>
      </c>
      <c r="J629" s="35" t="b">
        <v>0</v>
      </c>
      <c r="K629" s="35" t="b">
        <v>0</v>
      </c>
      <c r="L629" s="82" t="b">
        <v>0</v>
      </c>
      <c r="M629" s="83"/>
      <c r="N629" s="84"/>
      <c r="O629" s="89"/>
      <c r="P629" s="66" t="s">
        <v>112</v>
      </c>
      <c r="Q629" s="22"/>
      <c r="R629" s="22"/>
      <c r="S629" s="22"/>
      <c r="T629" s="74"/>
      <c r="U629" s="6"/>
      <c r="V629" s="74"/>
    </row>
    <row r="630" ht="22.5" customHeight="1">
      <c r="A630" s="6"/>
      <c r="C630" s="6"/>
      <c r="D630" s="22"/>
      <c r="E630" s="20"/>
      <c r="F630" s="21"/>
      <c r="G630" s="21"/>
      <c r="H630" s="21"/>
      <c r="I630" s="35" t="b">
        <v>0</v>
      </c>
      <c r="J630" s="35" t="b">
        <v>0</v>
      </c>
      <c r="K630" s="35" t="b">
        <v>0</v>
      </c>
      <c r="L630" s="82" t="b">
        <v>0</v>
      </c>
      <c r="M630" s="83"/>
      <c r="N630" s="84"/>
      <c r="O630" s="89"/>
      <c r="P630" s="66" t="s">
        <v>112</v>
      </c>
      <c r="Q630" s="22"/>
      <c r="R630" s="22"/>
      <c r="S630" s="22"/>
      <c r="T630" s="74"/>
      <c r="U630" s="6"/>
      <c r="V630" s="74"/>
    </row>
    <row r="631" ht="22.5" customHeight="1">
      <c r="A631" s="6"/>
      <c r="C631" s="6"/>
      <c r="D631" s="22"/>
      <c r="E631" s="20"/>
      <c r="F631" s="21"/>
      <c r="G631" s="21"/>
      <c r="H631" s="21"/>
      <c r="I631" s="35" t="b">
        <v>0</v>
      </c>
      <c r="J631" s="35" t="b">
        <v>0</v>
      </c>
      <c r="K631" s="35" t="b">
        <v>0</v>
      </c>
      <c r="L631" s="82" t="b">
        <v>0</v>
      </c>
      <c r="M631" s="83"/>
      <c r="N631" s="84"/>
      <c r="O631" s="89"/>
      <c r="P631" s="66" t="s">
        <v>112</v>
      </c>
      <c r="Q631" s="22"/>
      <c r="R631" s="22"/>
      <c r="S631" s="22"/>
      <c r="T631" s="74"/>
      <c r="U631" s="6"/>
      <c r="V631" s="74"/>
    </row>
    <row r="632" ht="22.5" customHeight="1">
      <c r="A632" s="6"/>
      <c r="C632" s="6"/>
      <c r="D632" s="22"/>
      <c r="E632" s="20"/>
      <c r="F632" s="21"/>
      <c r="G632" s="21"/>
      <c r="H632" s="21"/>
      <c r="I632" s="35" t="b">
        <v>0</v>
      </c>
      <c r="J632" s="35" t="b">
        <v>0</v>
      </c>
      <c r="K632" s="35" t="b">
        <v>0</v>
      </c>
      <c r="L632" s="82" t="b">
        <v>0</v>
      </c>
      <c r="M632" s="83"/>
      <c r="N632" s="84"/>
      <c r="O632" s="89"/>
      <c r="P632" s="66" t="s">
        <v>112</v>
      </c>
      <c r="Q632" s="22"/>
      <c r="R632" s="22"/>
      <c r="S632" s="22"/>
      <c r="T632" s="74"/>
      <c r="U632" s="6"/>
      <c r="V632" s="74"/>
    </row>
    <row r="633" ht="22.5" customHeight="1">
      <c r="A633" s="6"/>
      <c r="C633" s="6"/>
      <c r="D633" s="22"/>
      <c r="E633" s="20"/>
      <c r="F633" s="21"/>
      <c r="G633" s="21"/>
      <c r="H633" s="21"/>
      <c r="I633" s="35" t="b">
        <v>0</v>
      </c>
      <c r="J633" s="35" t="b">
        <v>0</v>
      </c>
      <c r="K633" s="35" t="b">
        <v>0</v>
      </c>
      <c r="L633" s="82" t="b">
        <v>0</v>
      </c>
      <c r="M633" s="83"/>
      <c r="N633" s="84"/>
      <c r="O633" s="89"/>
      <c r="P633" s="66" t="s">
        <v>112</v>
      </c>
      <c r="Q633" s="22"/>
      <c r="R633" s="22"/>
      <c r="S633" s="22"/>
      <c r="T633" s="74"/>
      <c r="U633" s="6"/>
      <c r="V633" s="74"/>
    </row>
    <row r="634" ht="22.5" customHeight="1">
      <c r="A634" s="6"/>
      <c r="C634" s="6"/>
      <c r="D634" s="22"/>
      <c r="E634" s="20"/>
      <c r="F634" s="21"/>
      <c r="G634" s="21"/>
      <c r="H634" s="21"/>
      <c r="I634" s="35" t="b">
        <v>0</v>
      </c>
      <c r="J634" s="35" t="b">
        <v>0</v>
      </c>
      <c r="K634" s="35" t="b">
        <v>0</v>
      </c>
      <c r="L634" s="82" t="b">
        <v>0</v>
      </c>
      <c r="M634" s="83"/>
      <c r="N634" s="84"/>
      <c r="O634" s="89"/>
      <c r="P634" s="66" t="s">
        <v>112</v>
      </c>
      <c r="Q634" s="22"/>
      <c r="R634" s="22"/>
      <c r="S634" s="22"/>
      <c r="T634" s="74"/>
      <c r="U634" s="6"/>
      <c r="V634" s="74"/>
    </row>
    <row r="635" ht="22.5" customHeight="1">
      <c r="A635" s="6"/>
      <c r="C635" s="6"/>
      <c r="D635" s="22"/>
      <c r="E635" s="20"/>
      <c r="F635" s="21"/>
      <c r="G635" s="21"/>
      <c r="H635" s="21"/>
      <c r="I635" s="35" t="b">
        <v>0</v>
      </c>
      <c r="J635" s="35" t="b">
        <v>0</v>
      </c>
      <c r="K635" s="35" t="b">
        <v>0</v>
      </c>
      <c r="L635" s="82" t="b">
        <v>0</v>
      </c>
      <c r="M635" s="83"/>
      <c r="N635" s="84"/>
      <c r="O635" s="89"/>
      <c r="P635" s="66" t="s">
        <v>112</v>
      </c>
      <c r="Q635" s="22"/>
      <c r="R635" s="22"/>
      <c r="S635" s="22"/>
      <c r="T635" s="74"/>
      <c r="U635" s="6"/>
      <c r="V635" s="74"/>
    </row>
    <row r="636" ht="22.5" customHeight="1">
      <c r="A636" s="6"/>
      <c r="C636" s="6"/>
      <c r="D636" s="22"/>
      <c r="E636" s="20"/>
      <c r="F636" s="21"/>
      <c r="G636" s="21"/>
      <c r="H636" s="21"/>
      <c r="I636" s="35" t="b">
        <v>0</v>
      </c>
      <c r="J636" s="35" t="b">
        <v>0</v>
      </c>
      <c r="K636" s="35" t="b">
        <v>0</v>
      </c>
      <c r="L636" s="82" t="b">
        <v>0</v>
      </c>
      <c r="M636" s="83"/>
      <c r="N636" s="84"/>
      <c r="O636" s="89"/>
      <c r="P636" s="66" t="s">
        <v>112</v>
      </c>
      <c r="Q636" s="22"/>
      <c r="R636" s="22"/>
      <c r="S636" s="22"/>
      <c r="T636" s="74"/>
      <c r="U636" s="6"/>
      <c r="V636" s="74"/>
    </row>
    <row r="637" ht="22.5" customHeight="1">
      <c r="A637" s="6"/>
      <c r="C637" s="6"/>
      <c r="D637" s="22"/>
      <c r="E637" s="20"/>
      <c r="F637" s="21"/>
      <c r="G637" s="21"/>
      <c r="H637" s="21"/>
      <c r="I637" s="35" t="b">
        <v>0</v>
      </c>
      <c r="J637" s="35" t="b">
        <v>0</v>
      </c>
      <c r="K637" s="35" t="b">
        <v>0</v>
      </c>
      <c r="L637" s="82" t="b">
        <v>0</v>
      </c>
      <c r="M637" s="83"/>
      <c r="N637" s="84"/>
      <c r="O637" s="89"/>
      <c r="P637" s="66" t="s">
        <v>112</v>
      </c>
      <c r="Q637" s="22"/>
      <c r="R637" s="22"/>
      <c r="S637" s="22"/>
      <c r="T637" s="74"/>
      <c r="U637" s="6"/>
      <c r="V637" s="74"/>
    </row>
    <row r="638" ht="22.5" customHeight="1">
      <c r="A638" s="6"/>
      <c r="C638" s="6"/>
      <c r="D638" s="22"/>
      <c r="E638" s="20"/>
      <c r="F638" s="21"/>
      <c r="G638" s="21"/>
      <c r="H638" s="21"/>
      <c r="I638" s="35" t="b">
        <v>0</v>
      </c>
      <c r="J638" s="35" t="b">
        <v>0</v>
      </c>
      <c r="K638" s="35" t="b">
        <v>0</v>
      </c>
      <c r="L638" s="82" t="b">
        <v>0</v>
      </c>
      <c r="M638" s="83"/>
      <c r="N638" s="84"/>
      <c r="O638" s="89"/>
      <c r="P638" s="66" t="s">
        <v>112</v>
      </c>
      <c r="Q638" s="22"/>
      <c r="R638" s="22"/>
      <c r="S638" s="22"/>
      <c r="T638" s="74"/>
      <c r="U638" s="6"/>
      <c r="V638" s="74"/>
    </row>
    <row r="639" ht="22.5" customHeight="1">
      <c r="A639" s="6"/>
      <c r="C639" s="6"/>
      <c r="D639" s="22"/>
      <c r="E639" s="20"/>
      <c r="F639" s="21"/>
      <c r="G639" s="21"/>
      <c r="H639" s="21"/>
      <c r="I639" s="35" t="b">
        <v>0</v>
      </c>
      <c r="J639" s="35" t="b">
        <v>0</v>
      </c>
      <c r="K639" s="35" t="b">
        <v>0</v>
      </c>
      <c r="L639" s="82" t="b">
        <v>0</v>
      </c>
      <c r="M639" s="83"/>
      <c r="N639" s="84"/>
      <c r="O639" s="89"/>
      <c r="P639" s="66" t="s">
        <v>112</v>
      </c>
      <c r="Q639" s="22"/>
      <c r="R639" s="22"/>
      <c r="S639" s="22"/>
      <c r="T639" s="74"/>
      <c r="U639" s="6"/>
      <c r="V639" s="74"/>
    </row>
    <row r="640" ht="22.5" customHeight="1">
      <c r="A640" s="6"/>
      <c r="C640" s="6"/>
      <c r="D640" s="22"/>
      <c r="E640" s="20"/>
      <c r="F640" s="21"/>
      <c r="G640" s="21"/>
      <c r="H640" s="21"/>
      <c r="I640" s="35" t="b">
        <v>0</v>
      </c>
      <c r="J640" s="35" t="b">
        <v>0</v>
      </c>
      <c r="K640" s="35" t="b">
        <v>0</v>
      </c>
      <c r="L640" s="82" t="b">
        <v>0</v>
      </c>
      <c r="M640" s="83"/>
      <c r="N640" s="84"/>
      <c r="O640" s="89"/>
      <c r="P640" s="66" t="s">
        <v>112</v>
      </c>
      <c r="Q640" s="22"/>
      <c r="R640" s="22"/>
      <c r="S640" s="22"/>
      <c r="T640" s="74"/>
      <c r="U640" s="6"/>
      <c r="V640" s="74"/>
    </row>
    <row r="641" ht="22.5" customHeight="1">
      <c r="A641" s="6"/>
      <c r="C641" s="6"/>
      <c r="D641" s="22"/>
      <c r="E641" s="20"/>
      <c r="F641" s="21"/>
      <c r="G641" s="21"/>
      <c r="H641" s="21"/>
      <c r="I641" s="35" t="b">
        <v>0</v>
      </c>
      <c r="J641" s="35" t="b">
        <v>0</v>
      </c>
      <c r="K641" s="35" t="b">
        <v>0</v>
      </c>
      <c r="L641" s="82" t="b">
        <v>0</v>
      </c>
      <c r="M641" s="83"/>
      <c r="N641" s="84"/>
      <c r="O641" s="89"/>
      <c r="P641" s="66" t="s">
        <v>112</v>
      </c>
      <c r="Q641" s="22"/>
      <c r="R641" s="22"/>
      <c r="S641" s="22"/>
      <c r="T641" s="74"/>
      <c r="U641" s="6"/>
      <c r="V641" s="74"/>
    </row>
    <row r="642" ht="22.5" customHeight="1">
      <c r="A642" s="6"/>
      <c r="C642" s="6"/>
      <c r="D642" s="22"/>
      <c r="E642" s="20"/>
      <c r="F642" s="21"/>
      <c r="G642" s="21"/>
      <c r="H642" s="21"/>
      <c r="I642" s="35" t="b">
        <v>0</v>
      </c>
      <c r="J642" s="35" t="b">
        <v>0</v>
      </c>
      <c r="K642" s="35" t="b">
        <v>0</v>
      </c>
      <c r="L642" s="82" t="b">
        <v>0</v>
      </c>
      <c r="M642" s="83"/>
      <c r="N642" s="84"/>
      <c r="O642" s="89"/>
      <c r="P642" s="66" t="s">
        <v>112</v>
      </c>
      <c r="Q642" s="22"/>
      <c r="R642" s="22"/>
      <c r="S642" s="22"/>
      <c r="T642" s="74"/>
      <c r="U642" s="6"/>
      <c r="V642" s="74"/>
    </row>
    <row r="643" ht="22.5" customHeight="1">
      <c r="A643" s="6"/>
      <c r="C643" s="6"/>
      <c r="D643" s="22"/>
      <c r="E643" s="20"/>
      <c r="F643" s="21"/>
      <c r="G643" s="21"/>
      <c r="H643" s="21"/>
      <c r="I643" s="35" t="b">
        <v>0</v>
      </c>
      <c r="J643" s="35" t="b">
        <v>0</v>
      </c>
      <c r="K643" s="35" t="b">
        <v>0</v>
      </c>
      <c r="L643" s="82" t="b">
        <v>0</v>
      </c>
      <c r="M643" s="83"/>
      <c r="N643" s="84"/>
      <c r="O643" s="89"/>
      <c r="P643" s="66" t="s">
        <v>112</v>
      </c>
      <c r="Q643" s="22"/>
      <c r="R643" s="22"/>
      <c r="S643" s="22"/>
      <c r="T643" s="74"/>
      <c r="U643" s="6"/>
      <c r="V643" s="74"/>
    </row>
    <row r="644" ht="22.5" customHeight="1">
      <c r="A644" s="6"/>
      <c r="C644" s="6"/>
      <c r="D644" s="22"/>
      <c r="E644" s="20"/>
      <c r="F644" s="21"/>
      <c r="G644" s="21"/>
      <c r="H644" s="21"/>
      <c r="I644" s="35" t="b">
        <v>0</v>
      </c>
      <c r="J644" s="35" t="b">
        <v>0</v>
      </c>
      <c r="K644" s="35" t="b">
        <v>0</v>
      </c>
      <c r="L644" s="82" t="b">
        <v>0</v>
      </c>
      <c r="M644" s="83"/>
      <c r="N644" s="84"/>
      <c r="O644" s="89"/>
      <c r="P644" s="66" t="s">
        <v>112</v>
      </c>
      <c r="Q644" s="22"/>
      <c r="R644" s="22"/>
      <c r="S644" s="22"/>
      <c r="T644" s="74"/>
      <c r="U644" s="6"/>
      <c r="V644" s="74"/>
    </row>
    <row r="645" ht="22.5" customHeight="1">
      <c r="A645" s="6"/>
      <c r="C645" s="6"/>
      <c r="D645" s="22"/>
      <c r="E645" s="20"/>
      <c r="F645" s="21"/>
      <c r="G645" s="21"/>
      <c r="H645" s="21"/>
      <c r="I645" s="35" t="b">
        <v>0</v>
      </c>
      <c r="J645" s="35" t="b">
        <v>0</v>
      </c>
      <c r="K645" s="35" t="b">
        <v>0</v>
      </c>
      <c r="L645" s="82" t="b">
        <v>0</v>
      </c>
      <c r="M645" s="83"/>
      <c r="N645" s="84"/>
      <c r="O645" s="89"/>
      <c r="P645" s="66" t="s">
        <v>112</v>
      </c>
      <c r="Q645" s="22"/>
      <c r="R645" s="22"/>
      <c r="S645" s="22"/>
      <c r="T645" s="74"/>
      <c r="U645" s="6"/>
      <c r="V645" s="74"/>
    </row>
    <row r="646" ht="22.5" customHeight="1">
      <c r="A646" s="6"/>
      <c r="C646" s="6"/>
      <c r="D646" s="22"/>
      <c r="E646" s="20"/>
      <c r="F646" s="21"/>
      <c r="G646" s="21"/>
      <c r="H646" s="21"/>
      <c r="I646" s="35" t="b">
        <v>0</v>
      </c>
      <c r="J646" s="35" t="b">
        <v>0</v>
      </c>
      <c r="K646" s="35" t="b">
        <v>0</v>
      </c>
      <c r="L646" s="82" t="b">
        <v>0</v>
      </c>
      <c r="M646" s="83"/>
      <c r="N646" s="84"/>
      <c r="O646" s="89"/>
      <c r="P646" s="66" t="s">
        <v>112</v>
      </c>
      <c r="Q646" s="22"/>
      <c r="R646" s="22"/>
      <c r="S646" s="22"/>
      <c r="T646" s="74"/>
      <c r="U646" s="6"/>
      <c r="V646" s="74"/>
    </row>
    <row r="647" ht="22.5" customHeight="1">
      <c r="A647" s="6"/>
      <c r="C647" s="6"/>
      <c r="D647" s="22"/>
      <c r="E647" s="20"/>
      <c r="F647" s="21"/>
      <c r="G647" s="21"/>
      <c r="H647" s="21"/>
      <c r="I647" s="35" t="b">
        <v>0</v>
      </c>
      <c r="J647" s="35" t="b">
        <v>0</v>
      </c>
      <c r="K647" s="35" t="b">
        <v>0</v>
      </c>
      <c r="L647" s="82" t="b">
        <v>0</v>
      </c>
      <c r="M647" s="83"/>
      <c r="N647" s="84"/>
      <c r="O647" s="89"/>
      <c r="P647" s="66" t="s">
        <v>112</v>
      </c>
      <c r="Q647" s="22"/>
      <c r="R647" s="22"/>
      <c r="S647" s="22"/>
      <c r="T647" s="74"/>
      <c r="U647" s="6"/>
      <c r="V647" s="74"/>
    </row>
    <row r="648" ht="22.5" customHeight="1">
      <c r="A648" s="6"/>
      <c r="C648" s="6"/>
      <c r="D648" s="22"/>
      <c r="E648" s="20"/>
      <c r="F648" s="21"/>
      <c r="G648" s="21"/>
      <c r="H648" s="21"/>
      <c r="I648" s="35" t="b">
        <v>0</v>
      </c>
      <c r="J648" s="35" t="b">
        <v>0</v>
      </c>
      <c r="K648" s="35" t="b">
        <v>0</v>
      </c>
      <c r="L648" s="82" t="b">
        <v>0</v>
      </c>
      <c r="M648" s="83"/>
      <c r="N648" s="84"/>
      <c r="O648" s="89"/>
      <c r="P648" s="66" t="s">
        <v>112</v>
      </c>
      <c r="Q648" s="22"/>
      <c r="R648" s="22"/>
      <c r="S648" s="22"/>
      <c r="T648" s="74"/>
      <c r="U648" s="6"/>
      <c r="V648" s="74"/>
    </row>
    <row r="649" ht="22.5" customHeight="1">
      <c r="A649" s="6"/>
      <c r="C649" s="6"/>
      <c r="D649" s="22"/>
      <c r="E649" s="20"/>
      <c r="F649" s="21"/>
      <c r="G649" s="21"/>
      <c r="H649" s="21"/>
      <c r="I649" s="35" t="b">
        <v>0</v>
      </c>
      <c r="J649" s="35" t="b">
        <v>0</v>
      </c>
      <c r="K649" s="35" t="b">
        <v>0</v>
      </c>
      <c r="L649" s="82" t="b">
        <v>0</v>
      </c>
      <c r="M649" s="83"/>
      <c r="N649" s="84"/>
      <c r="O649" s="89"/>
      <c r="P649" s="66" t="s">
        <v>112</v>
      </c>
      <c r="Q649" s="22"/>
      <c r="R649" s="22"/>
      <c r="S649" s="22"/>
      <c r="T649" s="74"/>
      <c r="U649" s="6"/>
      <c r="V649" s="74"/>
    </row>
    <row r="650" ht="22.5" customHeight="1">
      <c r="A650" s="6"/>
      <c r="C650" s="6"/>
      <c r="D650" s="22"/>
      <c r="E650" s="20"/>
      <c r="F650" s="21"/>
      <c r="G650" s="21"/>
      <c r="H650" s="21"/>
      <c r="I650" s="35" t="b">
        <v>0</v>
      </c>
      <c r="J650" s="35" t="b">
        <v>0</v>
      </c>
      <c r="K650" s="35" t="b">
        <v>0</v>
      </c>
      <c r="L650" s="82" t="b">
        <v>0</v>
      </c>
      <c r="M650" s="83"/>
      <c r="N650" s="84"/>
      <c r="O650" s="89"/>
      <c r="P650" s="66" t="s">
        <v>112</v>
      </c>
      <c r="Q650" s="22"/>
      <c r="R650" s="22"/>
      <c r="S650" s="22"/>
      <c r="T650" s="74"/>
      <c r="U650" s="6"/>
      <c r="V650" s="74"/>
    </row>
    <row r="651" ht="22.5" customHeight="1">
      <c r="A651" s="6"/>
      <c r="C651" s="6"/>
      <c r="D651" s="22"/>
      <c r="E651" s="20"/>
      <c r="F651" s="21"/>
      <c r="G651" s="21"/>
      <c r="H651" s="21"/>
      <c r="I651" s="35" t="b">
        <v>0</v>
      </c>
      <c r="J651" s="35" t="b">
        <v>0</v>
      </c>
      <c r="K651" s="35" t="b">
        <v>0</v>
      </c>
      <c r="L651" s="82" t="b">
        <v>0</v>
      </c>
      <c r="M651" s="83"/>
      <c r="N651" s="84"/>
      <c r="O651" s="89"/>
      <c r="P651" s="66" t="s">
        <v>112</v>
      </c>
      <c r="Q651" s="22"/>
      <c r="R651" s="22"/>
      <c r="S651" s="22"/>
      <c r="T651" s="74"/>
      <c r="U651" s="6"/>
      <c r="V651" s="74"/>
    </row>
    <row r="652" ht="22.5" customHeight="1">
      <c r="A652" s="6"/>
      <c r="C652" s="6"/>
      <c r="D652" s="22"/>
      <c r="E652" s="20"/>
      <c r="F652" s="21"/>
      <c r="G652" s="21"/>
      <c r="H652" s="21"/>
      <c r="I652" s="35" t="b">
        <v>0</v>
      </c>
      <c r="J652" s="35" t="b">
        <v>0</v>
      </c>
      <c r="K652" s="35" t="b">
        <v>0</v>
      </c>
      <c r="L652" s="82" t="b">
        <v>0</v>
      </c>
      <c r="M652" s="83"/>
      <c r="N652" s="84"/>
      <c r="O652" s="89"/>
      <c r="P652" s="66" t="s">
        <v>112</v>
      </c>
      <c r="Q652" s="22"/>
      <c r="R652" s="22"/>
      <c r="S652" s="22"/>
      <c r="T652" s="74"/>
      <c r="U652" s="6"/>
      <c r="V652" s="74"/>
    </row>
    <row r="653" ht="22.5" customHeight="1">
      <c r="A653" s="6"/>
      <c r="C653" s="6"/>
      <c r="D653" s="22"/>
      <c r="E653" s="20"/>
      <c r="F653" s="21"/>
      <c r="G653" s="21"/>
      <c r="H653" s="21"/>
      <c r="I653" s="35" t="b">
        <v>0</v>
      </c>
      <c r="J653" s="35" t="b">
        <v>0</v>
      </c>
      <c r="K653" s="35" t="b">
        <v>0</v>
      </c>
      <c r="L653" s="82" t="b">
        <v>0</v>
      </c>
      <c r="M653" s="83"/>
      <c r="N653" s="84"/>
      <c r="O653" s="89"/>
      <c r="P653" s="66" t="s">
        <v>112</v>
      </c>
      <c r="Q653" s="22"/>
      <c r="R653" s="22"/>
      <c r="S653" s="22"/>
      <c r="T653" s="74"/>
      <c r="U653" s="6"/>
      <c r="V653" s="74"/>
    </row>
    <row r="654" ht="22.5" customHeight="1">
      <c r="A654" s="6"/>
      <c r="C654" s="6"/>
      <c r="D654" s="22"/>
      <c r="E654" s="20"/>
      <c r="F654" s="21"/>
      <c r="G654" s="21"/>
      <c r="H654" s="21"/>
      <c r="I654" s="35" t="b">
        <v>0</v>
      </c>
      <c r="J654" s="35" t="b">
        <v>0</v>
      </c>
      <c r="K654" s="35" t="b">
        <v>0</v>
      </c>
      <c r="L654" s="82" t="b">
        <v>0</v>
      </c>
      <c r="M654" s="83"/>
      <c r="N654" s="84"/>
      <c r="O654" s="89"/>
      <c r="P654" s="66" t="s">
        <v>112</v>
      </c>
      <c r="Q654" s="22"/>
      <c r="R654" s="22"/>
      <c r="S654" s="22"/>
      <c r="T654" s="74"/>
      <c r="U654" s="6"/>
      <c r="V654" s="74"/>
    </row>
    <row r="655" ht="22.5" customHeight="1">
      <c r="A655" s="6"/>
      <c r="C655" s="6"/>
      <c r="D655" s="22"/>
      <c r="E655" s="20"/>
      <c r="F655" s="21"/>
      <c r="G655" s="21"/>
      <c r="H655" s="21"/>
      <c r="I655" s="35" t="b">
        <v>0</v>
      </c>
      <c r="J655" s="35" t="b">
        <v>0</v>
      </c>
      <c r="K655" s="35" t="b">
        <v>0</v>
      </c>
      <c r="L655" s="82" t="b">
        <v>0</v>
      </c>
      <c r="M655" s="83"/>
      <c r="N655" s="84"/>
      <c r="O655" s="89"/>
      <c r="P655" s="66" t="s">
        <v>112</v>
      </c>
      <c r="Q655" s="22"/>
      <c r="R655" s="22"/>
      <c r="S655" s="22"/>
      <c r="T655" s="74"/>
      <c r="U655" s="6"/>
      <c r="V655" s="74"/>
    </row>
    <row r="656" ht="22.5" customHeight="1">
      <c r="A656" s="6"/>
      <c r="C656" s="6"/>
      <c r="D656" s="22"/>
      <c r="E656" s="20"/>
      <c r="F656" s="21"/>
      <c r="G656" s="21"/>
      <c r="H656" s="21"/>
      <c r="I656" s="35" t="b">
        <v>0</v>
      </c>
      <c r="J656" s="35" t="b">
        <v>0</v>
      </c>
      <c r="K656" s="35" t="b">
        <v>0</v>
      </c>
      <c r="L656" s="82" t="b">
        <v>0</v>
      </c>
      <c r="M656" s="83"/>
      <c r="N656" s="84"/>
      <c r="O656" s="89"/>
      <c r="P656" s="66" t="s">
        <v>112</v>
      </c>
      <c r="Q656" s="22"/>
      <c r="R656" s="22"/>
      <c r="S656" s="22"/>
      <c r="T656" s="74"/>
      <c r="U656" s="6"/>
      <c r="V656" s="74"/>
    </row>
    <row r="657" ht="22.5" customHeight="1">
      <c r="A657" s="6"/>
      <c r="C657" s="6"/>
      <c r="D657" s="22"/>
      <c r="E657" s="20"/>
      <c r="F657" s="21"/>
      <c r="G657" s="21"/>
      <c r="H657" s="21"/>
      <c r="I657" s="35" t="b">
        <v>0</v>
      </c>
      <c r="J657" s="35" t="b">
        <v>0</v>
      </c>
      <c r="K657" s="35" t="b">
        <v>0</v>
      </c>
      <c r="L657" s="82" t="b">
        <v>0</v>
      </c>
      <c r="M657" s="83"/>
      <c r="N657" s="84"/>
      <c r="O657" s="89"/>
      <c r="P657" s="66" t="s">
        <v>112</v>
      </c>
      <c r="Q657" s="22"/>
      <c r="R657" s="22"/>
      <c r="S657" s="22"/>
      <c r="T657" s="74"/>
      <c r="U657" s="6"/>
      <c r="V657" s="74"/>
    </row>
    <row r="658" ht="22.5" customHeight="1">
      <c r="A658" s="6"/>
      <c r="C658" s="6"/>
      <c r="D658" s="22"/>
      <c r="E658" s="20"/>
      <c r="F658" s="21"/>
      <c r="G658" s="21"/>
      <c r="H658" s="21"/>
      <c r="I658" s="35" t="b">
        <v>0</v>
      </c>
      <c r="J658" s="35" t="b">
        <v>0</v>
      </c>
      <c r="K658" s="35" t="b">
        <v>0</v>
      </c>
      <c r="L658" s="82" t="b">
        <v>0</v>
      </c>
      <c r="M658" s="83"/>
      <c r="N658" s="84"/>
      <c r="O658" s="89"/>
      <c r="P658" s="66" t="s">
        <v>112</v>
      </c>
      <c r="Q658" s="22"/>
      <c r="R658" s="22"/>
      <c r="S658" s="22"/>
      <c r="T658" s="74"/>
      <c r="U658" s="6"/>
      <c r="V658" s="74"/>
    </row>
    <row r="659" ht="22.5" customHeight="1">
      <c r="A659" s="6"/>
      <c r="C659" s="6"/>
      <c r="D659" s="22"/>
      <c r="E659" s="20"/>
      <c r="F659" s="21"/>
      <c r="G659" s="21"/>
      <c r="H659" s="21"/>
      <c r="I659" s="35" t="b">
        <v>0</v>
      </c>
      <c r="J659" s="35" t="b">
        <v>0</v>
      </c>
      <c r="K659" s="35" t="b">
        <v>0</v>
      </c>
      <c r="L659" s="82" t="b">
        <v>0</v>
      </c>
      <c r="M659" s="83"/>
      <c r="N659" s="84"/>
      <c r="O659" s="89"/>
      <c r="P659" s="66" t="s">
        <v>112</v>
      </c>
      <c r="Q659" s="22"/>
      <c r="R659" s="22"/>
      <c r="S659" s="22"/>
      <c r="T659" s="74"/>
      <c r="U659" s="6"/>
      <c r="V659" s="74"/>
    </row>
    <row r="660" ht="22.5" customHeight="1">
      <c r="A660" s="6"/>
      <c r="C660" s="6"/>
      <c r="D660" s="22"/>
      <c r="E660" s="20"/>
      <c r="F660" s="21"/>
      <c r="G660" s="21"/>
      <c r="H660" s="21"/>
      <c r="I660" s="35" t="b">
        <v>0</v>
      </c>
      <c r="J660" s="35" t="b">
        <v>0</v>
      </c>
      <c r="K660" s="35" t="b">
        <v>0</v>
      </c>
      <c r="L660" s="82" t="b">
        <v>0</v>
      </c>
      <c r="M660" s="83"/>
      <c r="N660" s="84"/>
      <c r="O660" s="89"/>
      <c r="P660" s="66" t="s">
        <v>112</v>
      </c>
      <c r="Q660" s="22"/>
      <c r="R660" s="22"/>
      <c r="S660" s="22"/>
      <c r="T660" s="74"/>
      <c r="U660" s="6"/>
      <c r="V660" s="74"/>
    </row>
    <row r="661" ht="22.5" customHeight="1">
      <c r="A661" s="6"/>
      <c r="C661" s="6"/>
      <c r="D661" s="22"/>
      <c r="E661" s="20"/>
      <c r="F661" s="21"/>
      <c r="G661" s="21"/>
      <c r="H661" s="21"/>
      <c r="I661" s="35" t="b">
        <v>0</v>
      </c>
      <c r="J661" s="35" t="b">
        <v>0</v>
      </c>
      <c r="K661" s="35" t="b">
        <v>0</v>
      </c>
      <c r="L661" s="82" t="b">
        <v>0</v>
      </c>
      <c r="M661" s="83"/>
      <c r="N661" s="84"/>
      <c r="O661" s="89"/>
      <c r="P661" s="66" t="s">
        <v>112</v>
      </c>
      <c r="Q661" s="22"/>
      <c r="R661" s="22"/>
      <c r="S661" s="22"/>
      <c r="T661" s="74"/>
      <c r="U661" s="6"/>
      <c r="V661" s="74"/>
    </row>
    <row r="662" ht="22.5" customHeight="1">
      <c r="A662" s="6"/>
      <c r="C662" s="6"/>
      <c r="D662" s="22"/>
      <c r="E662" s="20"/>
      <c r="F662" s="21"/>
      <c r="G662" s="21"/>
      <c r="H662" s="21"/>
      <c r="I662" s="35" t="b">
        <v>0</v>
      </c>
      <c r="J662" s="35" t="b">
        <v>0</v>
      </c>
      <c r="K662" s="35" t="b">
        <v>0</v>
      </c>
      <c r="L662" s="82" t="b">
        <v>0</v>
      </c>
      <c r="M662" s="83"/>
      <c r="N662" s="84"/>
      <c r="O662" s="89"/>
      <c r="P662" s="66" t="s">
        <v>112</v>
      </c>
      <c r="Q662" s="22"/>
      <c r="R662" s="22"/>
      <c r="S662" s="22"/>
      <c r="T662" s="74"/>
      <c r="U662" s="6"/>
      <c r="V662" s="74"/>
    </row>
    <row r="663" ht="22.5" customHeight="1">
      <c r="A663" s="6"/>
      <c r="C663" s="6"/>
      <c r="D663" s="22"/>
      <c r="E663" s="20"/>
      <c r="F663" s="21"/>
      <c r="G663" s="21"/>
      <c r="H663" s="21"/>
      <c r="I663" s="35" t="b">
        <v>0</v>
      </c>
      <c r="J663" s="35" t="b">
        <v>0</v>
      </c>
      <c r="K663" s="35" t="b">
        <v>0</v>
      </c>
      <c r="L663" s="82" t="b">
        <v>0</v>
      </c>
      <c r="M663" s="83"/>
      <c r="N663" s="84"/>
      <c r="O663" s="89"/>
      <c r="P663" s="66" t="s">
        <v>112</v>
      </c>
      <c r="Q663" s="22"/>
      <c r="R663" s="22"/>
      <c r="S663" s="22"/>
      <c r="T663" s="74"/>
      <c r="U663" s="6"/>
      <c r="V663" s="74"/>
    </row>
    <row r="664" ht="22.5" customHeight="1">
      <c r="A664" s="6"/>
      <c r="C664" s="6"/>
      <c r="D664" s="22"/>
      <c r="E664" s="20"/>
      <c r="F664" s="21"/>
      <c r="G664" s="21"/>
      <c r="H664" s="21"/>
      <c r="I664" s="35" t="b">
        <v>0</v>
      </c>
      <c r="J664" s="35" t="b">
        <v>0</v>
      </c>
      <c r="K664" s="35" t="b">
        <v>0</v>
      </c>
      <c r="L664" s="82" t="b">
        <v>0</v>
      </c>
      <c r="M664" s="83"/>
      <c r="N664" s="84"/>
      <c r="O664" s="89"/>
      <c r="P664" s="66" t="s">
        <v>112</v>
      </c>
      <c r="Q664" s="22"/>
      <c r="R664" s="22"/>
      <c r="S664" s="22"/>
      <c r="T664" s="74"/>
      <c r="U664" s="6"/>
      <c r="V664" s="74"/>
    </row>
    <row r="665" ht="22.5" customHeight="1">
      <c r="A665" s="6"/>
      <c r="C665" s="6"/>
      <c r="D665" s="22"/>
      <c r="E665" s="20"/>
      <c r="F665" s="21"/>
      <c r="G665" s="21"/>
      <c r="H665" s="21"/>
      <c r="I665" s="35" t="b">
        <v>0</v>
      </c>
      <c r="J665" s="35" t="b">
        <v>0</v>
      </c>
      <c r="K665" s="35" t="b">
        <v>0</v>
      </c>
      <c r="L665" s="82" t="b">
        <v>0</v>
      </c>
      <c r="M665" s="83"/>
      <c r="N665" s="84"/>
      <c r="O665" s="89"/>
      <c r="P665" s="66" t="s">
        <v>112</v>
      </c>
      <c r="Q665" s="22"/>
      <c r="R665" s="22"/>
      <c r="S665" s="22"/>
      <c r="T665" s="74"/>
      <c r="U665" s="6"/>
      <c r="V665" s="74"/>
    </row>
    <row r="666" ht="22.5" customHeight="1">
      <c r="A666" s="6"/>
      <c r="C666" s="6"/>
      <c r="D666" s="22"/>
      <c r="E666" s="20"/>
      <c r="F666" s="21"/>
      <c r="G666" s="21"/>
      <c r="H666" s="21"/>
      <c r="I666" s="35" t="b">
        <v>0</v>
      </c>
      <c r="J666" s="35" t="b">
        <v>0</v>
      </c>
      <c r="K666" s="35" t="b">
        <v>0</v>
      </c>
      <c r="L666" s="82" t="b">
        <v>0</v>
      </c>
      <c r="M666" s="83"/>
      <c r="N666" s="84"/>
      <c r="O666" s="89"/>
      <c r="P666" s="66" t="s">
        <v>112</v>
      </c>
      <c r="Q666" s="22"/>
      <c r="R666" s="22"/>
      <c r="S666" s="22"/>
      <c r="T666" s="74"/>
      <c r="U666" s="6"/>
      <c r="V666" s="74"/>
    </row>
    <row r="667" ht="22.5" customHeight="1">
      <c r="A667" s="6"/>
      <c r="C667" s="6"/>
      <c r="D667" s="22"/>
      <c r="E667" s="20"/>
      <c r="F667" s="21"/>
      <c r="G667" s="21"/>
      <c r="H667" s="21"/>
      <c r="I667" s="35" t="b">
        <v>0</v>
      </c>
      <c r="J667" s="35" t="b">
        <v>0</v>
      </c>
      <c r="K667" s="35" t="b">
        <v>0</v>
      </c>
      <c r="L667" s="82" t="b">
        <v>0</v>
      </c>
      <c r="M667" s="83"/>
      <c r="N667" s="84"/>
      <c r="O667" s="89"/>
      <c r="P667" s="66" t="s">
        <v>112</v>
      </c>
      <c r="Q667" s="22"/>
      <c r="R667" s="22"/>
      <c r="S667" s="22"/>
      <c r="T667" s="74"/>
      <c r="U667" s="6"/>
      <c r="V667" s="74"/>
    </row>
    <row r="668" ht="22.5" customHeight="1">
      <c r="A668" s="6"/>
      <c r="C668" s="6"/>
      <c r="D668" s="22"/>
      <c r="E668" s="20"/>
      <c r="F668" s="21"/>
      <c r="G668" s="21"/>
      <c r="H668" s="21"/>
      <c r="I668" s="35" t="b">
        <v>0</v>
      </c>
      <c r="J668" s="35" t="b">
        <v>0</v>
      </c>
      <c r="K668" s="35" t="b">
        <v>0</v>
      </c>
      <c r="L668" s="82" t="b">
        <v>0</v>
      </c>
      <c r="M668" s="83"/>
      <c r="N668" s="84"/>
      <c r="O668" s="89"/>
      <c r="P668" s="66" t="s">
        <v>112</v>
      </c>
      <c r="Q668" s="22"/>
      <c r="R668" s="22"/>
      <c r="S668" s="22"/>
      <c r="T668" s="74"/>
      <c r="U668" s="6"/>
      <c r="V668" s="74"/>
    </row>
    <row r="669" ht="22.5" customHeight="1">
      <c r="A669" s="6"/>
      <c r="C669" s="6"/>
      <c r="D669" s="22"/>
      <c r="E669" s="20"/>
      <c r="F669" s="21"/>
      <c r="G669" s="21"/>
      <c r="H669" s="21"/>
      <c r="I669" s="35" t="b">
        <v>0</v>
      </c>
      <c r="J669" s="35" t="b">
        <v>0</v>
      </c>
      <c r="K669" s="35" t="b">
        <v>0</v>
      </c>
      <c r="L669" s="82" t="b">
        <v>0</v>
      </c>
      <c r="M669" s="83"/>
      <c r="N669" s="84"/>
      <c r="O669" s="89"/>
      <c r="P669" s="66" t="s">
        <v>112</v>
      </c>
      <c r="Q669" s="22"/>
      <c r="R669" s="22"/>
      <c r="S669" s="22"/>
      <c r="T669" s="74"/>
      <c r="U669" s="6"/>
      <c r="V669" s="74"/>
    </row>
    <row r="670" ht="22.5" customHeight="1">
      <c r="A670" s="6"/>
      <c r="C670" s="6"/>
      <c r="D670" s="22"/>
      <c r="E670" s="20"/>
      <c r="F670" s="21"/>
      <c r="G670" s="21"/>
      <c r="H670" s="21"/>
      <c r="I670" s="35" t="b">
        <v>0</v>
      </c>
      <c r="J670" s="35" t="b">
        <v>0</v>
      </c>
      <c r="K670" s="35" t="b">
        <v>0</v>
      </c>
      <c r="L670" s="82" t="b">
        <v>0</v>
      </c>
      <c r="M670" s="83"/>
      <c r="N670" s="84"/>
      <c r="O670" s="89"/>
      <c r="P670" s="66" t="s">
        <v>112</v>
      </c>
      <c r="Q670" s="22"/>
      <c r="R670" s="22"/>
      <c r="S670" s="22"/>
      <c r="T670" s="74"/>
      <c r="U670" s="6"/>
      <c r="V670" s="74"/>
    </row>
    <row r="671" ht="22.5" customHeight="1">
      <c r="A671" s="6"/>
      <c r="C671" s="6"/>
      <c r="D671" s="22"/>
      <c r="E671" s="20"/>
      <c r="F671" s="21"/>
      <c r="G671" s="21"/>
      <c r="H671" s="21"/>
      <c r="I671" s="35" t="b">
        <v>0</v>
      </c>
      <c r="J671" s="35" t="b">
        <v>0</v>
      </c>
      <c r="K671" s="35" t="b">
        <v>0</v>
      </c>
      <c r="L671" s="82" t="b">
        <v>0</v>
      </c>
      <c r="M671" s="83"/>
      <c r="N671" s="84"/>
      <c r="O671" s="89"/>
      <c r="P671" s="66" t="s">
        <v>112</v>
      </c>
      <c r="Q671" s="22"/>
      <c r="R671" s="22"/>
      <c r="S671" s="22"/>
      <c r="T671" s="74"/>
      <c r="U671" s="6"/>
      <c r="V671" s="74"/>
    </row>
    <row r="672" ht="22.5" customHeight="1">
      <c r="A672" s="6"/>
      <c r="C672" s="6"/>
      <c r="D672" s="22"/>
      <c r="E672" s="20"/>
      <c r="F672" s="21"/>
      <c r="G672" s="21"/>
      <c r="H672" s="21"/>
      <c r="I672" s="35" t="b">
        <v>0</v>
      </c>
      <c r="J672" s="35" t="b">
        <v>0</v>
      </c>
      <c r="K672" s="35" t="b">
        <v>0</v>
      </c>
      <c r="L672" s="82" t="b">
        <v>0</v>
      </c>
      <c r="M672" s="83"/>
      <c r="N672" s="84"/>
      <c r="O672" s="89"/>
      <c r="P672" s="66" t="s">
        <v>112</v>
      </c>
      <c r="Q672" s="22"/>
      <c r="R672" s="22"/>
      <c r="S672" s="22"/>
      <c r="T672" s="74"/>
      <c r="U672" s="6"/>
      <c r="V672" s="74"/>
    </row>
    <row r="673" ht="22.5" customHeight="1">
      <c r="A673" s="6"/>
      <c r="C673" s="6"/>
      <c r="D673" s="22"/>
      <c r="E673" s="20"/>
      <c r="F673" s="21"/>
      <c r="G673" s="21"/>
      <c r="H673" s="21"/>
      <c r="I673" s="35" t="b">
        <v>0</v>
      </c>
      <c r="J673" s="35" t="b">
        <v>0</v>
      </c>
      <c r="K673" s="35" t="b">
        <v>0</v>
      </c>
      <c r="L673" s="82" t="b">
        <v>0</v>
      </c>
      <c r="M673" s="83"/>
      <c r="N673" s="84"/>
      <c r="O673" s="89"/>
      <c r="P673" s="66" t="s">
        <v>112</v>
      </c>
      <c r="Q673" s="22"/>
      <c r="R673" s="22"/>
      <c r="S673" s="22"/>
      <c r="T673" s="74"/>
      <c r="U673" s="6"/>
      <c r="V673" s="74"/>
    </row>
    <row r="674" ht="22.5" customHeight="1">
      <c r="A674" s="6"/>
      <c r="C674" s="6"/>
      <c r="D674" s="22"/>
      <c r="E674" s="20"/>
      <c r="F674" s="21"/>
      <c r="G674" s="21"/>
      <c r="H674" s="21"/>
      <c r="I674" s="35" t="b">
        <v>0</v>
      </c>
      <c r="J674" s="35" t="b">
        <v>0</v>
      </c>
      <c r="K674" s="35" t="b">
        <v>0</v>
      </c>
      <c r="L674" s="82" t="b">
        <v>0</v>
      </c>
      <c r="M674" s="83"/>
      <c r="N674" s="84"/>
      <c r="O674" s="89"/>
      <c r="P674" s="66" t="s">
        <v>112</v>
      </c>
      <c r="Q674" s="22"/>
      <c r="R674" s="22"/>
      <c r="S674" s="22"/>
      <c r="T674" s="74"/>
      <c r="U674" s="6"/>
      <c r="V674" s="74"/>
    </row>
    <row r="675" ht="22.5" customHeight="1">
      <c r="A675" s="6"/>
      <c r="C675" s="6"/>
      <c r="D675" s="22"/>
      <c r="E675" s="20"/>
      <c r="F675" s="21"/>
      <c r="G675" s="21"/>
      <c r="H675" s="21"/>
      <c r="I675" s="35" t="b">
        <v>0</v>
      </c>
      <c r="J675" s="35" t="b">
        <v>0</v>
      </c>
      <c r="K675" s="35" t="b">
        <v>0</v>
      </c>
      <c r="L675" s="82" t="b">
        <v>0</v>
      </c>
      <c r="M675" s="83"/>
      <c r="N675" s="84"/>
      <c r="O675" s="89"/>
      <c r="P675" s="66" t="s">
        <v>112</v>
      </c>
      <c r="Q675" s="22"/>
      <c r="R675" s="22"/>
      <c r="S675" s="22"/>
      <c r="T675" s="74"/>
      <c r="U675" s="6"/>
      <c r="V675" s="74"/>
    </row>
    <row r="676" ht="22.5" customHeight="1">
      <c r="A676" s="6"/>
      <c r="C676" s="6"/>
      <c r="D676" s="22"/>
      <c r="E676" s="20"/>
      <c r="F676" s="21"/>
      <c r="G676" s="21"/>
      <c r="H676" s="21"/>
      <c r="I676" s="35" t="b">
        <v>0</v>
      </c>
      <c r="J676" s="35" t="b">
        <v>0</v>
      </c>
      <c r="K676" s="35" t="b">
        <v>0</v>
      </c>
      <c r="L676" s="82" t="b">
        <v>0</v>
      </c>
      <c r="M676" s="83"/>
      <c r="N676" s="84"/>
      <c r="O676" s="89"/>
      <c r="P676" s="66" t="s">
        <v>112</v>
      </c>
      <c r="Q676" s="22"/>
      <c r="R676" s="22"/>
      <c r="S676" s="22"/>
      <c r="T676" s="74"/>
      <c r="U676" s="6"/>
      <c r="V676" s="74"/>
    </row>
    <row r="677" ht="22.5" customHeight="1">
      <c r="A677" s="6"/>
      <c r="C677" s="6"/>
      <c r="D677" s="22"/>
      <c r="E677" s="20"/>
      <c r="F677" s="21"/>
      <c r="G677" s="21"/>
      <c r="H677" s="21"/>
      <c r="I677" s="35" t="b">
        <v>0</v>
      </c>
      <c r="J677" s="35" t="b">
        <v>0</v>
      </c>
      <c r="K677" s="35" t="b">
        <v>0</v>
      </c>
      <c r="L677" s="82" t="b">
        <v>0</v>
      </c>
      <c r="M677" s="83"/>
      <c r="N677" s="84"/>
      <c r="O677" s="89"/>
      <c r="P677" s="66" t="s">
        <v>112</v>
      </c>
      <c r="Q677" s="22"/>
      <c r="R677" s="22"/>
      <c r="S677" s="22"/>
      <c r="T677" s="74"/>
      <c r="U677" s="6"/>
      <c r="V677" s="74"/>
    </row>
    <row r="678" ht="22.5" customHeight="1">
      <c r="A678" s="6"/>
      <c r="C678" s="6"/>
      <c r="D678" s="22"/>
      <c r="E678" s="20"/>
      <c r="F678" s="21"/>
      <c r="G678" s="21"/>
      <c r="H678" s="21"/>
      <c r="I678" s="35" t="b">
        <v>0</v>
      </c>
      <c r="J678" s="35" t="b">
        <v>0</v>
      </c>
      <c r="K678" s="35" t="b">
        <v>0</v>
      </c>
      <c r="L678" s="82" t="b">
        <v>0</v>
      </c>
      <c r="M678" s="83"/>
      <c r="N678" s="84"/>
      <c r="O678" s="89"/>
      <c r="P678" s="66" t="s">
        <v>112</v>
      </c>
      <c r="Q678" s="22"/>
      <c r="R678" s="22"/>
      <c r="S678" s="22"/>
      <c r="T678" s="74"/>
      <c r="U678" s="6"/>
      <c r="V678" s="74"/>
    </row>
    <row r="679" ht="22.5" customHeight="1">
      <c r="A679" s="6"/>
      <c r="C679" s="6"/>
      <c r="D679" s="22"/>
      <c r="E679" s="20"/>
      <c r="F679" s="21"/>
      <c r="G679" s="21"/>
      <c r="H679" s="21"/>
      <c r="I679" s="35" t="b">
        <v>0</v>
      </c>
      <c r="J679" s="35" t="b">
        <v>0</v>
      </c>
      <c r="K679" s="35" t="b">
        <v>0</v>
      </c>
      <c r="L679" s="82" t="b">
        <v>0</v>
      </c>
      <c r="M679" s="83"/>
      <c r="N679" s="84"/>
      <c r="O679" s="89"/>
      <c r="P679" s="66" t="s">
        <v>112</v>
      </c>
      <c r="Q679" s="22"/>
      <c r="R679" s="22"/>
      <c r="S679" s="22"/>
      <c r="T679" s="74"/>
      <c r="U679" s="6"/>
      <c r="V679" s="74"/>
    </row>
    <row r="680" ht="22.5" customHeight="1">
      <c r="A680" s="6"/>
      <c r="C680" s="6"/>
      <c r="D680" s="22"/>
      <c r="E680" s="20"/>
      <c r="F680" s="21"/>
      <c r="G680" s="21"/>
      <c r="H680" s="21"/>
      <c r="I680" s="35" t="b">
        <v>0</v>
      </c>
      <c r="J680" s="35" t="b">
        <v>0</v>
      </c>
      <c r="K680" s="35" t="b">
        <v>0</v>
      </c>
      <c r="L680" s="82" t="b">
        <v>0</v>
      </c>
      <c r="M680" s="83"/>
      <c r="N680" s="84"/>
      <c r="O680" s="89"/>
      <c r="P680" s="66" t="s">
        <v>112</v>
      </c>
      <c r="Q680" s="22"/>
      <c r="R680" s="22"/>
      <c r="S680" s="22"/>
      <c r="T680" s="74"/>
      <c r="U680" s="6"/>
      <c r="V680" s="74"/>
    </row>
    <row r="681" ht="22.5" customHeight="1">
      <c r="A681" s="6"/>
      <c r="C681" s="6"/>
      <c r="D681" s="22"/>
      <c r="E681" s="20"/>
      <c r="F681" s="21"/>
      <c r="G681" s="21"/>
      <c r="H681" s="21"/>
      <c r="I681" s="35" t="b">
        <v>0</v>
      </c>
      <c r="J681" s="35" t="b">
        <v>0</v>
      </c>
      <c r="K681" s="35" t="b">
        <v>0</v>
      </c>
      <c r="L681" s="82" t="b">
        <v>0</v>
      </c>
      <c r="M681" s="83"/>
      <c r="N681" s="84"/>
      <c r="O681" s="89"/>
      <c r="P681" s="66" t="s">
        <v>112</v>
      </c>
      <c r="Q681" s="22"/>
      <c r="R681" s="22"/>
      <c r="S681" s="22"/>
      <c r="T681" s="74"/>
      <c r="U681" s="6"/>
      <c r="V681" s="74"/>
    </row>
    <row r="682" ht="22.5" customHeight="1">
      <c r="A682" s="6"/>
      <c r="C682" s="6"/>
      <c r="D682" s="22"/>
      <c r="E682" s="20"/>
      <c r="F682" s="21"/>
      <c r="G682" s="21"/>
      <c r="H682" s="21"/>
      <c r="I682" s="35" t="b">
        <v>0</v>
      </c>
      <c r="J682" s="35" t="b">
        <v>0</v>
      </c>
      <c r="K682" s="35" t="b">
        <v>0</v>
      </c>
      <c r="L682" s="82" t="b">
        <v>0</v>
      </c>
      <c r="M682" s="83"/>
      <c r="N682" s="84"/>
      <c r="O682" s="89"/>
      <c r="P682" s="66" t="s">
        <v>112</v>
      </c>
      <c r="Q682" s="22"/>
      <c r="R682" s="22"/>
      <c r="S682" s="22"/>
      <c r="T682" s="74"/>
      <c r="U682" s="6"/>
      <c r="V682" s="74"/>
    </row>
    <row r="683" ht="22.5" customHeight="1">
      <c r="A683" s="6"/>
      <c r="C683" s="6"/>
      <c r="D683" s="22"/>
      <c r="E683" s="20"/>
      <c r="F683" s="21"/>
      <c r="G683" s="21"/>
      <c r="H683" s="21"/>
      <c r="I683" s="35" t="b">
        <v>0</v>
      </c>
      <c r="J683" s="35" t="b">
        <v>0</v>
      </c>
      <c r="K683" s="35" t="b">
        <v>0</v>
      </c>
      <c r="L683" s="82" t="b">
        <v>0</v>
      </c>
      <c r="M683" s="83"/>
      <c r="N683" s="84"/>
      <c r="O683" s="89"/>
      <c r="P683" s="66" t="s">
        <v>112</v>
      </c>
      <c r="Q683" s="22"/>
      <c r="R683" s="22"/>
      <c r="S683" s="22"/>
      <c r="T683" s="74"/>
      <c r="U683" s="6"/>
      <c r="V683" s="74"/>
    </row>
    <row r="684" ht="22.5" customHeight="1">
      <c r="A684" s="6"/>
      <c r="C684" s="6"/>
      <c r="D684" s="22"/>
      <c r="E684" s="20"/>
      <c r="F684" s="21"/>
      <c r="G684" s="21"/>
      <c r="H684" s="21"/>
      <c r="I684" s="35" t="b">
        <v>0</v>
      </c>
      <c r="J684" s="35" t="b">
        <v>0</v>
      </c>
      <c r="K684" s="35" t="b">
        <v>0</v>
      </c>
      <c r="L684" s="82" t="b">
        <v>0</v>
      </c>
      <c r="M684" s="83"/>
      <c r="N684" s="84"/>
      <c r="O684" s="89"/>
      <c r="P684" s="66" t="s">
        <v>112</v>
      </c>
      <c r="Q684" s="22"/>
      <c r="R684" s="22"/>
      <c r="S684" s="22"/>
      <c r="T684" s="74"/>
      <c r="U684" s="6"/>
      <c r="V684" s="74"/>
    </row>
    <row r="685" ht="22.5" customHeight="1">
      <c r="A685" s="6"/>
      <c r="C685" s="6"/>
      <c r="D685" s="22"/>
      <c r="E685" s="20"/>
      <c r="F685" s="21"/>
      <c r="G685" s="21"/>
      <c r="H685" s="21"/>
      <c r="I685" s="35" t="b">
        <v>0</v>
      </c>
      <c r="J685" s="35" t="b">
        <v>0</v>
      </c>
      <c r="K685" s="35" t="b">
        <v>0</v>
      </c>
      <c r="L685" s="82" t="b">
        <v>0</v>
      </c>
      <c r="M685" s="83"/>
      <c r="N685" s="84"/>
      <c r="O685" s="89"/>
      <c r="P685" s="66" t="s">
        <v>112</v>
      </c>
      <c r="Q685" s="22"/>
      <c r="R685" s="22"/>
      <c r="S685" s="22"/>
      <c r="T685" s="74"/>
      <c r="U685" s="6"/>
      <c r="V685" s="74"/>
    </row>
    <row r="686" ht="22.5" customHeight="1">
      <c r="A686" s="6"/>
      <c r="C686" s="6"/>
      <c r="D686" s="22"/>
      <c r="E686" s="20"/>
      <c r="F686" s="21"/>
      <c r="G686" s="21"/>
      <c r="H686" s="21"/>
      <c r="I686" s="35" t="b">
        <v>0</v>
      </c>
      <c r="J686" s="35" t="b">
        <v>0</v>
      </c>
      <c r="K686" s="35" t="b">
        <v>0</v>
      </c>
      <c r="L686" s="82" t="b">
        <v>0</v>
      </c>
      <c r="M686" s="83"/>
      <c r="N686" s="84"/>
      <c r="O686" s="89"/>
      <c r="P686" s="66" t="s">
        <v>112</v>
      </c>
      <c r="Q686" s="22"/>
      <c r="R686" s="22"/>
      <c r="S686" s="22"/>
      <c r="T686" s="74"/>
      <c r="U686" s="6"/>
      <c r="V686" s="74"/>
    </row>
    <row r="687" ht="22.5" customHeight="1">
      <c r="A687" s="6"/>
      <c r="C687" s="6"/>
      <c r="D687" s="22"/>
      <c r="E687" s="20"/>
      <c r="F687" s="21"/>
      <c r="G687" s="21"/>
      <c r="H687" s="21"/>
      <c r="I687" s="35" t="b">
        <v>0</v>
      </c>
      <c r="J687" s="35" t="b">
        <v>0</v>
      </c>
      <c r="K687" s="35" t="b">
        <v>0</v>
      </c>
      <c r="L687" s="82" t="b">
        <v>0</v>
      </c>
      <c r="M687" s="83"/>
      <c r="N687" s="84"/>
      <c r="O687" s="89"/>
      <c r="P687" s="66" t="s">
        <v>112</v>
      </c>
      <c r="Q687" s="22"/>
      <c r="R687" s="22"/>
      <c r="S687" s="22"/>
      <c r="T687" s="74"/>
      <c r="U687" s="6"/>
      <c r="V687" s="74"/>
    </row>
    <row r="688" ht="22.5" customHeight="1">
      <c r="A688" s="6"/>
      <c r="C688" s="6"/>
      <c r="D688" s="22"/>
      <c r="E688" s="20"/>
      <c r="F688" s="21"/>
      <c r="G688" s="21"/>
      <c r="H688" s="21"/>
      <c r="I688" s="35" t="b">
        <v>0</v>
      </c>
      <c r="J688" s="35" t="b">
        <v>0</v>
      </c>
      <c r="K688" s="35" t="b">
        <v>0</v>
      </c>
      <c r="L688" s="82" t="b">
        <v>0</v>
      </c>
      <c r="M688" s="83"/>
      <c r="N688" s="84"/>
      <c r="O688" s="89"/>
      <c r="P688" s="66" t="s">
        <v>112</v>
      </c>
      <c r="Q688" s="22"/>
      <c r="R688" s="22"/>
      <c r="S688" s="22"/>
      <c r="T688" s="74"/>
      <c r="U688" s="6"/>
      <c r="V688" s="74"/>
    </row>
    <row r="689" ht="22.5" customHeight="1">
      <c r="A689" s="6"/>
      <c r="C689" s="6"/>
      <c r="D689" s="22"/>
      <c r="E689" s="20"/>
      <c r="F689" s="21"/>
      <c r="G689" s="21"/>
      <c r="H689" s="21"/>
      <c r="I689" s="35" t="b">
        <v>0</v>
      </c>
      <c r="J689" s="35" t="b">
        <v>0</v>
      </c>
      <c r="K689" s="35" t="b">
        <v>0</v>
      </c>
      <c r="L689" s="82" t="b">
        <v>0</v>
      </c>
      <c r="M689" s="83"/>
      <c r="N689" s="84"/>
      <c r="O689" s="89"/>
      <c r="P689" s="66" t="s">
        <v>112</v>
      </c>
      <c r="Q689" s="22"/>
      <c r="R689" s="22"/>
      <c r="S689" s="22"/>
      <c r="T689" s="74"/>
      <c r="U689" s="6"/>
      <c r="V689" s="74"/>
    </row>
    <row r="690" ht="22.5" customHeight="1">
      <c r="A690" s="6"/>
      <c r="C690" s="6"/>
      <c r="D690" s="22"/>
      <c r="E690" s="20"/>
      <c r="F690" s="21"/>
      <c r="G690" s="21"/>
      <c r="H690" s="21"/>
      <c r="I690" s="35" t="b">
        <v>0</v>
      </c>
      <c r="J690" s="35" t="b">
        <v>0</v>
      </c>
      <c r="K690" s="35" t="b">
        <v>0</v>
      </c>
      <c r="L690" s="82" t="b">
        <v>0</v>
      </c>
      <c r="M690" s="83"/>
      <c r="N690" s="84"/>
      <c r="O690" s="89"/>
      <c r="P690" s="66" t="s">
        <v>112</v>
      </c>
      <c r="Q690" s="22"/>
      <c r="R690" s="22"/>
      <c r="S690" s="22"/>
      <c r="T690" s="74"/>
      <c r="U690" s="6"/>
      <c r="V690" s="74"/>
    </row>
    <row r="691" ht="22.5" customHeight="1">
      <c r="A691" s="6"/>
      <c r="C691" s="6"/>
      <c r="D691" s="22"/>
      <c r="E691" s="20"/>
      <c r="F691" s="21"/>
      <c r="G691" s="21"/>
      <c r="H691" s="21"/>
      <c r="I691" s="35" t="b">
        <v>0</v>
      </c>
      <c r="J691" s="35" t="b">
        <v>0</v>
      </c>
      <c r="K691" s="35" t="b">
        <v>0</v>
      </c>
      <c r="L691" s="82" t="b">
        <v>0</v>
      </c>
      <c r="M691" s="83"/>
      <c r="N691" s="84"/>
      <c r="O691" s="89"/>
      <c r="P691" s="66" t="s">
        <v>112</v>
      </c>
      <c r="Q691" s="22"/>
      <c r="R691" s="22"/>
      <c r="S691" s="22"/>
      <c r="T691" s="74"/>
      <c r="U691" s="6"/>
      <c r="V691" s="74"/>
    </row>
    <row r="692" ht="22.5" customHeight="1">
      <c r="A692" s="6"/>
      <c r="C692" s="6"/>
      <c r="D692" s="22"/>
      <c r="E692" s="20"/>
      <c r="F692" s="21"/>
      <c r="G692" s="21"/>
      <c r="H692" s="21"/>
      <c r="I692" s="35" t="b">
        <v>0</v>
      </c>
      <c r="J692" s="35" t="b">
        <v>0</v>
      </c>
      <c r="K692" s="35" t="b">
        <v>0</v>
      </c>
      <c r="L692" s="82" t="b">
        <v>0</v>
      </c>
      <c r="M692" s="83"/>
      <c r="N692" s="84"/>
      <c r="O692" s="89"/>
      <c r="P692" s="66" t="s">
        <v>112</v>
      </c>
      <c r="Q692" s="22"/>
      <c r="R692" s="22"/>
      <c r="S692" s="22"/>
      <c r="T692" s="74"/>
      <c r="U692" s="6"/>
      <c r="V692" s="74"/>
    </row>
    <row r="693" ht="22.5" customHeight="1">
      <c r="A693" s="6"/>
      <c r="C693" s="6"/>
      <c r="D693" s="22"/>
      <c r="E693" s="20"/>
      <c r="F693" s="21"/>
      <c r="G693" s="21"/>
      <c r="H693" s="21"/>
      <c r="I693" s="35" t="b">
        <v>0</v>
      </c>
      <c r="J693" s="35" t="b">
        <v>0</v>
      </c>
      <c r="K693" s="35" t="b">
        <v>0</v>
      </c>
      <c r="L693" s="82" t="b">
        <v>0</v>
      </c>
      <c r="M693" s="83"/>
      <c r="N693" s="84"/>
      <c r="O693" s="89"/>
      <c r="P693" s="66" t="s">
        <v>112</v>
      </c>
      <c r="Q693" s="22"/>
      <c r="R693" s="22"/>
      <c r="S693" s="22"/>
      <c r="T693" s="74"/>
      <c r="U693" s="6"/>
      <c r="V693" s="74"/>
    </row>
    <row r="694" ht="22.5" customHeight="1">
      <c r="A694" s="6"/>
      <c r="C694" s="6"/>
      <c r="D694" s="22"/>
      <c r="E694" s="20"/>
      <c r="F694" s="21"/>
      <c r="G694" s="21"/>
      <c r="H694" s="21"/>
      <c r="I694" s="35" t="b">
        <v>0</v>
      </c>
      <c r="J694" s="35" t="b">
        <v>0</v>
      </c>
      <c r="K694" s="35" t="b">
        <v>0</v>
      </c>
      <c r="L694" s="82" t="b">
        <v>0</v>
      </c>
      <c r="M694" s="83"/>
      <c r="N694" s="84"/>
      <c r="O694" s="89"/>
      <c r="P694" s="66" t="s">
        <v>112</v>
      </c>
      <c r="Q694" s="22"/>
      <c r="R694" s="22"/>
      <c r="S694" s="22"/>
      <c r="T694" s="74"/>
      <c r="U694" s="6"/>
      <c r="V694" s="74"/>
    </row>
    <row r="695" ht="22.5" customHeight="1">
      <c r="A695" s="6"/>
      <c r="C695" s="6"/>
      <c r="D695" s="22"/>
      <c r="E695" s="20"/>
      <c r="F695" s="21"/>
      <c r="G695" s="21"/>
      <c r="H695" s="21"/>
      <c r="I695" s="35" t="b">
        <v>0</v>
      </c>
      <c r="J695" s="35" t="b">
        <v>0</v>
      </c>
      <c r="K695" s="35" t="b">
        <v>0</v>
      </c>
      <c r="L695" s="82" t="b">
        <v>0</v>
      </c>
      <c r="M695" s="83"/>
      <c r="N695" s="84"/>
      <c r="O695" s="89"/>
      <c r="P695" s="66" t="s">
        <v>112</v>
      </c>
      <c r="Q695" s="22"/>
      <c r="R695" s="22"/>
      <c r="S695" s="22"/>
      <c r="T695" s="74"/>
      <c r="U695" s="6"/>
      <c r="V695" s="74"/>
    </row>
    <row r="696" ht="22.5" customHeight="1">
      <c r="A696" s="6"/>
      <c r="C696" s="6"/>
      <c r="D696" s="22"/>
      <c r="E696" s="20"/>
      <c r="F696" s="21"/>
      <c r="G696" s="21"/>
      <c r="H696" s="21"/>
      <c r="I696" s="35" t="b">
        <v>0</v>
      </c>
      <c r="J696" s="35" t="b">
        <v>0</v>
      </c>
      <c r="K696" s="35" t="b">
        <v>0</v>
      </c>
      <c r="L696" s="82" t="b">
        <v>0</v>
      </c>
      <c r="M696" s="83"/>
      <c r="N696" s="84"/>
      <c r="O696" s="89"/>
      <c r="P696" s="66" t="s">
        <v>112</v>
      </c>
      <c r="Q696" s="22"/>
      <c r="R696" s="22"/>
      <c r="S696" s="22"/>
      <c r="T696" s="74"/>
      <c r="U696" s="6"/>
      <c r="V696" s="74"/>
    </row>
    <row r="697" ht="22.5" customHeight="1">
      <c r="A697" s="6"/>
      <c r="C697" s="6"/>
      <c r="D697" s="22"/>
      <c r="E697" s="20"/>
      <c r="F697" s="21"/>
      <c r="G697" s="21"/>
      <c r="H697" s="21"/>
      <c r="I697" s="35" t="b">
        <v>0</v>
      </c>
      <c r="J697" s="35" t="b">
        <v>0</v>
      </c>
      <c r="K697" s="35" t="b">
        <v>0</v>
      </c>
      <c r="L697" s="82" t="b">
        <v>0</v>
      </c>
      <c r="M697" s="83"/>
      <c r="N697" s="84"/>
      <c r="O697" s="89"/>
      <c r="P697" s="66" t="s">
        <v>112</v>
      </c>
      <c r="Q697" s="22"/>
      <c r="R697" s="22"/>
      <c r="S697" s="22"/>
      <c r="T697" s="74"/>
      <c r="U697" s="6"/>
      <c r="V697" s="74"/>
    </row>
    <row r="698" ht="22.5" customHeight="1">
      <c r="A698" s="6"/>
      <c r="C698" s="6"/>
      <c r="D698" s="22"/>
      <c r="E698" s="20"/>
      <c r="F698" s="21"/>
      <c r="G698" s="21"/>
      <c r="H698" s="21"/>
      <c r="I698" s="35" t="b">
        <v>0</v>
      </c>
      <c r="J698" s="35" t="b">
        <v>0</v>
      </c>
      <c r="K698" s="35" t="b">
        <v>0</v>
      </c>
      <c r="L698" s="82" t="b">
        <v>0</v>
      </c>
      <c r="M698" s="83"/>
      <c r="N698" s="84"/>
      <c r="O698" s="89"/>
      <c r="P698" s="66" t="s">
        <v>112</v>
      </c>
      <c r="Q698" s="22"/>
      <c r="R698" s="22"/>
      <c r="S698" s="22"/>
      <c r="T698" s="74"/>
      <c r="U698" s="6"/>
      <c r="V698" s="74"/>
    </row>
    <row r="699" ht="22.5" customHeight="1">
      <c r="A699" s="6"/>
      <c r="C699" s="6"/>
      <c r="D699" s="22"/>
      <c r="E699" s="20"/>
      <c r="F699" s="21"/>
      <c r="G699" s="21"/>
      <c r="H699" s="21"/>
      <c r="I699" s="35" t="b">
        <v>0</v>
      </c>
      <c r="J699" s="35" t="b">
        <v>0</v>
      </c>
      <c r="K699" s="35" t="b">
        <v>0</v>
      </c>
      <c r="L699" s="82" t="b">
        <v>0</v>
      </c>
      <c r="M699" s="83"/>
      <c r="N699" s="84"/>
      <c r="O699" s="89"/>
      <c r="P699" s="66" t="s">
        <v>112</v>
      </c>
      <c r="Q699" s="22"/>
      <c r="R699" s="22"/>
      <c r="S699" s="22"/>
      <c r="T699" s="74"/>
      <c r="U699" s="6"/>
      <c r="V699" s="74"/>
    </row>
    <row r="700" ht="22.5" customHeight="1">
      <c r="A700" s="6"/>
      <c r="C700" s="6"/>
      <c r="D700" s="22"/>
      <c r="E700" s="20"/>
      <c r="F700" s="21"/>
      <c r="G700" s="21"/>
      <c r="H700" s="21"/>
      <c r="I700" s="35" t="b">
        <v>0</v>
      </c>
      <c r="J700" s="35" t="b">
        <v>0</v>
      </c>
      <c r="K700" s="35" t="b">
        <v>0</v>
      </c>
      <c r="L700" s="82" t="b">
        <v>0</v>
      </c>
      <c r="M700" s="83"/>
      <c r="N700" s="84"/>
      <c r="O700" s="89"/>
      <c r="P700" s="66" t="s">
        <v>112</v>
      </c>
      <c r="Q700" s="22"/>
      <c r="R700" s="22"/>
      <c r="S700" s="22"/>
      <c r="T700" s="74"/>
      <c r="U700" s="6"/>
      <c r="V700" s="74"/>
    </row>
    <row r="701" ht="22.5" customHeight="1">
      <c r="A701" s="6"/>
      <c r="C701" s="6"/>
      <c r="D701" s="22"/>
      <c r="E701" s="20"/>
      <c r="F701" s="21"/>
      <c r="G701" s="21"/>
      <c r="H701" s="21"/>
      <c r="I701" s="35" t="b">
        <v>0</v>
      </c>
      <c r="J701" s="35" t="b">
        <v>0</v>
      </c>
      <c r="K701" s="35" t="b">
        <v>0</v>
      </c>
      <c r="L701" s="82" t="b">
        <v>0</v>
      </c>
      <c r="M701" s="83"/>
      <c r="N701" s="84"/>
      <c r="O701" s="89"/>
      <c r="P701" s="66" t="s">
        <v>112</v>
      </c>
      <c r="Q701" s="22"/>
      <c r="R701" s="22"/>
      <c r="S701" s="22"/>
      <c r="T701" s="74"/>
      <c r="U701" s="6"/>
      <c r="V701" s="74"/>
    </row>
    <row r="702" ht="22.5" customHeight="1">
      <c r="A702" s="6"/>
      <c r="C702" s="6"/>
      <c r="D702" s="22"/>
      <c r="E702" s="20"/>
      <c r="F702" s="21"/>
      <c r="G702" s="21"/>
      <c r="H702" s="21"/>
      <c r="I702" s="35" t="b">
        <v>0</v>
      </c>
      <c r="J702" s="35" t="b">
        <v>0</v>
      </c>
      <c r="K702" s="35" t="b">
        <v>0</v>
      </c>
      <c r="L702" s="82" t="b">
        <v>0</v>
      </c>
      <c r="M702" s="83"/>
      <c r="N702" s="84"/>
      <c r="O702" s="89"/>
      <c r="P702" s="66" t="s">
        <v>112</v>
      </c>
      <c r="Q702" s="22"/>
      <c r="R702" s="22"/>
      <c r="S702" s="22"/>
      <c r="T702" s="74"/>
      <c r="U702" s="6"/>
      <c r="V702" s="74"/>
    </row>
    <row r="703" ht="22.5" customHeight="1">
      <c r="A703" s="6"/>
      <c r="C703" s="6"/>
      <c r="D703" s="22"/>
      <c r="E703" s="20"/>
      <c r="F703" s="21"/>
      <c r="G703" s="21"/>
      <c r="H703" s="21"/>
      <c r="I703" s="35" t="b">
        <v>0</v>
      </c>
      <c r="J703" s="35" t="b">
        <v>0</v>
      </c>
      <c r="K703" s="35" t="b">
        <v>0</v>
      </c>
      <c r="L703" s="82" t="b">
        <v>0</v>
      </c>
      <c r="M703" s="83"/>
      <c r="N703" s="84"/>
      <c r="O703" s="89"/>
      <c r="P703" s="66" t="s">
        <v>112</v>
      </c>
      <c r="Q703" s="22"/>
      <c r="R703" s="22"/>
      <c r="S703" s="22"/>
      <c r="T703" s="74"/>
      <c r="U703" s="6"/>
      <c r="V703" s="74"/>
    </row>
    <row r="704" ht="22.5" customHeight="1">
      <c r="A704" s="6"/>
      <c r="C704" s="6"/>
      <c r="D704" s="22"/>
      <c r="E704" s="20"/>
      <c r="F704" s="21"/>
      <c r="G704" s="21"/>
      <c r="H704" s="21"/>
      <c r="I704" s="35" t="b">
        <v>0</v>
      </c>
      <c r="J704" s="35" t="b">
        <v>0</v>
      </c>
      <c r="K704" s="35" t="b">
        <v>0</v>
      </c>
      <c r="L704" s="82" t="b">
        <v>0</v>
      </c>
      <c r="M704" s="83"/>
      <c r="N704" s="84"/>
      <c r="O704" s="89"/>
      <c r="P704" s="66" t="s">
        <v>112</v>
      </c>
      <c r="Q704" s="22"/>
      <c r="R704" s="22"/>
      <c r="S704" s="22"/>
      <c r="T704" s="74"/>
      <c r="U704" s="6"/>
      <c r="V704" s="74"/>
    </row>
    <row r="705" ht="22.5" customHeight="1">
      <c r="A705" s="6"/>
      <c r="C705" s="6"/>
      <c r="D705" s="22"/>
      <c r="E705" s="20"/>
      <c r="F705" s="21"/>
      <c r="G705" s="21"/>
      <c r="H705" s="21"/>
      <c r="I705" s="35" t="b">
        <v>0</v>
      </c>
      <c r="J705" s="35" t="b">
        <v>0</v>
      </c>
      <c r="K705" s="35" t="b">
        <v>0</v>
      </c>
      <c r="L705" s="82" t="b">
        <v>0</v>
      </c>
      <c r="M705" s="83"/>
      <c r="N705" s="84"/>
      <c r="O705" s="89"/>
      <c r="P705" s="66" t="s">
        <v>112</v>
      </c>
      <c r="Q705" s="22"/>
      <c r="R705" s="22"/>
      <c r="S705" s="22"/>
      <c r="T705" s="74"/>
      <c r="U705" s="6"/>
      <c r="V705" s="74"/>
    </row>
    <row r="706" ht="22.5" customHeight="1">
      <c r="A706" s="6"/>
      <c r="C706" s="6"/>
      <c r="D706" s="22"/>
      <c r="E706" s="20"/>
      <c r="F706" s="21"/>
      <c r="G706" s="21"/>
      <c r="H706" s="21"/>
      <c r="I706" s="35" t="b">
        <v>0</v>
      </c>
      <c r="J706" s="35" t="b">
        <v>0</v>
      </c>
      <c r="K706" s="35" t="b">
        <v>0</v>
      </c>
      <c r="L706" s="82" t="b">
        <v>0</v>
      </c>
      <c r="M706" s="83"/>
      <c r="N706" s="84"/>
      <c r="O706" s="89"/>
      <c r="P706" s="66" t="s">
        <v>112</v>
      </c>
      <c r="Q706" s="22"/>
      <c r="R706" s="22"/>
      <c r="S706" s="22"/>
      <c r="T706" s="74"/>
      <c r="U706" s="6"/>
      <c r="V706" s="74"/>
    </row>
    <row r="707" ht="22.5" customHeight="1">
      <c r="A707" s="6"/>
      <c r="C707" s="6"/>
      <c r="D707" s="22"/>
      <c r="E707" s="20"/>
      <c r="F707" s="21"/>
      <c r="G707" s="21"/>
      <c r="H707" s="21"/>
      <c r="I707" s="35" t="b">
        <v>0</v>
      </c>
      <c r="J707" s="35" t="b">
        <v>0</v>
      </c>
      <c r="K707" s="35" t="b">
        <v>0</v>
      </c>
      <c r="L707" s="82" t="b">
        <v>0</v>
      </c>
      <c r="M707" s="83"/>
      <c r="N707" s="84"/>
      <c r="O707" s="89"/>
      <c r="P707" s="66" t="s">
        <v>112</v>
      </c>
      <c r="Q707" s="22"/>
      <c r="R707" s="22"/>
      <c r="S707" s="22"/>
      <c r="T707" s="74"/>
      <c r="U707" s="6"/>
      <c r="V707" s="74"/>
    </row>
    <row r="708" ht="22.5" customHeight="1">
      <c r="A708" s="6"/>
      <c r="C708" s="6"/>
      <c r="D708" s="22"/>
      <c r="E708" s="20"/>
      <c r="F708" s="21"/>
      <c r="G708" s="21"/>
      <c r="H708" s="21"/>
      <c r="I708" s="35" t="b">
        <v>0</v>
      </c>
      <c r="J708" s="35" t="b">
        <v>0</v>
      </c>
      <c r="K708" s="35" t="b">
        <v>0</v>
      </c>
      <c r="L708" s="82" t="b">
        <v>0</v>
      </c>
      <c r="M708" s="83"/>
      <c r="N708" s="84"/>
      <c r="O708" s="89"/>
      <c r="P708" s="66" t="s">
        <v>112</v>
      </c>
      <c r="Q708" s="22"/>
      <c r="R708" s="22"/>
      <c r="S708" s="22"/>
      <c r="T708" s="74"/>
      <c r="U708" s="6"/>
      <c r="V708" s="74"/>
    </row>
    <row r="709" ht="22.5" customHeight="1">
      <c r="A709" s="6"/>
      <c r="C709" s="6"/>
      <c r="D709" s="22"/>
      <c r="E709" s="20"/>
      <c r="F709" s="21"/>
      <c r="G709" s="21"/>
      <c r="H709" s="21"/>
      <c r="I709" s="35" t="b">
        <v>0</v>
      </c>
      <c r="J709" s="35" t="b">
        <v>0</v>
      </c>
      <c r="K709" s="35" t="b">
        <v>0</v>
      </c>
      <c r="L709" s="82" t="b">
        <v>0</v>
      </c>
      <c r="M709" s="83"/>
      <c r="N709" s="84"/>
      <c r="O709" s="89"/>
      <c r="P709" s="66" t="s">
        <v>112</v>
      </c>
      <c r="Q709" s="22"/>
      <c r="R709" s="22"/>
      <c r="S709" s="22"/>
      <c r="T709" s="74"/>
      <c r="U709" s="6"/>
      <c r="V709" s="74"/>
    </row>
    <row r="710" ht="22.5" customHeight="1">
      <c r="A710" s="6"/>
      <c r="C710" s="6"/>
      <c r="D710" s="22"/>
      <c r="E710" s="20"/>
      <c r="F710" s="21"/>
      <c r="G710" s="21"/>
      <c r="H710" s="21"/>
      <c r="I710" s="35" t="b">
        <v>0</v>
      </c>
      <c r="J710" s="35" t="b">
        <v>0</v>
      </c>
      <c r="K710" s="35" t="b">
        <v>0</v>
      </c>
      <c r="L710" s="82" t="b">
        <v>0</v>
      </c>
      <c r="M710" s="83"/>
      <c r="N710" s="84"/>
      <c r="O710" s="89"/>
      <c r="P710" s="66" t="s">
        <v>112</v>
      </c>
      <c r="Q710" s="22"/>
      <c r="R710" s="22"/>
      <c r="S710" s="22"/>
      <c r="T710" s="74"/>
      <c r="U710" s="6"/>
      <c r="V710" s="74"/>
    </row>
    <row r="711" ht="22.5" customHeight="1">
      <c r="A711" s="6"/>
      <c r="C711" s="6"/>
      <c r="D711" s="22"/>
      <c r="E711" s="20"/>
      <c r="F711" s="21"/>
      <c r="G711" s="21"/>
      <c r="H711" s="21"/>
      <c r="I711" s="35" t="b">
        <v>0</v>
      </c>
      <c r="J711" s="35" t="b">
        <v>0</v>
      </c>
      <c r="K711" s="35" t="b">
        <v>0</v>
      </c>
      <c r="L711" s="82" t="b">
        <v>0</v>
      </c>
      <c r="M711" s="83"/>
      <c r="N711" s="84"/>
      <c r="O711" s="89"/>
      <c r="P711" s="66" t="s">
        <v>112</v>
      </c>
      <c r="Q711" s="22"/>
      <c r="R711" s="22"/>
      <c r="S711" s="22"/>
      <c r="T711" s="74"/>
      <c r="U711" s="6"/>
      <c r="V711" s="74"/>
    </row>
    <row r="712" ht="22.5" customHeight="1">
      <c r="A712" s="6"/>
      <c r="C712" s="6"/>
      <c r="D712" s="22"/>
      <c r="E712" s="20"/>
      <c r="F712" s="21"/>
      <c r="G712" s="21"/>
      <c r="H712" s="21"/>
      <c r="I712" s="35" t="b">
        <v>0</v>
      </c>
      <c r="J712" s="35" t="b">
        <v>0</v>
      </c>
      <c r="K712" s="35" t="b">
        <v>0</v>
      </c>
      <c r="L712" s="82" t="b">
        <v>0</v>
      </c>
      <c r="M712" s="83"/>
      <c r="N712" s="84"/>
      <c r="O712" s="89"/>
      <c r="P712" s="66" t="s">
        <v>112</v>
      </c>
      <c r="Q712" s="22"/>
      <c r="R712" s="22"/>
      <c r="S712" s="22"/>
      <c r="T712" s="74"/>
      <c r="U712" s="6"/>
      <c r="V712" s="74"/>
    </row>
    <row r="713" ht="22.5" customHeight="1">
      <c r="A713" s="6"/>
      <c r="C713" s="6"/>
      <c r="D713" s="22"/>
      <c r="E713" s="20"/>
      <c r="F713" s="21"/>
      <c r="G713" s="21"/>
      <c r="H713" s="21"/>
      <c r="I713" s="35" t="b">
        <v>0</v>
      </c>
      <c r="J713" s="35" t="b">
        <v>0</v>
      </c>
      <c r="K713" s="35" t="b">
        <v>0</v>
      </c>
      <c r="L713" s="82" t="b">
        <v>0</v>
      </c>
      <c r="M713" s="83"/>
      <c r="N713" s="84"/>
      <c r="O713" s="89"/>
      <c r="P713" s="66" t="s">
        <v>112</v>
      </c>
      <c r="Q713" s="22"/>
      <c r="R713" s="22"/>
      <c r="S713" s="22"/>
      <c r="T713" s="74"/>
      <c r="U713" s="6"/>
      <c r="V713" s="74"/>
    </row>
    <row r="714" ht="22.5" customHeight="1">
      <c r="A714" s="6"/>
      <c r="C714" s="6"/>
      <c r="D714" s="22"/>
      <c r="E714" s="20"/>
      <c r="F714" s="21"/>
      <c r="G714" s="21"/>
      <c r="H714" s="21"/>
      <c r="I714" s="35" t="b">
        <v>0</v>
      </c>
      <c r="J714" s="35" t="b">
        <v>0</v>
      </c>
      <c r="K714" s="35" t="b">
        <v>0</v>
      </c>
      <c r="L714" s="82" t="b">
        <v>0</v>
      </c>
      <c r="M714" s="83"/>
      <c r="N714" s="84"/>
      <c r="O714" s="89"/>
      <c r="P714" s="66" t="s">
        <v>112</v>
      </c>
      <c r="Q714" s="22"/>
      <c r="R714" s="22"/>
      <c r="S714" s="22"/>
      <c r="T714" s="74"/>
      <c r="U714" s="6"/>
      <c r="V714" s="74"/>
    </row>
    <row r="715" ht="22.5" customHeight="1">
      <c r="A715" s="6"/>
      <c r="C715" s="6"/>
      <c r="D715" s="22"/>
      <c r="E715" s="20"/>
      <c r="F715" s="21"/>
      <c r="G715" s="21"/>
      <c r="H715" s="21"/>
      <c r="I715" s="35" t="b">
        <v>0</v>
      </c>
      <c r="J715" s="35" t="b">
        <v>0</v>
      </c>
      <c r="K715" s="35" t="b">
        <v>0</v>
      </c>
      <c r="L715" s="82" t="b">
        <v>0</v>
      </c>
      <c r="M715" s="83"/>
      <c r="N715" s="84"/>
      <c r="O715" s="89"/>
      <c r="P715" s="66" t="s">
        <v>112</v>
      </c>
      <c r="Q715" s="22"/>
      <c r="R715" s="22"/>
      <c r="S715" s="22"/>
      <c r="T715" s="74"/>
      <c r="U715" s="6"/>
      <c r="V715" s="74"/>
    </row>
    <row r="716" ht="22.5" customHeight="1">
      <c r="A716" s="6"/>
      <c r="C716" s="6"/>
      <c r="D716" s="22"/>
      <c r="E716" s="20"/>
      <c r="F716" s="21"/>
      <c r="G716" s="21"/>
      <c r="H716" s="21"/>
      <c r="I716" s="35" t="b">
        <v>0</v>
      </c>
      <c r="J716" s="35" t="b">
        <v>0</v>
      </c>
      <c r="K716" s="35" t="b">
        <v>0</v>
      </c>
      <c r="L716" s="82" t="b">
        <v>0</v>
      </c>
      <c r="M716" s="83"/>
      <c r="N716" s="84"/>
      <c r="O716" s="89"/>
      <c r="P716" s="66" t="s">
        <v>112</v>
      </c>
      <c r="Q716" s="22"/>
      <c r="R716" s="22"/>
      <c r="S716" s="22"/>
      <c r="T716" s="74"/>
      <c r="U716" s="6"/>
      <c r="V716" s="74"/>
    </row>
    <row r="717" ht="22.5" customHeight="1">
      <c r="A717" s="6"/>
      <c r="C717" s="6"/>
      <c r="D717" s="22"/>
      <c r="E717" s="20"/>
      <c r="F717" s="21"/>
      <c r="G717" s="21"/>
      <c r="H717" s="21"/>
      <c r="I717" s="35" t="b">
        <v>0</v>
      </c>
      <c r="J717" s="35" t="b">
        <v>0</v>
      </c>
      <c r="K717" s="35" t="b">
        <v>0</v>
      </c>
      <c r="L717" s="82" t="b">
        <v>0</v>
      </c>
      <c r="M717" s="83"/>
      <c r="N717" s="84"/>
      <c r="O717" s="89"/>
      <c r="P717" s="66" t="s">
        <v>112</v>
      </c>
      <c r="Q717" s="22"/>
      <c r="R717" s="22"/>
      <c r="S717" s="22"/>
      <c r="T717" s="74"/>
      <c r="U717" s="6"/>
      <c r="V717" s="74"/>
    </row>
    <row r="718" ht="22.5" customHeight="1">
      <c r="A718" s="6"/>
      <c r="C718" s="6"/>
      <c r="D718" s="22"/>
      <c r="E718" s="20"/>
      <c r="F718" s="21"/>
      <c r="G718" s="21"/>
      <c r="H718" s="21"/>
      <c r="I718" s="35" t="b">
        <v>0</v>
      </c>
      <c r="J718" s="35" t="b">
        <v>0</v>
      </c>
      <c r="K718" s="35" t="b">
        <v>0</v>
      </c>
      <c r="L718" s="82" t="b">
        <v>0</v>
      </c>
      <c r="M718" s="83"/>
      <c r="N718" s="84"/>
      <c r="O718" s="89"/>
      <c r="P718" s="66" t="s">
        <v>112</v>
      </c>
      <c r="Q718" s="22"/>
      <c r="R718" s="22"/>
      <c r="S718" s="22"/>
      <c r="T718" s="74"/>
      <c r="U718" s="6"/>
      <c r="V718" s="74"/>
    </row>
    <row r="719" ht="22.5" customHeight="1">
      <c r="A719" s="6"/>
      <c r="C719" s="6"/>
      <c r="D719" s="22"/>
      <c r="E719" s="20"/>
      <c r="F719" s="21"/>
      <c r="G719" s="21"/>
      <c r="H719" s="21"/>
      <c r="I719" s="35" t="b">
        <v>0</v>
      </c>
      <c r="J719" s="35" t="b">
        <v>0</v>
      </c>
      <c r="K719" s="35" t="b">
        <v>0</v>
      </c>
      <c r="L719" s="82" t="b">
        <v>0</v>
      </c>
      <c r="M719" s="83"/>
      <c r="N719" s="84"/>
      <c r="O719" s="89"/>
      <c r="P719" s="66" t="s">
        <v>112</v>
      </c>
      <c r="Q719" s="22"/>
      <c r="R719" s="22"/>
      <c r="S719" s="22"/>
      <c r="T719" s="74"/>
      <c r="U719" s="6"/>
      <c r="V719" s="74"/>
    </row>
    <row r="720" ht="22.5" customHeight="1">
      <c r="A720" s="6"/>
      <c r="C720" s="6"/>
      <c r="D720" s="22"/>
      <c r="E720" s="20"/>
      <c r="F720" s="21"/>
      <c r="G720" s="21"/>
      <c r="H720" s="21"/>
      <c r="I720" s="35" t="b">
        <v>0</v>
      </c>
      <c r="J720" s="35" t="b">
        <v>0</v>
      </c>
      <c r="K720" s="35" t="b">
        <v>0</v>
      </c>
      <c r="L720" s="82" t="b">
        <v>0</v>
      </c>
      <c r="M720" s="83"/>
      <c r="N720" s="84"/>
      <c r="O720" s="89"/>
      <c r="P720" s="66" t="s">
        <v>112</v>
      </c>
      <c r="Q720" s="22"/>
      <c r="R720" s="22"/>
      <c r="S720" s="22"/>
      <c r="T720" s="74"/>
      <c r="U720" s="6"/>
      <c r="V720" s="74"/>
    </row>
    <row r="721" ht="22.5" customHeight="1">
      <c r="A721" s="6"/>
      <c r="C721" s="6"/>
      <c r="D721" s="22"/>
      <c r="E721" s="20"/>
      <c r="F721" s="21"/>
      <c r="G721" s="21"/>
      <c r="H721" s="21"/>
      <c r="I721" s="35" t="b">
        <v>0</v>
      </c>
      <c r="J721" s="35" t="b">
        <v>0</v>
      </c>
      <c r="K721" s="35" t="b">
        <v>0</v>
      </c>
      <c r="L721" s="82" t="b">
        <v>0</v>
      </c>
      <c r="M721" s="83"/>
      <c r="N721" s="84"/>
      <c r="O721" s="89"/>
      <c r="P721" s="66" t="s">
        <v>112</v>
      </c>
      <c r="Q721" s="22"/>
      <c r="R721" s="22"/>
      <c r="S721" s="22"/>
      <c r="T721" s="74"/>
      <c r="U721" s="6"/>
      <c r="V721" s="74"/>
    </row>
    <row r="722" ht="22.5" customHeight="1">
      <c r="A722" s="6"/>
      <c r="C722" s="6"/>
      <c r="D722" s="22"/>
      <c r="E722" s="20"/>
      <c r="F722" s="21"/>
      <c r="G722" s="21"/>
      <c r="H722" s="21"/>
      <c r="I722" s="35" t="b">
        <v>0</v>
      </c>
      <c r="J722" s="35" t="b">
        <v>0</v>
      </c>
      <c r="K722" s="35" t="b">
        <v>0</v>
      </c>
      <c r="L722" s="82" t="b">
        <v>0</v>
      </c>
      <c r="M722" s="83"/>
      <c r="N722" s="84"/>
      <c r="O722" s="89"/>
      <c r="P722" s="66" t="s">
        <v>112</v>
      </c>
      <c r="Q722" s="22"/>
      <c r="R722" s="22"/>
      <c r="S722" s="22"/>
      <c r="T722" s="74"/>
      <c r="U722" s="6"/>
      <c r="V722" s="74"/>
    </row>
    <row r="723" ht="22.5" customHeight="1">
      <c r="A723" s="6"/>
      <c r="C723" s="6"/>
      <c r="D723" s="22"/>
      <c r="E723" s="20"/>
      <c r="F723" s="21"/>
      <c r="G723" s="21"/>
      <c r="H723" s="21"/>
      <c r="I723" s="35" t="b">
        <v>0</v>
      </c>
      <c r="J723" s="35" t="b">
        <v>0</v>
      </c>
      <c r="K723" s="35" t="b">
        <v>0</v>
      </c>
      <c r="L723" s="82" t="b">
        <v>0</v>
      </c>
      <c r="M723" s="83"/>
      <c r="N723" s="84"/>
      <c r="O723" s="89"/>
      <c r="P723" s="66" t="s">
        <v>112</v>
      </c>
      <c r="Q723" s="22"/>
      <c r="R723" s="22"/>
      <c r="S723" s="22"/>
      <c r="T723" s="74"/>
      <c r="U723" s="6"/>
      <c r="V723" s="74"/>
    </row>
    <row r="724" ht="22.5" customHeight="1">
      <c r="A724" s="6"/>
      <c r="C724" s="6"/>
      <c r="D724" s="22"/>
      <c r="E724" s="20"/>
      <c r="F724" s="21"/>
      <c r="G724" s="21"/>
      <c r="H724" s="21"/>
      <c r="I724" s="35" t="b">
        <v>0</v>
      </c>
      <c r="J724" s="35" t="b">
        <v>0</v>
      </c>
      <c r="K724" s="35" t="b">
        <v>0</v>
      </c>
      <c r="L724" s="82" t="b">
        <v>0</v>
      </c>
      <c r="M724" s="83"/>
      <c r="N724" s="84"/>
      <c r="O724" s="89"/>
      <c r="P724" s="66" t="s">
        <v>112</v>
      </c>
      <c r="Q724" s="22"/>
      <c r="R724" s="22"/>
      <c r="S724" s="22"/>
      <c r="T724" s="74"/>
      <c r="U724" s="6"/>
      <c r="V724" s="74"/>
    </row>
    <row r="725" ht="22.5" customHeight="1">
      <c r="A725" s="6"/>
      <c r="C725" s="6"/>
      <c r="D725" s="22"/>
      <c r="E725" s="20"/>
      <c r="F725" s="21"/>
      <c r="G725" s="21"/>
      <c r="H725" s="21"/>
      <c r="I725" s="35" t="b">
        <v>0</v>
      </c>
      <c r="J725" s="35" t="b">
        <v>0</v>
      </c>
      <c r="K725" s="35" t="b">
        <v>0</v>
      </c>
      <c r="L725" s="82" t="b">
        <v>0</v>
      </c>
      <c r="M725" s="83"/>
      <c r="N725" s="84"/>
      <c r="O725" s="89"/>
      <c r="P725" s="66" t="s">
        <v>112</v>
      </c>
      <c r="Q725" s="22"/>
      <c r="R725" s="22"/>
      <c r="S725" s="22"/>
      <c r="T725" s="74"/>
      <c r="U725" s="6"/>
      <c r="V725" s="74"/>
    </row>
    <row r="726" ht="22.5" customHeight="1">
      <c r="A726" s="6"/>
      <c r="C726" s="6"/>
      <c r="D726" s="22"/>
      <c r="E726" s="20"/>
      <c r="F726" s="21"/>
      <c r="G726" s="21"/>
      <c r="H726" s="21"/>
      <c r="I726" s="35" t="b">
        <v>0</v>
      </c>
      <c r="J726" s="35" t="b">
        <v>0</v>
      </c>
      <c r="K726" s="35" t="b">
        <v>0</v>
      </c>
      <c r="L726" s="82" t="b">
        <v>0</v>
      </c>
      <c r="M726" s="83"/>
      <c r="N726" s="84"/>
      <c r="O726" s="89"/>
      <c r="P726" s="66" t="s">
        <v>112</v>
      </c>
      <c r="Q726" s="22"/>
      <c r="R726" s="22"/>
      <c r="S726" s="22"/>
      <c r="T726" s="74"/>
      <c r="U726" s="6"/>
      <c r="V726" s="74"/>
    </row>
    <row r="727" ht="22.5" customHeight="1">
      <c r="A727" s="6"/>
      <c r="C727" s="6"/>
      <c r="D727" s="22"/>
      <c r="E727" s="20"/>
      <c r="F727" s="21"/>
      <c r="G727" s="21"/>
      <c r="H727" s="21"/>
      <c r="I727" s="35" t="b">
        <v>0</v>
      </c>
      <c r="J727" s="35" t="b">
        <v>0</v>
      </c>
      <c r="K727" s="35" t="b">
        <v>0</v>
      </c>
      <c r="L727" s="82" t="b">
        <v>0</v>
      </c>
      <c r="M727" s="83"/>
      <c r="N727" s="84"/>
      <c r="O727" s="89"/>
      <c r="P727" s="66" t="s">
        <v>112</v>
      </c>
      <c r="Q727" s="22"/>
      <c r="R727" s="22"/>
      <c r="S727" s="22"/>
      <c r="T727" s="74"/>
      <c r="U727" s="6"/>
      <c r="V727" s="74"/>
    </row>
    <row r="728" ht="22.5" customHeight="1">
      <c r="A728" s="6"/>
      <c r="C728" s="6"/>
      <c r="D728" s="22"/>
      <c r="E728" s="20"/>
      <c r="F728" s="21"/>
      <c r="G728" s="21"/>
      <c r="H728" s="21"/>
      <c r="I728" s="35" t="b">
        <v>0</v>
      </c>
      <c r="J728" s="35" t="b">
        <v>0</v>
      </c>
      <c r="K728" s="35" t="b">
        <v>0</v>
      </c>
      <c r="L728" s="82" t="b">
        <v>0</v>
      </c>
      <c r="M728" s="83"/>
      <c r="N728" s="84"/>
      <c r="O728" s="89"/>
      <c r="P728" s="66" t="s">
        <v>112</v>
      </c>
      <c r="Q728" s="22"/>
      <c r="R728" s="22"/>
      <c r="S728" s="22"/>
      <c r="T728" s="74"/>
      <c r="U728" s="6"/>
      <c r="V728" s="74"/>
    </row>
    <row r="729" ht="22.5" customHeight="1">
      <c r="A729" s="6"/>
      <c r="C729" s="6"/>
      <c r="D729" s="22"/>
      <c r="E729" s="20"/>
      <c r="F729" s="21"/>
      <c r="G729" s="21"/>
      <c r="H729" s="21"/>
      <c r="I729" s="35" t="b">
        <v>0</v>
      </c>
      <c r="J729" s="35" t="b">
        <v>0</v>
      </c>
      <c r="K729" s="35" t="b">
        <v>0</v>
      </c>
      <c r="L729" s="82" t="b">
        <v>0</v>
      </c>
      <c r="M729" s="83"/>
      <c r="N729" s="84"/>
      <c r="O729" s="89"/>
      <c r="P729" s="66" t="s">
        <v>112</v>
      </c>
      <c r="Q729" s="22"/>
      <c r="R729" s="22"/>
      <c r="S729" s="22"/>
      <c r="T729" s="74"/>
      <c r="U729" s="6"/>
      <c r="V729" s="74"/>
    </row>
    <row r="730" ht="22.5" customHeight="1">
      <c r="A730" s="6"/>
      <c r="C730" s="6"/>
      <c r="D730" s="22"/>
      <c r="E730" s="20"/>
      <c r="F730" s="21"/>
      <c r="G730" s="21"/>
      <c r="H730" s="21"/>
      <c r="I730" s="35" t="b">
        <v>0</v>
      </c>
      <c r="J730" s="35" t="b">
        <v>0</v>
      </c>
      <c r="K730" s="35" t="b">
        <v>0</v>
      </c>
      <c r="L730" s="82" t="b">
        <v>0</v>
      </c>
      <c r="M730" s="83"/>
      <c r="N730" s="84"/>
      <c r="O730" s="89"/>
      <c r="P730" s="66" t="s">
        <v>112</v>
      </c>
      <c r="Q730" s="22"/>
      <c r="R730" s="22"/>
      <c r="S730" s="22"/>
      <c r="T730" s="74"/>
      <c r="U730" s="6"/>
      <c r="V730" s="74"/>
    </row>
    <row r="731" ht="22.5" customHeight="1">
      <c r="A731" s="6"/>
      <c r="C731" s="6"/>
      <c r="D731" s="22"/>
      <c r="E731" s="20"/>
      <c r="F731" s="21"/>
      <c r="G731" s="21"/>
      <c r="H731" s="21"/>
      <c r="I731" s="35" t="b">
        <v>0</v>
      </c>
      <c r="J731" s="35" t="b">
        <v>0</v>
      </c>
      <c r="K731" s="35" t="b">
        <v>0</v>
      </c>
      <c r="L731" s="82" t="b">
        <v>0</v>
      </c>
      <c r="M731" s="83"/>
      <c r="N731" s="84"/>
      <c r="O731" s="89"/>
      <c r="P731" s="66" t="s">
        <v>112</v>
      </c>
      <c r="Q731" s="22"/>
      <c r="R731" s="22"/>
      <c r="S731" s="22"/>
      <c r="T731" s="74"/>
      <c r="U731" s="6"/>
      <c r="V731" s="74"/>
    </row>
    <row r="732" ht="22.5" customHeight="1">
      <c r="A732" s="6"/>
      <c r="C732" s="6"/>
      <c r="D732" s="22"/>
      <c r="E732" s="20"/>
      <c r="F732" s="21"/>
      <c r="G732" s="21"/>
      <c r="H732" s="21"/>
      <c r="I732" s="35" t="b">
        <v>0</v>
      </c>
      <c r="J732" s="35" t="b">
        <v>0</v>
      </c>
      <c r="K732" s="35" t="b">
        <v>0</v>
      </c>
      <c r="L732" s="82" t="b">
        <v>0</v>
      </c>
      <c r="M732" s="83"/>
      <c r="N732" s="84"/>
      <c r="O732" s="89"/>
      <c r="P732" s="66" t="s">
        <v>112</v>
      </c>
      <c r="Q732" s="22"/>
      <c r="R732" s="22"/>
      <c r="S732" s="22"/>
      <c r="T732" s="74"/>
      <c r="U732" s="6"/>
      <c r="V732" s="74"/>
    </row>
    <row r="733" ht="22.5" customHeight="1">
      <c r="A733" s="6"/>
      <c r="C733" s="6"/>
      <c r="D733" s="22"/>
      <c r="E733" s="20"/>
      <c r="F733" s="21"/>
      <c r="G733" s="21"/>
      <c r="H733" s="21"/>
      <c r="I733" s="35" t="b">
        <v>0</v>
      </c>
      <c r="J733" s="35" t="b">
        <v>0</v>
      </c>
      <c r="K733" s="35" t="b">
        <v>0</v>
      </c>
      <c r="L733" s="82" t="b">
        <v>0</v>
      </c>
      <c r="M733" s="83"/>
      <c r="N733" s="84"/>
      <c r="O733" s="89"/>
      <c r="P733" s="66" t="s">
        <v>112</v>
      </c>
      <c r="Q733" s="22"/>
      <c r="R733" s="22"/>
      <c r="S733" s="22"/>
      <c r="T733" s="74"/>
      <c r="U733" s="6"/>
      <c r="V733" s="74"/>
    </row>
    <row r="734" ht="22.5" customHeight="1">
      <c r="A734" s="6"/>
      <c r="C734" s="6"/>
      <c r="D734" s="22"/>
      <c r="E734" s="20"/>
      <c r="F734" s="21"/>
      <c r="G734" s="21"/>
      <c r="H734" s="21"/>
      <c r="I734" s="35" t="b">
        <v>0</v>
      </c>
      <c r="J734" s="35" t="b">
        <v>0</v>
      </c>
      <c r="K734" s="35" t="b">
        <v>0</v>
      </c>
      <c r="L734" s="82" t="b">
        <v>0</v>
      </c>
      <c r="M734" s="83"/>
      <c r="N734" s="84"/>
      <c r="O734" s="89"/>
      <c r="P734" s="66" t="s">
        <v>112</v>
      </c>
      <c r="Q734" s="22"/>
      <c r="R734" s="22"/>
      <c r="S734" s="22"/>
      <c r="T734" s="74"/>
      <c r="U734" s="6"/>
      <c r="V734" s="74"/>
    </row>
    <row r="735" ht="22.5" customHeight="1">
      <c r="A735" s="6"/>
      <c r="C735" s="6"/>
      <c r="D735" s="22"/>
      <c r="E735" s="20"/>
      <c r="F735" s="21"/>
      <c r="G735" s="21"/>
      <c r="H735" s="21"/>
      <c r="I735" s="35" t="b">
        <v>0</v>
      </c>
      <c r="J735" s="35" t="b">
        <v>0</v>
      </c>
      <c r="K735" s="35" t="b">
        <v>0</v>
      </c>
      <c r="L735" s="82" t="b">
        <v>0</v>
      </c>
      <c r="M735" s="83"/>
      <c r="N735" s="84"/>
      <c r="O735" s="89"/>
      <c r="P735" s="66" t="s">
        <v>112</v>
      </c>
      <c r="Q735" s="22"/>
      <c r="R735" s="22"/>
      <c r="S735" s="22"/>
      <c r="T735" s="74"/>
      <c r="U735" s="6"/>
      <c r="V735" s="74"/>
    </row>
    <row r="736" ht="22.5" customHeight="1">
      <c r="A736" s="6"/>
      <c r="C736" s="6"/>
      <c r="D736" s="22"/>
      <c r="E736" s="20"/>
      <c r="F736" s="21"/>
      <c r="G736" s="21"/>
      <c r="H736" s="21"/>
      <c r="I736" s="35" t="b">
        <v>0</v>
      </c>
      <c r="J736" s="35" t="b">
        <v>0</v>
      </c>
      <c r="K736" s="35" t="b">
        <v>0</v>
      </c>
      <c r="L736" s="82" t="b">
        <v>0</v>
      </c>
      <c r="M736" s="83"/>
      <c r="N736" s="84"/>
      <c r="O736" s="89"/>
      <c r="P736" s="66" t="s">
        <v>112</v>
      </c>
      <c r="Q736" s="22"/>
      <c r="R736" s="22"/>
      <c r="S736" s="22"/>
      <c r="T736" s="74"/>
      <c r="U736" s="6"/>
      <c r="V736" s="74"/>
    </row>
    <row r="737" ht="22.5" customHeight="1">
      <c r="A737" s="6"/>
      <c r="C737" s="6"/>
      <c r="D737" s="22"/>
      <c r="E737" s="20"/>
      <c r="F737" s="21"/>
      <c r="G737" s="21"/>
      <c r="H737" s="21"/>
      <c r="I737" s="35" t="b">
        <v>0</v>
      </c>
      <c r="J737" s="35" t="b">
        <v>0</v>
      </c>
      <c r="K737" s="35" t="b">
        <v>0</v>
      </c>
      <c r="L737" s="82" t="b">
        <v>0</v>
      </c>
      <c r="M737" s="83"/>
      <c r="N737" s="84"/>
      <c r="O737" s="89"/>
      <c r="P737" s="66" t="s">
        <v>112</v>
      </c>
      <c r="Q737" s="22"/>
      <c r="R737" s="22"/>
      <c r="S737" s="22"/>
      <c r="T737" s="74"/>
      <c r="U737" s="6"/>
      <c r="V737" s="74"/>
    </row>
    <row r="738" ht="22.5" customHeight="1">
      <c r="A738" s="6"/>
      <c r="C738" s="6"/>
      <c r="D738" s="22"/>
      <c r="E738" s="20"/>
      <c r="F738" s="21"/>
      <c r="G738" s="21"/>
      <c r="H738" s="21"/>
      <c r="I738" s="35" t="b">
        <v>0</v>
      </c>
      <c r="J738" s="35" t="b">
        <v>0</v>
      </c>
      <c r="K738" s="35" t="b">
        <v>0</v>
      </c>
      <c r="L738" s="82" t="b">
        <v>0</v>
      </c>
      <c r="M738" s="83"/>
      <c r="N738" s="84"/>
      <c r="O738" s="89"/>
      <c r="P738" s="66" t="s">
        <v>112</v>
      </c>
      <c r="Q738" s="22"/>
      <c r="R738" s="22"/>
      <c r="S738" s="22"/>
      <c r="T738" s="74"/>
      <c r="U738" s="6"/>
      <c r="V738" s="74"/>
    </row>
    <row r="739" ht="22.5" customHeight="1">
      <c r="A739" s="6"/>
      <c r="C739" s="6"/>
      <c r="D739" s="22"/>
      <c r="E739" s="20"/>
      <c r="F739" s="21"/>
      <c r="G739" s="21"/>
      <c r="H739" s="21"/>
      <c r="I739" s="35" t="b">
        <v>0</v>
      </c>
      <c r="J739" s="35" t="b">
        <v>0</v>
      </c>
      <c r="K739" s="35" t="b">
        <v>0</v>
      </c>
      <c r="L739" s="82" t="b">
        <v>0</v>
      </c>
      <c r="M739" s="83"/>
      <c r="N739" s="84"/>
      <c r="O739" s="89"/>
      <c r="P739" s="66" t="s">
        <v>112</v>
      </c>
      <c r="Q739" s="22"/>
      <c r="R739" s="22"/>
      <c r="S739" s="22"/>
      <c r="T739" s="74"/>
      <c r="U739" s="6"/>
      <c r="V739" s="74"/>
    </row>
    <row r="740" ht="22.5" customHeight="1">
      <c r="A740" s="6"/>
      <c r="C740" s="6"/>
      <c r="D740" s="22"/>
      <c r="E740" s="20"/>
      <c r="F740" s="21"/>
      <c r="G740" s="21"/>
      <c r="H740" s="21"/>
      <c r="I740" s="35" t="b">
        <v>0</v>
      </c>
      <c r="J740" s="35" t="b">
        <v>0</v>
      </c>
      <c r="K740" s="35" t="b">
        <v>0</v>
      </c>
      <c r="L740" s="82" t="b">
        <v>0</v>
      </c>
      <c r="M740" s="83"/>
      <c r="N740" s="84"/>
      <c r="O740" s="89"/>
      <c r="P740" s="66" t="s">
        <v>112</v>
      </c>
      <c r="Q740" s="22"/>
      <c r="R740" s="22"/>
      <c r="S740" s="22"/>
      <c r="T740" s="74"/>
      <c r="U740" s="6"/>
      <c r="V740" s="74"/>
    </row>
    <row r="741" ht="22.5" customHeight="1">
      <c r="A741" s="6"/>
      <c r="C741" s="6"/>
      <c r="D741" s="22"/>
      <c r="E741" s="20"/>
      <c r="F741" s="21"/>
      <c r="G741" s="21"/>
      <c r="H741" s="21"/>
      <c r="I741" s="35" t="b">
        <v>0</v>
      </c>
      <c r="J741" s="35" t="b">
        <v>0</v>
      </c>
      <c r="K741" s="35" t="b">
        <v>0</v>
      </c>
      <c r="L741" s="82" t="b">
        <v>0</v>
      </c>
      <c r="M741" s="83"/>
      <c r="N741" s="84"/>
      <c r="O741" s="89"/>
      <c r="P741" s="66" t="s">
        <v>112</v>
      </c>
      <c r="Q741" s="22"/>
      <c r="R741" s="22"/>
      <c r="S741" s="22"/>
      <c r="T741" s="74"/>
      <c r="U741" s="6"/>
      <c r="V741" s="74"/>
    </row>
    <row r="742" ht="22.5" customHeight="1">
      <c r="A742" s="6"/>
      <c r="C742" s="6"/>
      <c r="D742" s="22"/>
      <c r="E742" s="20"/>
      <c r="F742" s="21"/>
      <c r="G742" s="21"/>
      <c r="H742" s="21"/>
      <c r="I742" s="35" t="b">
        <v>0</v>
      </c>
      <c r="J742" s="35" t="b">
        <v>0</v>
      </c>
      <c r="K742" s="35" t="b">
        <v>0</v>
      </c>
      <c r="L742" s="82" t="b">
        <v>0</v>
      </c>
      <c r="M742" s="83"/>
      <c r="N742" s="84"/>
      <c r="O742" s="89"/>
      <c r="P742" s="66" t="s">
        <v>112</v>
      </c>
      <c r="Q742" s="22"/>
      <c r="R742" s="22"/>
      <c r="S742" s="22"/>
      <c r="T742" s="74"/>
      <c r="U742" s="6"/>
      <c r="V742" s="74"/>
    </row>
    <row r="743" ht="22.5" customHeight="1">
      <c r="A743" s="6"/>
      <c r="C743" s="6"/>
      <c r="D743" s="22"/>
      <c r="E743" s="20"/>
      <c r="F743" s="21"/>
      <c r="G743" s="21"/>
      <c r="H743" s="21"/>
      <c r="I743" s="35" t="b">
        <v>0</v>
      </c>
      <c r="J743" s="35" t="b">
        <v>0</v>
      </c>
      <c r="K743" s="35" t="b">
        <v>0</v>
      </c>
      <c r="L743" s="82" t="b">
        <v>0</v>
      </c>
      <c r="M743" s="83"/>
      <c r="N743" s="84"/>
      <c r="O743" s="89"/>
      <c r="P743" s="66" t="s">
        <v>112</v>
      </c>
      <c r="Q743" s="22"/>
      <c r="R743" s="22"/>
      <c r="S743" s="22"/>
      <c r="T743" s="74"/>
      <c r="U743" s="6"/>
      <c r="V743" s="74"/>
    </row>
    <row r="744" ht="22.5" customHeight="1">
      <c r="A744" s="6"/>
      <c r="C744" s="6"/>
      <c r="D744" s="22"/>
      <c r="E744" s="20"/>
      <c r="F744" s="21"/>
      <c r="G744" s="21"/>
      <c r="H744" s="21"/>
      <c r="I744" s="35" t="b">
        <v>0</v>
      </c>
      <c r="J744" s="35" t="b">
        <v>0</v>
      </c>
      <c r="K744" s="35" t="b">
        <v>0</v>
      </c>
      <c r="L744" s="82" t="b">
        <v>0</v>
      </c>
      <c r="M744" s="83"/>
      <c r="N744" s="84"/>
      <c r="O744" s="89"/>
      <c r="P744" s="66" t="s">
        <v>112</v>
      </c>
      <c r="Q744" s="22"/>
      <c r="R744" s="22"/>
      <c r="S744" s="22"/>
      <c r="T744" s="74"/>
      <c r="U744" s="6"/>
      <c r="V744" s="74"/>
    </row>
    <row r="745" ht="22.5" customHeight="1">
      <c r="A745" s="6"/>
      <c r="C745" s="6"/>
      <c r="D745" s="22"/>
      <c r="E745" s="20"/>
      <c r="F745" s="21"/>
      <c r="G745" s="21"/>
      <c r="H745" s="21"/>
      <c r="I745" s="35" t="b">
        <v>0</v>
      </c>
      <c r="J745" s="35" t="b">
        <v>0</v>
      </c>
      <c r="K745" s="35" t="b">
        <v>0</v>
      </c>
      <c r="L745" s="82" t="b">
        <v>0</v>
      </c>
      <c r="M745" s="83"/>
      <c r="N745" s="84"/>
      <c r="O745" s="89"/>
      <c r="P745" s="66" t="s">
        <v>112</v>
      </c>
      <c r="Q745" s="22"/>
      <c r="R745" s="22"/>
      <c r="S745" s="22"/>
      <c r="T745" s="74"/>
      <c r="U745" s="6"/>
      <c r="V745" s="74"/>
    </row>
    <row r="746" ht="22.5" customHeight="1">
      <c r="A746" s="6"/>
      <c r="C746" s="6"/>
      <c r="D746" s="22"/>
      <c r="E746" s="20"/>
      <c r="F746" s="21"/>
      <c r="G746" s="21"/>
      <c r="H746" s="21"/>
      <c r="I746" s="35" t="b">
        <v>0</v>
      </c>
      <c r="J746" s="35" t="b">
        <v>0</v>
      </c>
      <c r="K746" s="35" t="b">
        <v>0</v>
      </c>
      <c r="L746" s="82" t="b">
        <v>0</v>
      </c>
      <c r="M746" s="83"/>
      <c r="N746" s="84"/>
      <c r="O746" s="89"/>
      <c r="P746" s="66" t="s">
        <v>112</v>
      </c>
      <c r="Q746" s="22"/>
      <c r="R746" s="22"/>
      <c r="S746" s="22"/>
      <c r="T746" s="74"/>
      <c r="U746" s="6"/>
      <c r="V746" s="74"/>
    </row>
    <row r="747" ht="22.5" customHeight="1">
      <c r="A747" s="6"/>
      <c r="C747" s="6"/>
      <c r="D747" s="22"/>
      <c r="E747" s="20"/>
      <c r="F747" s="21"/>
      <c r="G747" s="21"/>
      <c r="H747" s="21"/>
      <c r="I747" s="35" t="b">
        <v>0</v>
      </c>
      <c r="J747" s="35" t="b">
        <v>0</v>
      </c>
      <c r="K747" s="35" t="b">
        <v>0</v>
      </c>
      <c r="L747" s="82" t="b">
        <v>0</v>
      </c>
      <c r="M747" s="83"/>
      <c r="N747" s="84"/>
      <c r="O747" s="89"/>
      <c r="P747" s="66" t="s">
        <v>112</v>
      </c>
      <c r="Q747" s="22"/>
      <c r="R747" s="22"/>
      <c r="S747" s="22"/>
      <c r="T747" s="74"/>
      <c r="U747" s="6"/>
      <c r="V747" s="74"/>
    </row>
    <row r="748" ht="22.5" customHeight="1">
      <c r="A748" s="6"/>
      <c r="C748" s="6"/>
      <c r="D748" s="22"/>
      <c r="E748" s="20"/>
      <c r="F748" s="21"/>
      <c r="G748" s="21"/>
      <c r="H748" s="21"/>
      <c r="I748" s="35" t="b">
        <v>0</v>
      </c>
      <c r="J748" s="35" t="b">
        <v>0</v>
      </c>
      <c r="K748" s="35" t="b">
        <v>0</v>
      </c>
      <c r="L748" s="82" t="b">
        <v>0</v>
      </c>
      <c r="M748" s="83"/>
      <c r="N748" s="84"/>
      <c r="O748" s="89"/>
      <c r="P748" s="66" t="s">
        <v>112</v>
      </c>
      <c r="Q748" s="22"/>
      <c r="R748" s="22"/>
      <c r="S748" s="22"/>
      <c r="T748" s="74"/>
      <c r="U748" s="6"/>
      <c r="V748" s="74"/>
    </row>
    <row r="749" ht="22.5" customHeight="1">
      <c r="A749" s="6"/>
      <c r="C749" s="6"/>
      <c r="D749" s="22"/>
      <c r="E749" s="20"/>
      <c r="F749" s="21"/>
      <c r="G749" s="21"/>
      <c r="H749" s="21"/>
      <c r="I749" s="35" t="b">
        <v>0</v>
      </c>
      <c r="J749" s="35" t="b">
        <v>0</v>
      </c>
      <c r="K749" s="35" t="b">
        <v>0</v>
      </c>
      <c r="L749" s="82" t="b">
        <v>0</v>
      </c>
      <c r="M749" s="83"/>
      <c r="N749" s="84"/>
      <c r="O749" s="89"/>
      <c r="P749" s="66" t="s">
        <v>112</v>
      </c>
      <c r="Q749" s="22"/>
      <c r="R749" s="22"/>
      <c r="S749" s="22"/>
      <c r="T749" s="74"/>
      <c r="U749" s="6"/>
      <c r="V749" s="74"/>
    </row>
    <row r="750" ht="22.5" customHeight="1">
      <c r="A750" s="6"/>
      <c r="C750" s="6"/>
      <c r="D750" s="22"/>
      <c r="E750" s="20"/>
      <c r="F750" s="21"/>
      <c r="G750" s="21"/>
      <c r="H750" s="21"/>
      <c r="I750" s="35" t="b">
        <v>0</v>
      </c>
      <c r="J750" s="35" t="b">
        <v>0</v>
      </c>
      <c r="K750" s="35" t="b">
        <v>0</v>
      </c>
      <c r="L750" s="82" t="b">
        <v>0</v>
      </c>
      <c r="M750" s="83"/>
      <c r="N750" s="84"/>
      <c r="O750" s="89"/>
      <c r="P750" s="66" t="s">
        <v>112</v>
      </c>
      <c r="Q750" s="22"/>
      <c r="R750" s="22"/>
      <c r="S750" s="22"/>
      <c r="T750" s="74"/>
      <c r="U750" s="6"/>
      <c r="V750" s="74"/>
    </row>
    <row r="751" ht="22.5" customHeight="1">
      <c r="A751" s="6"/>
      <c r="C751" s="6"/>
      <c r="D751" s="22"/>
      <c r="E751" s="20"/>
      <c r="F751" s="21"/>
      <c r="G751" s="21"/>
      <c r="H751" s="21"/>
      <c r="I751" s="35" t="b">
        <v>0</v>
      </c>
      <c r="J751" s="35" t="b">
        <v>0</v>
      </c>
      <c r="K751" s="35" t="b">
        <v>0</v>
      </c>
      <c r="L751" s="82" t="b">
        <v>0</v>
      </c>
      <c r="M751" s="83"/>
      <c r="N751" s="84"/>
      <c r="O751" s="89"/>
      <c r="P751" s="66" t="s">
        <v>112</v>
      </c>
      <c r="Q751" s="22"/>
      <c r="R751" s="22"/>
      <c r="S751" s="22"/>
      <c r="T751" s="74"/>
      <c r="U751" s="6"/>
      <c r="V751" s="74"/>
    </row>
    <row r="752" ht="22.5" customHeight="1">
      <c r="A752" s="6"/>
      <c r="C752" s="6"/>
      <c r="D752" s="22"/>
      <c r="E752" s="20"/>
      <c r="F752" s="21"/>
      <c r="G752" s="21"/>
      <c r="H752" s="21"/>
      <c r="I752" s="35" t="b">
        <v>0</v>
      </c>
      <c r="J752" s="35" t="b">
        <v>0</v>
      </c>
      <c r="K752" s="35" t="b">
        <v>0</v>
      </c>
      <c r="L752" s="82" t="b">
        <v>0</v>
      </c>
      <c r="M752" s="83"/>
      <c r="N752" s="84"/>
      <c r="O752" s="89"/>
      <c r="P752" s="66" t="s">
        <v>112</v>
      </c>
      <c r="Q752" s="22"/>
      <c r="R752" s="22"/>
      <c r="S752" s="22"/>
      <c r="T752" s="74"/>
      <c r="U752" s="6"/>
      <c r="V752" s="74"/>
    </row>
    <row r="753" ht="22.5" customHeight="1">
      <c r="A753" s="6"/>
      <c r="C753" s="6"/>
      <c r="D753" s="22"/>
      <c r="E753" s="20"/>
      <c r="F753" s="21"/>
      <c r="G753" s="21"/>
      <c r="H753" s="21"/>
      <c r="I753" s="35" t="b">
        <v>0</v>
      </c>
      <c r="J753" s="35" t="b">
        <v>0</v>
      </c>
      <c r="K753" s="35" t="b">
        <v>0</v>
      </c>
      <c r="L753" s="82" t="b">
        <v>0</v>
      </c>
      <c r="M753" s="83"/>
      <c r="N753" s="84"/>
      <c r="O753" s="89"/>
      <c r="P753" s="66" t="s">
        <v>112</v>
      </c>
      <c r="Q753" s="22"/>
      <c r="R753" s="22"/>
      <c r="S753" s="22"/>
      <c r="T753" s="74"/>
      <c r="U753" s="6"/>
      <c r="V753" s="74"/>
    </row>
    <row r="754" ht="22.5" customHeight="1">
      <c r="A754" s="6"/>
      <c r="C754" s="6"/>
      <c r="D754" s="22"/>
      <c r="E754" s="20"/>
      <c r="F754" s="21"/>
      <c r="G754" s="21"/>
      <c r="H754" s="21"/>
      <c r="I754" s="35" t="b">
        <v>0</v>
      </c>
      <c r="J754" s="35" t="b">
        <v>0</v>
      </c>
      <c r="K754" s="35" t="b">
        <v>0</v>
      </c>
      <c r="L754" s="82" t="b">
        <v>0</v>
      </c>
      <c r="M754" s="83"/>
      <c r="N754" s="84"/>
      <c r="O754" s="89"/>
      <c r="P754" s="66" t="s">
        <v>112</v>
      </c>
      <c r="Q754" s="22"/>
      <c r="R754" s="22"/>
      <c r="S754" s="22"/>
      <c r="T754" s="74"/>
      <c r="U754" s="6"/>
      <c r="V754" s="74"/>
    </row>
    <row r="755" ht="22.5" customHeight="1">
      <c r="A755" s="6"/>
      <c r="C755" s="6"/>
      <c r="D755" s="22"/>
      <c r="E755" s="20"/>
      <c r="F755" s="21"/>
      <c r="G755" s="21"/>
      <c r="H755" s="21"/>
      <c r="I755" s="35" t="b">
        <v>0</v>
      </c>
      <c r="J755" s="35" t="b">
        <v>0</v>
      </c>
      <c r="K755" s="35" t="b">
        <v>0</v>
      </c>
      <c r="L755" s="82" t="b">
        <v>0</v>
      </c>
      <c r="M755" s="83"/>
      <c r="N755" s="84"/>
      <c r="O755" s="89"/>
      <c r="P755" s="66" t="s">
        <v>112</v>
      </c>
      <c r="Q755" s="22"/>
      <c r="R755" s="22"/>
      <c r="S755" s="22"/>
      <c r="T755" s="74"/>
      <c r="U755" s="6"/>
      <c r="V755" s="74"/>
    </row>
    <row r="756" ht="22.5" customHeight="1">
      <c r="A756" s="6"/>
      <c r="C756" s="6"/>
      <c r="D756" s="22"/>
      <c r="E756" s="20"/>
      <c r="F756" s="21"/>
      <c r="G756" s="21"/>
      <c r="H756" s="21"/>
      <c r="I756" s="35" t="b">
        <v>0</v>
      </c>
      <c r="J756" s="35" t="b">
        <v>0</v>
      </c>
      <c r="K756" s="35" t="b">
        <v>0</v>
      </c>
      <c r="L756" s="82" t="b">
        <v>0</v>
      </c>
      <c r="M756" s="83"/>
      <c r="N756" s="84"/>
      <c r="O756" s="89"/>
      <c r="P756" s="66" t="s">
        <v>112</v>
      </c>
      <c r="Q756" s="22"/>
      <c r="R756" s="22"/>
      <c r="S756" s="22"/>
      <c r="T756" s="74"/>
      <c r="U756" s="6"/>
      <c r="V756" s="74"/>
    </row>
    <row r="757" ht="22.5" customHeight="1">
      <c r="A757" s="6"/>
      <c r="C757" s="6"/>
      <c r="D757" s="22"/>
      <c r="E757" s="20"/>
      <c r="F757" s="21"/>
      <c r="G757" s="21"/>
      <c r="H757" s="21"/>
      <c r="I757" s="35" t="b">
        <v>0</v>
      </c>
      <c r="J757" s="35" t="b">
        <v>0</v>
      </c>
      <c r="K757" s="35" t="b">
        <v>0</v>
      </c>
      <c r="L757" s="82" t="b">
        <v>0</v>
      </c>
      <c r="M757" s="83"/>
      <c r="N757" s="84"/>
      <c r="O757" s="89"/>
      <c r="P757" s="66" t="s">
        <v>112</v>
      </c>
      <c r="Q757" s="22"/>
      <c r="R757" s="22"/>
      <c r="S757" s="22"/>
      <c r="T757" s="74"/>
      <c r="U757" s="6"/>
      <c r="V757" s="74"/>
    </row>
    <row r="758" ht="22.5" customHeight="1">
      <c r="A758" s="6"/>
      <c r="C758" s="6"/>
      <c r="D758" s="22"/>
      <c r="E758" s="20"/>
      <c r="F758" s="21"/>
      <c r="G758" s="21"/>
      <c r="H758" s="21"/>
      <c r="I758" s="35" t="b">
        <v>0</v>
      </c>
      <c r="J758" s="35" t="b">
        <v>0</v>
      </c>
      <c r="K758" s="35" t="b">
        <v>0</v>
      </c>
      <c r="L758" s="82" t="b">
        <v>0</v>
      </c>
      <c r="M758" s="83"/>
      <c r="N758" s="84"/>
      <c r="O758" s="89"/>
      <c r="P758" s="66" t="s">
        <v>112</v>
      </c>
      <c r="Q758" s="22"/>
      <c r="R758" s="22"/>
      <c r="S758" s="22"/>
      <c r="T758" s="74"/>
      <c r="U758" s="6"/>
      <c r="V758" s="74"/>
    </row>
    <row r="759" ht="22.5" customHeight="1">
      <c r="A759" s="6"/>
      <c r="C759" s="6"/>
      <c r="D759" s="22"/>
      <c r="E759" s="20"/>
      <c r="F759" s="21"/>
      <c r="G759" s="21"/>
      <c r="H759" s="21"/>
      <c r="I759" s="35" t="b">
        <v>0</v>
      </c>
      <c r="J759" s="35" t="b">
        <v>0</v>
      </c>
      <c r="K759" s="35" t="b">
        <v>0</v>
      </c>
      <c r="L759" s="82" t="b">
        <v>0</v>
      </c>
      <c r="M759" s="83"/>
      <c r="N759" s="84"/>
      <c r="O759" s="89"/>
      <c r="P759" s="66" t="s">
        <v>112</v>
      </c>
      <c r="Q759" s="22"/>
      <c r="R759" s="22"/>
      <c r="S759" s="22"/>
      <c r="T759" s="74"/>
      <c r="U759" s="6"/>
      <c r="V759" s="74"/>
    </row>
    <row r="760" ht="22.5" customHeight="1">
      <c r="A760" s="6"/>
      <c r="C760" s="6"/>
      <c r="D760" s="22"/>
      <c r="E760" s="20"/>
      <c r="F760" s="21"/>
      <c r="G760" s="21"/>
      <c r="H760" s="21"/>
      <c r="I760" s="35" t="b">
        <v>0</v>
      </c>
      <c r="J760" s="35" t="b">
        <v>0</v>
      </c>
      <c r="K760" s="35" t="b">
        <v>0</v>
      </c>
      <c r="L760" s="82" t="b">
        <v>0</v>
      </c>
      <c r="M760" s="83"/>
      <c r="N760" s="84"/>
      <c r="O760" s="89"/>
      <c r="P760" s="66" t="s">
        <v>112</v>
      </c>
      <c r="Q760" s="22"/>
      <c r="R760" s="22"/>
      <c r="S760" s="22"/>
      <c r="T760" s="74"/>
      <c r="U760" s="6"/>
      <c r="V760" s="74"/>
    </row>
    <row r="761" ht="22.5" customHeight="1">
      <c r="A761" s="6"/>
      <c r="C761" s="6"/>
      <c r="D761" s="22"/>
      <c r="E761" s="20"/>
      <c r="F761" s="21"/>
      <c r="G761" s="21"/>
      <c r="H761" s="21"/>
      <c r="I761" s="35" t="b">
        <v>0</v>
      </c>
      <c r="J761" s="35" t="b">
        <v>0</v>
      </c>
      <c r="K761" s="35" t="b">
        <v>0</v>
      </c>
      <c r="L761" s="82" t="b">
        <v>0</v>
      </c>
      <c r="M761" s="83"/>
      <c r="N761" s="84"/>
      <c r="O761" s="89"/>
      <c r="P761" s="66" t="s">
        <v>112</v>
      </c>
      <c r="Q761" s="22"/>
      <c r="R761" s="22"/>
      <c r="S761" s="22"/>
      <c r="T761" s="74"/>
      <c r="U761" s="6"/>
      <c r="V761" s="74"/>
    </row>
    <row r="762" ht="22.5" customHeight="1">
      <c r="A762" s="6"/>
      <c r="C762" s="6"/>
      <c r="D762" s="22"/>
      <c r="E762" s="20"/>
      <c r="F762" s="21"/>
      <c r="G762" s="21"/>
      <c r="H762" s="21"/>
      <c r="I762" s="35" t="b">
        <v>0</v>
      </c>
      <c r="J762" s="35" t="b">
        <v>0</v>
      </c>
      <c r="K762" s="35" t="b">
        <v>0</v>
      </c>
      <c r="L762" s="82" t="b">
        <v>0</v>
      </c>
      <c r="M762" s="83"/>
      <c r="N762" s="84"/>
      <c r="O762" s="89"/>
      <c r="P762" s="66" t="s">
        <v>112</v>
      </c>
      <c r="Q762" s="22"/>
      <c r="R762" s="22"/>
      <c r="S762" s="22"/>
      <c r="T762" s="74"/>
      <c r="U762" s="6"/>
      <c r="V762" s="74"/>
    </row>
    <row r="763" ht="22.5" customHeight="1">
      <c r="A763" s="6"/>
      <c r="C763" s="6"/>
      <c r="D763" s="22"/>
      <c r="E763" s="20"/>
      <c r="F763" s="21"/>
      <c r="G763" s="21"/>
      <c r="H763" s="21"/>
      <c r="I763" s="35" t="b">
        <v>0</v>
      </c>
      <c r="J763" s="35" t="b">
        <v>0</v>
      </c>
      <c r="K763" s="35" t="b">
        <v>0</v>
      </c>
      <c r="L763" s="82" t="b">
        <v>0</v>
      </c>
      <c r="M763" s="83"/>
      <c r="N763" s="84"/>
      <c r="O763" s="89"/>
      <c r="P763" s="66" t="s">
        <v>112</v>
      </c>
      <c r="Q763" s="22"/>
      <c r="R763" s="22"/>
      <c r="S763" s="22"/>
      <c r="T763" s="74"/>
      <c r="U763" s="6"/>
      <c r="V763" s="74"/>
    </row>
    <row r="764" ht="22.5" customHeight="1">
      <c r="A764" s="6"/>
      <c r="C764" s="6"/>
      <c r="D764" s="22"/>
      <c r="E764" s="20"/>
      <c r="F764" s="21"/>
      <c r="G764" s="21"/>
      <c r="H764" s="21"/>
      <c r="I764" s="35" t="b">
        <v>0</v>
      </c>
      <c r="J764" s="35" t="b">
        <v>0</v>
      </c>
      <c r="K764" s="35" t="b">
        <v>0</v>
      </c>
      <c r="L764" s="82" t="b">
        <v>0</v>
      </c>
      <c r="M764" s="83"/>
      <c r="N764" s="84"/>
      <c r="O764" s="89"/>
      <c r="P764" s="66" t="s">
        <v>112</v>
      </c>
      <c r="Q764" s="22"/>
      <c r="R764" s="22"/>
      <c r="S764" s="22"/>
      <c r="T764" s="74"/>
      <c r="U764" s="6"/>
      <c r="V764" s="74"/>
    </row>
    <row r="765" ht="22.5" customHeight="1">
      <c r="A765" s="6"/>
      <c r="C765" s="6"/>
      <c r="D765" s="22"/>
      <c r="E765" s="20"/>
      <c r="F765" s="21"/>
      <c r="G765" s="21"/>
      <c r="H765" s="21"/>
      <c r="I765" s="35" t="b">
        <v>0</v>
      </c>
      <c r="J765" s="35" t="b">
        <v>0</v>
      </c>
      <c r="K765" s="35" t="b">
        <v>0</v>
      </c>
      <c r="L765" s="82" t="b">
        <v>0</v>
      </c>
      <c r="M765" s="83"/>
      <c r="N765" s="84"/>
      <c r="O765" s="89"/>
      <c r="P765" s="66" t="s">
        <v>112</v>
      </c>
      <c r="Q765" s="22"/>
      <c r="R765" s="22"/>
      <c r="S765" s="22"/>
      <c r="T765" s="74"/>
      <c r="U765" s="6"/>
      <c r="V765" s="74"/>
    </row>
    <row r="766" ht="22.5" customHeight="1">
      <c r="A766" s="6"/>
      <c r="C766" s="6"/>
      <c r="D766" s="22"/>
      <c r="E766" s="20"/>
      <c r="F766" s="21"/>
      <c r="G766" s="21"/>
      <c r="H766" s="21"/>
      <c r="I766" s="35" t="b">
        <v>0</v>
      </c>
      <c r="J766" s="35" t="b">
        <v>0</v>
      </c>
      <c r="K766" s="35" t="b">
        <v>0</v>
      </c>
      <c r="L766" s="82" t="b">
        <v>0</v>
      </c>
      <c r="M766" s="83"/>
      <c r="N766" s="84"/>
      <c r="O766" s="89"/>
      <c r="P766" s="66" t="s">
        <v>112</v>
      </c>
      <c r="Q766" s="22"/>
      <c r="R766" s="22"/>
      <c r="S766" s="22"/>
      <c r="T766" s="74"/>
      <c r="U766" s="6"/>
      <c r="V766" s="74"/>
    </row>
    <row r="767" ht="22.5" customHeight="1">
      <c r="A767" s="6"/>
      <c r="C767" s="6"/>
      <c r="D767" s="22"/>
      <c r="E767" s="20"/>
      <c r="F767" s="21"/>
      <c r="G767" s="21"/>
      <c r="H767" s="21"/>
      <c r="I767" s="35" t="b">
        <v>0</v>
      </c>
      <c r="J767" s="35" t="b">
        <v>0</v>
      </c>
      <c r="K767" s="35" t="b">
        <v>0</v>
      </c>
      <c r="L767" s="82" t="b">
        <v>0</v>
      </c>
      <c r="M767" s="83"/>
      <c r="N767" s="84"/>
      <c r="O767" s="89"/>
      <c r="P767" s="66" t="s">
        <v>112</v>
      </c>
      <c r="Q767" s="22"/>
      <c r="R767" s="22"/>
      <c r="S767" s="22"/>
      <c r="T767" s="74"/>
      <c r="U767" s="6"/>
      <c r="V767" s="74"/>
    </row>
    <row r="768" ht="22.5" customHeight="1">
      <c r="A768" s="6"/>
      <c r="C768" s="6"/>
      <c r="D768" s="22"/>
      <c r="E768" s="20"/>
      <c r="F768" s="21"/>
      <c r="G768" s="21"/>
      <c r="H768" s="21"/>
      <c r="I768" s="35" t="b">
        <v>0</v>
      </c>
      <c r="J768" s="35" t="b">
        <v>0</v>
      </c>
      <c r="K768" s="35" t="b">
        <v>0</v>
      </c>
      <c r="L768" s="82" t="b">
        <v>0</v>
      </c>
      <c r="M768" s="83"/>
      <c r="N768" s="84"/>
      <c r="O768" s="89"/>
      <c r="P768" s="66" t="s">
        <v>112</v>
      </c>
      <c r="Q768" s="22"/>
      <c r="R768" s="22"/>
      <c r="S768" s="22"/>
      <c r="T768" s="74"/>
      <c r="U768" s="6"/>
      <c r="V768" s="74"/>
    </row>
    <row r="769" ht="22.5" customHeight="1">
      <c r="A769" s="6"/>
      <c r="C769" s="6"/>
      <c r="D769" s="22"/>
      <c r="E769" s="20"/>
      <c r="F769" s="21"/>
      <c r="G769" s="21"/>
      <c r="H769" s="21"/>
      <c r="I769" s="35" t="b">
        <v>0</v>
      </c>
      <c r="J769" s="35" t="b">
        <v>0</v>
      </c>
      <c r="K769" s="35" t="b">
        <v>0</v>
      </c>
      <c r="L769" s="82" t="b">
        <v>0</v>
      </c>
      <c r="M769" s="83"/>
      <c r="N769" s="84"/>
      <c r="O769" s="89"/>
      <c r="P769" s="66" t="s">
        <v>112</v>
      </c>
      <c r="Q769" s="22"/>
      <c r="R769" s="22"/>
      <c r="S769" s="22"/>
      <c r="T769" s="74"/>
      <c r="U769" s="6"/>
      <c r="V769" s="74"/>
    </row>
    <row r="770" ht="22.5" customHeight="1">
      <c r="A770" s="6"/>
      <c r="C770" s="6"/>
      <c r="D770" s="22"/>
      <c r="E770" s="20"/>
      <c r="F770" s="21"/>
      <c r="G770" s="21"/>
      <c r="H770" s="21"/>
      <c r="I770" s="35" t="b">
        <v>0</v>
      </c>
      <c r="J770" s="35" t="b">
        <v>0</v>
      </c>
      <c r="K770" s="35" t="b">
        <v>0</v>
      </c>
      <c r="L770" s="82" t="b">
        <v>0</v>
      </c>
      <c r="M770" s="83"/>
      <c r="N770" s="84"/>
      <c r="O770" s="89"/>
      <c r="P770" s="66" t="s">
        <v>112</v>
      </c>
      <c r="Q770" s="22"/>
      <c r="R770" s="22"/>
      <c r="S770" s="22"/>
      <c r="T770" s="74"/>
      <c r="U770" s="6"/>
      <c r="V770" s="74"/>
    </row>
    <row r="771" ht="22.5" customHeight="1">
      <c r="A771" s="6"/>
      <c r="C771" s="6"/>
      <c r="D771" s="22"/>
      <c r="E771" s="20"/>
      <c r="F771" s="21"/>
      <c r="G771" s="21"/>
      <c r="H771" s="21"/>
      <c r="I771" s="35" t="b">
        <v>0</v>
      </c>
      <c r="J771" s="35" t="b">
        <v>0</v>
      </c>
      <c r="K771" s="35" t="b">
        <v>0</v>
      </c>
      <c r="L771" s="82" t="b">
        <v>0</v>
      </c>
      <c r="M771" s="83"/>
      <c r="N771" s="84"/>
      <c r="O771" s="89"/>
      <c r="P771" s="66" t="s">
        <v>112</v>
      </c>
      <c r="Q771" s="22"/>
      <c r="R771" s="22"/>
      <c r="S771" s="22"/>
      <c r="T771" s="74"/>
      <c r="U771" s="6"/>
      <c r="V771" s="74"/>
    </row>
    <row r="772" ht="22.5" customHeight="1">
      <c r="A772" s="6"/>
      <c r="C772" s="6"/>
      <c r="D772" s="22"/>
      <c r="E772" s="20"/>
      <c r="F772" s="21"/>
      <c r="G772" s="21"/>
      <c r="H772" s="21"/>
      <c r="I772" s="35" t="b">
        <v>0</v>
      </c>
      <c r="J772" s="35" t="b">
        <v>0</v>
      </c>
      <c r="K772" s="35" t="b">
        <v>0</v>
      </c>
      <c r="L772" s="82" t="b">
        <v>0</v>
      </c>
      <c r="M772" s="83"/>
      <c r="N772" s="84"/>
      <c r="O772" s="89"/>
      <c r="P772" s="66" t="s">
        <v>112</v>
      </c>
      <c r="Q772" s="22"/>
      <c r="R772" s="22"/>
      <c r="S772" s="22"/>
      <c r="T772" s="74"/>
      <c r="U772" s="6"/>
      <c r="V772" s="74"/>
    </row>
    <row r="773" ht="22.5" customHeight="1">
      <c r="A773" s="6"/>
      <c r="C773" s="6"/>
      <c r="D773" s="22"/>
      <c r="E773" s="20"/>
      <c r="F773" s="21"/>
      <c r="G773" s="21"/>
      <c r="H773" s="21"/>
      <c r="I773" s="35" t="b">
        <v>0</v>
      </c>
      <c r="J773" s="35" t="b">
        <v>0</v>
      </c>
      <c r="K773" s="35" t="b">
        <v>0</v>
      </c>
      <c r="L773" s="82" t="b">
        <v>0</v>
      </c>
      <c r="M773" s="83"/>
      <c r="N773" s="84"/>
      <c r="O773" s="89"/>
      <c r="P773" s="66" t="s">
        <v>112</v>
      </c>
      <c r="Q773" s="22"/>
      <c r="R773" s="22"/>
      <c r="S773" s="22"/>
      <c r="T773" s="74"/>
      <c r="U773" s="6"/>
      <c r="V773" s="74"/>
    </row>
    <row r="774" ht="22.5" customHeight="1">
      <c r="A774" s="6"/>
      <c r="C774" s="6"/>
      <c r="D774" s="22"/>
      <c r="E774" s="20"/>
      <c r="F774" s="21"/>
      <c r="G774" s="21"/>
      <c r="H774" s="21"/>
      <c r="I774" s="35" t="b">
        <v>0</v>
      </c>
      <c r="J774" s="35" t="b">
        <v>0</v>
      </c>
      <c r="K774" s="35" t="b">
        <v>0</v>
      </c>
      <c r="L774" s="82" t="b">
        <v>0</v>
      </c>
      <c r="M774" s="83"/>
      <c r="N774" s="84"/>
      <c r="O774" s="89"/>
      <c r="P774" s="66" t="s">
        <v>112</v>
      </c>
      <c r="Q774" s="22"/>
      <c r="R774" s="22"/>
      <c r="S774" s="22"/>
      <c r="T774" s="74"/>
      <c r="U774" s="6"/>
      <c r="V774" s="74"/>
    </row>
    <row r="775" ht="22.5" customHeight="1">
      <c r="A775" s="6"/>
      <c r="C775" s="6"/>
      <c r="D775" s="22"/>
      <c r="E775" s="20"/>
      <c r="F775" s="21"/>
      <c r="G775" s="21"/>
      <c r="H775" s="21"/>
      <c r="I775" s="35" t="b">
        <v>0</v>
      </c>
      <c r="J775" s="35" t="b">
        <v>0</v>
      </c>
      <c r="K775" s="35" t="b">
        <v>0</v>
      </c>
      <c r="L775" s="82" t="b">
        <v>0</v>
      </c>
      <c r="M775" s="83"/>
      <c r="N775" s="84"/>
      <c r="O775" s="89"/>
      <c r="P775" s="66" t="s">
        <v>112</v>
      </c>
      <c r="Q775" s="22"/>
      <c r="R775" s="22"/>
      <c r="S775" s="22"/>
      <c r="T775" s="74"/>
      <c r="U775" s="6"/>
      <c r="V775" s="74"/>
    </row>
    <row r="776" ht="22.5" customHeight="1">
      <c r="A776" s="6"/>
      <c r="C776" s="6"/>
      <c r="D776" s="22"/>
      <c r="E776" s="20"/>
      <c r="F776" s="21"/>
      <c r="G776" s="21"/>
      <c r="H776" s="21"/>
      <c r="I776" s="35" t="b">
        <v>0</v>
      </c>
      <c r="J776" s="35" t="b">
        <v>0</v>
      </c>
      <c r="K776" s="35" t="b">
        <v>0</v>
      </c>
      <c r="L776" s="82" t="b">
        <v>0</v>
      </c>
      <c r="M776" s="83"/>
      <c r="N776" s="84"/>
      <c r="O776" s="89"/>
      <c r="P776" s="66" t="s">
        <v>112</v>
      </c>
      <c r="Q776" s="22"/>
      <c r="R776" s="22"/>
      <c r="S776" s="22"/>
      <c r="T776" s="74"/>
      <c r="U776" s="6"/>
      <c r="V776" s="74"/>
    </row>
    <row r="777" ht="22.5" customHeight="1">
      <c r="A777" s="6"/>
      <c r="C777" s="6"/>
      <c r="D777" s="22"/>
      <c r="E777" s="20"/>
      <c r="F777" s="21"/>
      <c r="G777" s="21"/>
      <c r="H777" s="21"/>
      <c r="I777" s="35" t="b">
        <v>0</v>
      </c>
      <c r="J777" s="35" t="b">
        <v>0</v>
      </c>
      <c r="K777" s="35" t="b">
        <v>0</v>
      </c>
      <c r="L777" s="82" t="b">
        <v>0</v>
      </c>
      <c r="M777" s="83"/>
      <c r="N777" s="84"/>
      <c r="O777" s="89"/>
      <c r="P777" s="66" t="s">
        <v>112</v>
      </c>
      <c r="Q777" s="22"/>
      <c r="R777" s="22"/>
      <c r="S777" s="22"/>
      <c r="T777" s="74"/>
      <c r="U777" s="6"/>
      <c r="V777" s="74"/>
    </row>
    <row r="778" ht="22.5" customHeight="1">
      <c r="A778" s="6"/>
      <c r="C778" s="6"/>
      <c r="D778" s="22"/>
      <c r="E778" s="20"/>
      <c r="F778" s="21"/>
      <c r="G778" s="21"/>
      <c r="H778" s="21"/>
      <c r="I778" s="35" t="b">
        <v>0</v>
      </c>
      <c r="J778" s="35" t="b">
        <v>0</v>
      </c>
      <c r="K778" s="35" t="b">
        <v>0</v>
      </c>
      <c r="L778" s="82" t="b">
        <v>0</v>
      </c>
      <c r="M778" s="83"/>
      <c r="N778" s="84"/>
      <c r="O778" s="89"/>
      <c r="P778" s="66" t="s">
        <v>112</v>
      </c>
      <c r="Q778" s="22"/>
      <c r="R778" s="22"/>
      <c r="S778" s="22"/>
      <c r="T778" s="74"/>
      <c r="U778" s="6"/>
      <c r="V778" s="74"/>
    </row>
    <row r="779" ht="22.5" customHeight="1">
      <c r="A779" s="6"/>
      <c r="C779" s="6"/>
      <c r="D779" s="22"/>
      <c r="E779" s="20"/>
      <c r="F779" s="21"/>
      <c r="G779" s="21"/>
      <c r="H779" s="21"/>
      <c r="I779" s="35" t="b">
        <v>0</v>
      </c>
      <c r="J779" s="35" t="b">
        <v>0</v>
      </c>
      <c r="K779" s="35" t="b">
        <v>0</v>
      </c>
      <c r="L779" s="82" t="b">
        <v>0</v>
      </c>
      <c r="M779" s="83"/>
      <c r="N779" s="84"/>
      <c r="O779" s="89"/>
      <c r="P779" s="66" t="s">
        <v>112</v>
      </c>
      <c r="Q779" s="22"/>
      <c r="R779" s="22"/>
      <c r="S779" s="22"/>
      <c r="T779" s="74"/>
      <c r="U779" s="6"/>
      <c r="V779" s="74"/>
    </row>
    <row r="780" ht="22.5" customHeight="1">
      <c r="A780" s="6"/>
      <c r="C780" s="6"/>
      <c r="D780" s="22"/>
      <c r="E780" s="20"/>
      <c r="F780" s="21"/>
      <c r="G780" s="21"/>
      <c r="H780" s="21"/>
      <c r="I780" s="35" t="b">
        <v>0</v>
      </c>
      <c r="J780" s="35" t="b">
        <v>0</v>
      </c>
      <c r="K780" s="35" t="b">
        <v>0</v>
      </c>
      <c r="L780" s="82" t="b">
        <v>0</v>
      </c>
      <c r="M780" s="83"/>
      <c r="N780" s="84"/>
      <c r="O780" s="89"/>
      <c r="P780" s="66" t="s">
        <v>112</v>
      </c>
      <c r="Q780" s="22"/>
      <c r="R780" s="22"/>
      <c r="S780" s="22"/>
      <c r="T780" s="74"/>
      <c r="U780" s="6"/>
      <c r="V780" s="74"/>
    </row>
    <row r="781" ht="22.5" customHeight="1">
      <c r="A781" s="6"/>
      <c r="C781" s="6"/>
      <c r="D781" s="22"/>
      <c r="E781" s="20"/>
      <c r="F781" s="21"/>
      <c r="G781" s="21"/>
      <c r="H781" s="21"/>
      <c r="I781" s="35" t="b">
        <v>0</v>
      </c>
      <c r="J781" s="35" t="b">
        <v>0</v>
      </c>
      <c r="K781" s="35" t="b">
        <v>0</v>
      </c>
      <c r="L781" s="82" t="b">
        <v>0</v>
      </c>
      <c r="M781" s="83"/>
      <c r="N781" s="84"/>
      <c r="O781" s="89"/>
      <c r="P781" s="66" t="s">
        <v>112</v>
      </c>
      <c r="Q781" s="22"/>
      <c r="R781" s="22"/>
      <c r="S781" s="22"/>
      <c r="T781" s="74"/>
      <c r="U781" s="6"/>
      <c r="V781" s="74"/>
    </row>
    <row r="782" ht="22.5" customHeight="1">
      <c r="A782" s="6"/>
      <c r="C782" s="6"/>
      <c r="D782" s="22"/>
      <c r="E782" s="20"/>
      <c r="F782" s="21"/>
      <c r="G782" s="21"/>
      <c r="H782" s="21"/>
      <c r="I782" s="35" t="b">
        <v>0</v>
      </c>
      <c r="J782" s="35" t="b">
        <v>0</v>
      </c>
      <c r="K782" s="35" t="b">
        <v>0</v>
      </c>
      <c r="L782" s="82" t="b">
        <v>0</v>
      </c>
      <c r="M782" s="83"/>
      <c r="N782" s="84"/>
      <c r="O782" s="89"/>
      <c r="P782" s="66" t="s">
        <v>112</v>
      </c>
      <c r="Q782" s="22"/>
      <c r="R782" s="22"/>
      <c r="S782" s="22"/>
      <c r="T782" s="74"/>
      <c r="U782" s="6"/>
      <c r="V782" s="74"/>
    </row>
    <row r="783" ht="22.5" customHeight="1">
      <c r="A783" s="6"/>
      <c r="C783" s="6"/>
      <c r="D783" s="22"/>
      <c r="E783" s="20"/>
      <c r="F783" s="21"/>
      <c r="G783" s="21"/>
      <c r="H783" s="21"/>
      <c r="I783" s="35" t="b">
        <v>0</v>
      </c>
      <c r="J783" s="35" t="b">
        <v>0</v>
      </c>
      <c r="K783" s="35" t="b">
        <v>0</v>
      </c>
      <c r="L783" s="82" t="b">
        <v>0</v>
      </c>
      <c r="M783" s="83"/>
      <c r="N783" s="84"/>
      <c r="O783" s="89"/>
      <c r="P783" s="66" t="s">
        <v>112</v>
      </c>
      <c r="Q783" s="22"/>
      <c r="R783" s="22"/>
      <c r="S783" s="22"/>
      <c r="T783" s="74"/>
      <c r="U783" s="6"/>
      <c r="V783" s="74"/>
    </row>
    <row r="784" ht="22.5" customHeight="1">
      <c r="A784" s="6"/>
      <c r="C784" s="6"/>
      <c r="D784" s="22"/>
      <c r="E784" s="20"/>
      <c r="F784" s="21"/>
      <c r="G784" s="21"/>
      <c r="H784" s="21"/>
      <c r="I784" s="35" t="b">
        <v>0</v>
      </c>
      <c r="J784" s="35" t="b">
        <v>0</v>
      </c>
      <c r="K784" s="35" t="b">
        <v>0</v>
      </c>
      <c r="L784" s="82" t="b">
        <v>0</v>
      </c>
      <c r="M784" s="83"/>
      <c r="N784" s="84"/>
      <c r="O784" s="89"/>
      <c r="P784" s="66" t="s">
        <v>112</v>
      </c>
      <c r="Q784" s="22"/>
      <c r="R784" s="22"/>
      <c r="S784" s="22"/>
      <c r="T784" s="74"/>
      <c r="U784" s="6"/>
      <c r="V784" s="74"/>
    </row>
    <row r="785" ht="22.5" customHeight="1">
      <c r="A785" s="6"/>
      <c r="C785" s="6"/>
      <c r="D785" s="22"/>
      <c r="E785" s="20"/>
      <c r="F785" s="21"/>
      <c r="G785" s="21"/>
      <c r="H785" s="21"/>
      <c r="I785" s="35" t="b">
        <v>0</v>
      </c>
      <c r="J785" s="35" t="b">
        <v>0</v>
      </c>
      <c r="K785" s="35" t="b">
        <v>0</v>
      </c>
      <c r="L785" s="82" t="b">
        <v>0</v>
      </c>
      <c r="M785" s="83"/>
      <c r="N785" s="84"/>
      <c r="O785" s="89"/>
      <c r="P785" s="66" t="s">
        <v>112</v>
      </c>
      <c r="Q785" s="22"/>
      <c r="R785" s="22"/>
      <c r="S785" s="22"/>
      <c r="T785" s="74"/>
      <c r="U785" s="6"/>
      <c r="V785" s="74"/>
    </row>
    <row r="786" ht="22.5" customHeight="1">
      <c r="A786" s="6"/>
      <c r="C786" s="6"/>
      <c r="D786" s="22"/>
      <c r="E786" s="20"/>
      <c r="F786" s="21"/>
      <c r="G786" s="21"/>
      <c r="H786" s="21"/>
      <c r="I786" s="35" t="b">
        <v>0</v>
      </c>
      <c r="J786" s="35" t="b">
        <v>0</v>
      </c>
      <c r="K786" s="35" t="b">
        <v>0</v>
      </c>
      <c r="L786" s="82" t="b">
        <v>0</v>
      </c>
      <c r="M786" s="83"/>
      <c r="N786" s="84"/>
      <c r="O786" s="89"/>
      <c r="P786" s="66" t="s">
        <v>112</v>
      </c>
      <c r="Q786" s="22"/>
      <c r="R786" s="22"/>
      <c r="S786" s="22"/>
      <c r="T786" s="74"/>
      <c r="U786" s="6"/>
      <c r="V786" s="74"/>
    </row>
    <row r="787" ht="22.5" customHeight="1">
      <c r="A787" s="6"/>
      <c r="C787" s="6"/>
      <c r="D787" s="22"/>
      <c r="E787" s="20"/>
      <c r="F787" s="21"/>
      <c r="G787" s="21"/>
      <c r="H787" s="21"/>
      <c r="I787" s="35" t="b">
        <v>0</v>
      </c>
      <c r="J787" s="35" t="b">
        <v>0</v>
      </c>
      <c r="K787" s="35" t="b">
        <v>0</v>
      </c>
      <c r="L787" s="82" t="b">
        <v>0</v>
      </c>
      <c r="M787" s="83"/>
      <c r="N787" s="84"/>
      <c r="O787" s="89"/>
      <c r="P787" s="66" t="s">
        <v>112</v>
      </c>
      <c r="Q787" s="22"/>
      <c r="R787" s="22"/>
      <c r="S787" s="22"/>
      <c r="T787" s="74"/>
      <c r="U787" s="6"/>
      <c r="V787" s="74"/>
    </row>
    <row r="788" ht="22.5" customHeight="1">
      <c r="A788" s="6"/>
      <c r="C788" s="6"/>
      <c r="D788" s="22"/>
      <c r="E788" s="20"/>
      <c r="F788" s="21"/>
      <c r="G788" s="21"/>
      <c r="H788" s="21"/>
      <c r="I788" s="35" t="b">
        <v>0</v>
      </c>
      <c r="J788" s="35" t="b">
        <v>0</v>
      </c>
      <c r="K788" s="35" t="b">
        <v>0</v>
      </c>
      <c r="L788" s="82" t="b">
        <v>0</v>
      </c>
      <c r="M788" s="83"/>
      <c r="N788" s="84"/>
      <c r="O788" s="89"/>
      <c r="P788" s="66" t="s">
        <v>112</v>
      </c>
      <c r="Q788" s="22"/>
      <c r="R788" s="22"/>
      <c r="S788" s="22"/>
      <c r="T788" s="74"/>
      <c r="U788" s="6"/>
      <c r="V788" s="74"/>
    </row>
    <row r="789" ht="22.5" customHeight="1">
      <c r="A789" s="6"/>
      <c r="C789" s="6"/>
      <c r="D789" s="22"/>
      <c r="E789" s="20"/>
      <c r="F789" s="21"/>
      <c r="G789" s="21"/>
      <c r="H789" s="21"/>
      <c r="I789" s="35" t="b">
        <v>0</v>
      </c>
      <c r="J789" s="35" t="b">
        <v>0</v>
      </c>
      <c r="K789" s="35" t="b">
        <v>0</v>
      </c>
      <c r="L789" s="82" t="b">
        <v>0</v>
      </c>
      <c r="M789" s="83"/>
      <c r="N789" s="84"/>
      <c r="O789" s="89"/>
      <c r="P789" s="66" t="s">
        <v>112</v>
      </c>
      <c r="Q789" s="22"/>
      <c r="R789" s="22"/>
      <c r="S789" s="22"/>
      <c r="T789" s="74"/>
      <c r="U789" s="6"/>
      <c r="V789" s="74"/>
    </row>
    <row r="790" ht="22.5" customHeight="1">
      <c r="A790" s="6"/>
      <c r="C790" s="6"/>
      <c r="D790" s="22"/>
      <c r="E790" s="20"/>
      <c r="F790" s="21"/>
      <c r="G790" s="21"/>
      <c r="H790" s="21"/>
      <c r="I790" s="35" t="b">
        <v>0</v>
      </c>
      <c r="J790" s="35" t="b">
        <v>0</v>
      </c>
      <c r="K790" s="35" t="b">
        <v>0</v>
      </c>
      <c r="L790" s="82" t="b">
        <v>0</v>
      </c>
      <c r="M790" s="83"/>
      <c r="N790" s="84"/>
      <c r="O790" s="89"/>
      <c r="P790" s="66" t="s">
        <v>112</v>
      </c>
      <c r="Q790" s="22"/>
      <c r="R790" s="22"/>
      <c r="S790" s="22"/>
      <c r="T790" s="74"/>
      <c r="U790" s="6"/>
      <c r="V790" s="74"/>
    </row>
    <row r="791" ht="22.5" customHeight="1">
      <c r="A791" s="6"/>
      <c r="C791" s="6"/>
      <c r="D791" s="22"/>
      <c r="E791" s="20"/>
      <c r="F791" s="21"/>
      <c r="G791" s="21"/>
      <c r="H791" s="21"/>
      <c r="I791" s="35" t="b">
        <v>0</v>
      </c>
      <c r="J791" s="35" t="b">
        <v>0</v>
      </c>
      <c r="K791" s="35" t="b">
        <v>0</v>
      </c>
      <c r="L791" s="82" t="b">
        <v>0</v>
      </c>
      <c r="M791" s="83"/>
      <c r="N791" s="84"/>
      <c r="O791" s="89"/>
      <c r="P791" s="66" t="s">
        <v>112</v>
      </c>
      <c r="Q791" s="22"/>
      <c r="R791" s="22"/>
      <c r="S791" s="22"/>
      <c r="T791" s="74"/>
      <c r="U791" s="6"/>
      <c r="V791" s="74"/>
    </row>
    <row r="792" ht="22.5" customHeight="1">
      <c r="A792" s="6"/>
      <c r="C792" s="6"/>
      <c r="D792" s="22"/>
      <c r="E792" s="20"/>
      <c r="F792" s="21"/>
      <c r="G792" s="21"/>
      <c r="H792" s="21"/>
      <c r="I792" s="35" t="b">
        <v>0</v>
      </c>
      <c r="J792" s="35" t="b">
        <v>0</v>
      </c>
      <c r="K792" s="35" t="b">
        <v>0</v>
      </c>
      <c r="L792" s="82" t="b">
        <v>0</v>
      </c>
      <c r="M792" s="83"/>
      <c r="N792" s="84"/>
      <c r="O792" s="89"/>
      <c r="P792" s="66" t="s">
        <v>112</v>
      </c>
      <c r="Q792" s="22"/>
      <c r="R792" s="22"/>
      <c r="S792" s="22"/>
      <c r="T792" s="74"/>
      <c r="U792" s="6"/>
      <c r="V792" s="74"/>
    </row>
    <row r="793" ht="22.5" customHeight="1">
      <c r="A793" s="6"/>
      <c r="C793" s="6"/>
      <c r="D793" s="22"/>
      <c r="E793" s="20"/>
      <c r="F793" s="21"/>
      <c r="G793" s="21"/>
      <c r="H793" s="21"/>
      <c r="I793" s="35" t="b">
        <v>0</v>
      </c>
      <c r="J793" s="35" t="b">
        <v>0</v>
      </c>
      <c r="K793" s="35" t="b">
        <v>0</v>
      </c>
      <c r="L793" s="82" t="b">
        <v>0</v>
      </c>
      <c r="M793" s="83"/>
      <c r="N793" s="84"/>
      <c r="O793" s="89"/>
      <c r="P793" s="66" t="s">
        <v>112</v>
      </c>
      <c r="Q793" s="22"/>
      <c r="R793" s="22"/>
      <c r="S793" s="22"/>
      <c r="T793" s="74"/>
      <c r="U793" s="6"/>
      <c r="V793" s="74"/>
    </row>
    <row r="794" ht="22.5" customHeight="1">
      <c r="A794" s="6"/>
      <c r="C794" s="6"/>
      <c r="D794" s="22"/>
      <c r="E794" s="20"/>
      <c r="F794" s="21"/>
      <c r="G794" s="21"/>
      <c r="H794" s="21"/>
      <c r="I794" s="35" t="b">
        <v>0</v>
      </c>
      <c r="J794" s="35" t="b">
        <v>0</v>
      </c>
      <c r="K794" s="35" t="b">
        <v>0</v>
      </c>
      <c r="L794" s="82" t="b">
        <v>0</v>
      </c>
      <c r="M794" s="83"/>
      <c r="N794" s="84"/>
      <c r="O794" s="89"/>
      <c r="P794" s="66" t="s">
        <v>112</v>
      </c>
      <c r="Q794" s="22"/>
      <c r="R794" s="22"/>
      <c r="S794" s="22"/>
      <c r="T794" s="74"/>
      <c r="U794" s="6"/>
      <c r="V794" s="74"/>
    </row>
    <row r="795" ht="22.5" customHeight="1">
      <c r="A795" s="6"/>
      <c r="C795" s="6"/>
      <c r="D795" s="22"/>
      <c r="E795" s="20"/>
      <c r="F795" s="21"/>
      <c r="G795" s="21"/>
      <c r="H795" s="21"/>
      <c r="I795" s="35" t="b">
        <v>0</v>
      </c>
      <c r="J795" s="35" t="b">
        <v>0</v>
      </c>
      <c r="K795" s="35" t="b">
        <v>0</v>
      </c>
      <c r="L795" s="82" t="b">
        <v>0</v>
      </c>
      <c r="M795" s="83"/>
      <c r="N795" s="84"/>
      <c r="O795" s="89"/>
      <c r="P795" s="66" t="s">
        <v>112</v>
      </c>
      <c r="Q795" s="22"/>
      <c r="R795" s="22"/>
      <c r="S795" s="22"/>
      <c r="T795" s="74"/>
      <c r="U795" s="6"/>
      <c r="V795" s="74"/>
    </row>
    <row r="796" ht="22.5" customHeight="1">
      <c r="A796" s="6"/>
      <c r="C796" s="6"/>
      <c r="D796" s="22"/>
      <c r="E796" s="20"/>
      <c r="F796" s="21"/>
      <c r="G796" s="21"/>
      <c r="H796" s="21"/>
      <c r="I796" s="35" t="b">
        <v>0</v>
      </c>
      <c r="J796" s="35" t="b">
        <v>0</v>
      </c>
      <c r="K796" s="35" t="b">
        <v>0</v>
      </c>
      <c r="L796" s="82" t="b">
        <v>0</v>
      </c>
      <c r="M796" s="83"/>
      <c r="N796" s="84"/>
      <c r="O796" s="89"/>
      <c r="P796" s="66" t="s">
        <v>112</v>
      </c>
      <c r="Q796" s="22"/>
      <c r="R796" s="22"/>
      <c r="S796" s="22"/>
      <c r="T796" s="74"/>
      <c r="U796" s="6"/>
      <c r="V796" s="74"/>
    </row>
    <row r="797" ht="22.5" customHeight="1">
      <c r="A797" s="6"/>
      <c r="C797" s="6"/>
      <c r="D797" s="22"/>
      <c r="E797" s="20"/>
      <c r="F797" s="21"/>
      <c r="G797" s="21"/>
      <c r="H797" s="21"/>
      <c r="I797" s="35" t="b">
        <v>0</v>
      </c>
      <c r="J797" s="35" t="b">
        <v>0</v>
      </c>
      <c r="K797" s="35" t="b">
        <v>0</v>
      </c>
      <c r="L797" s="82" t="b">
        <v>0</v>
      </c>
      <c r="M797" s="83"/>
      <c r="N797" s="84"/>
      <c r="O797" s="89"/>
      <c r="P797" s="66" t="s">
        <v>112</v>
      </c>
      <c r="Q797" s="22"/>
      <c r="R797" s="22"/>
      <c r="S797" s="22"/>
      <c r="T797" s="74"/>
      <c r="U797" s="6"/>
      <c r="V797" s="74"/>
    </row>
    <row r="798" ht="22.5" customHeight="1">
      <c r="A798" s="6"/>
      <c r="C798" s="6"/>
      <c r="D798" s="22"/>
      <c r="E798" s="20"/>
      <c r="F798" s="21"/>
      <c r="G798" s="21"/>
      <c r="H798" s="21"/>
      <c r="I798" s="35" t="b">
        <v>0</v>
      </c>
      <c r="J798" s="35" t="b">
        <v>0</v>
      </c>
      <c r="K798" s="35" t="b">
        <v>0</v>
      </c>
      <c r="L798" s="82" t="b">
        <v>0</v>
      </c>
      <c r="M798" s="83"/>
      <c r="N798" s="84"/>
      <c r="O798" s="89"/>
      <c r="P798" s="66" t="s">
        <v>112</v>
      </c>
      <c r="Q798" s="22"/>
      <c r="R798" s="22"/>
      <c r="S798" s="22"/>
      <c r="T798" s="74"/>
      <c r="U798" s="6"/>
      <c r="V798" s="74"/>
    </row>
    <row r="799" ht="22.5" customHeight="1">
      <c r="A799" s="6"/>
      <c r="C799" s="6"/>
      <c r="D799" s="22"/>
      <c r="E799" s="20"/>
      <c r="F799" s="21"/>
      <c r="G799" s="21"/>
      <c r="H799" s="21"/>
      <c r="I799" s="35" t="b">
        <v>0</v>
      </c>
      <c r="J799" s="35" t="b">
        <v>0</v>
      </c>
      <c r="K799" s="35" t="b">
        <v>0</v>
      </c>
      <c r="L799" s="82" t="b">
        <v>0</v>
      </c>
      <c r="M799" s="83"/>
      <c r="N799" s="84"/>
      <c r="O799" s="89"/>
      <c r="P799" s="66" t="s">
        <v>112</v>
      </c>
      <c r="Q799" s="22"/>
      <c r="R799" s="22"/>
      <c r="S799" s="22"/>
      <c r="T799" s="74"/>
      <c r="U799" s="6"/>
      <c r="V799" s="74"/>
    </row>
    <row r="800" ht="22.5" customHeight="1">
      <c r="A800" s="6"/>
      <c r="C800" s="6"/>
      <c r="D800" s="22"/>
      <c r="E800" s="20"/>
      <c r="F800" s="21"/>
      <c r="G800" s="21"/>
      <c r="H800" s="21"/>
      <c r="I800" s="35" t="b">
        <v>0</v>
      </c>
      <c r="J800" s="35" t="b">
        <v>0</v>
      </c>
      <c r="K800" s="35" t="b">
        <v>0</v>
      </c>
      <c r="L800" s="82" t="b">
        <v>0</v>
      </c>
      <c r="M800" s="83"/>
      <c r="N800" s="84"/>
      <c r="O800" s="89"/>
      <c r="P800" s="66" t="s">
        <v>112</v>
      </c>
      <c r="Q800" s="22"/>
      <c r="R800" s="22"/>
      <c r="S800" s="22"/>
      <c r="T800" s="74"/>
      <c r="U800" s="6"/>
      <c r="V800" s="74"/>
    </row>
    <row r="801" ht="22.5" customHeight="1">
      <c r="A801" s="6"/>
      <c r="C801" s="6"/>
      <c r="D801" s="22"/>
      <c r="E801" s="20"/>
      <c r="F801" s="21"/>
      <c r="G801" s="21"/>
      <c r="H801" s="21"/>
      <c r="I801" s="35" t="b">
        <v>0</v>
      </c>
      <c r="J801" s="35" t="b">
        <v>0</v>
      </c>
      <c r="K801" s="35" t="b">
        <v>0</v>
      </c>
      <c r="L801" s="82" t="b">
        <v>0</v>
      </c>
      <c r="M801" s="83"/>
      <c r="N801" s="84"/>
      <c r="O801" s="89"/>
      <c r="P801" s="66" t="s">
        <v>112</v>
      </c>
      <c r="Q801" s="22"/>
      <c r="R801" s="22"/>
      <c r="S801" s="22"/>
      <c r="T801" s="74"/>
      <c r="U801" s="6"/>
      <c r="V801" s="74"/>
    </row>
    <row r="802" ht="22.5" customHeight="1">
      <c r="A802" s="6"/>
      <c r="C802" s="6"/>
      <c r="D802" s="22"/>
      <c r="E802" s="20"/>
      <c r="F802" s="21"/>
      <c r="G802" s="21"/>
      <c r="H802" s="21"/>
      <c r="I802" s="35" t="b">
        <v>0</v>
      </c>
      <c r="J802" s="35" t="b">
        <v>0</v>
      </c>
      <c r="K802" s="35" t="b">
        <v>0</v>
      </c>
      <c r="L802" s="82" t="b">
        <v>0</v>
      </c>
      <c r="M802" s="83"/>
      <c r="N802" s="84"/>
      <c r="O802" s="89"/>
      <c r="P802" s="66" t="s">
        <v>112</v>
      </c>
      <c r="Q802" s="22"/>
      <c r="R802" s="22"/>
      <c r="S802" s="22"/>
      <c r="T802" s="74"/>
      <c r="U802" s="6"/>
      <c r="V802" s="74"/>
    </row>
    <row r="803" ht="22.5" customHeight="1">
      <c r="A803" s="6"/>
      <c r="C803" s="6"/>
      <c r="D803" s="22"/>
      <c r="E803" s="20"/>
      <c r="F803" s="21"/>
      <c r="G803" s="21"/>
      <c r="H803" s="21"/>
      <c r="I803" s="35" t="b">
        <v>0</v>
      </c>
      <c r="J803" s="35" t="b">
        <v>0</v>
      </c>
      <c r="K803" s="35" t="b">
        <v>0</v>
      </c>
      <c r="L803" s="82" t="b">
        <v>0</v>
      </c>
      <c r="M803" s="83"/>
      <c r="N803" s="84"/>
      <c r="O803" s="89"/>
      <c r="P803" s="66" t="s">
        <v>112</v>
      </c>
      <c r="Q803" s="22"/>
      <c r="R803" s="22"/>
      <c r="S803" s="22"/>
      <c r="T803" s="74"/>
      <c r="U803" s="6"/>
      <c r="V803" s="74"/>
    </row>
    <row r="804" ht="22.5" customHeight="1">
      <c r="A804" s="6"/>
      <c r="C804" s="6"/>
      <c r="D804" s="22"/>
      <c r="E804" s="20"/>
      <c r="F804" s="21"/>
      <c r="G804" s="21"/>
      <c r="H804" s="21"/>
      <c r="I804" s="35" t="b">
        <v>0</v>
      </c>
      <c r="J804" s="35" t="b">
        <v>0</v>
      </c>
      <c r="K804" s="35" t="b">
        <v>0</v>
      </c>
      <c r="L804" s="82" t="b">
        <v>0</v>
      </c>
      <c r="M804" s="83"/>
      <c r="N804" s="84"/>
      <c r="O804" s="89"/>
      <c r="P804" s="66" t="s">
        <v>112</v>
      </c>
      <c r="Q804" s="22"/>
      <c r="R804" s="22"/>
      <c r="S804" s="22"/>
      <c r="T804" s="74"/>
      <c r="U804" s="6"/>
      <c r="V804" s="74"/>
    </row>
    <row r="805" ht="22.5" customHeight="1">
      <c r="A805" s="6"/>
      <c r="C805" s="6"/>
      <c r="D805" s="22"/>
      <c r="E805" s="20"/>
      <c r="F805" s="21"/>
      <c r="G805" s="21"/>
      <c r="H805" s="21"/>
      <c r="I805" s="35" t="b">
        <v>0</v>
      </c>
      <c r="J805" s="35" t="b">
        <v>0</v>
      </c>
      <c r="K805" s="35" t="b">
        <v>0</v>
      </c>
      <c r="L805" s="82" t="b">
        <v>0</v>
      </c>
      <c r="M805" s="83"/>
      <c r="N805" s="84"/>
      <c r="O805" s="89"/>
      <c r="P805" s="66" t="s">
        <v>112</v>
      </c>
      <c r="Q805" s="22"/>
      <c r="R805" s="22"/>
      <c r="S805" s="22"/>
      <c r="T805" s="74"/>
      <c r="U805" s="6"/>
      <c r="V805" s="74"/>
    </row>
    <row r="806" ht="22.5" customHeight="1">
      <c r="A806" s="6"/>
      <c r="C806" s="6"/>
      <c r="D806" s="22"/>
      <c r="E806" s="20"/>
      <c r="F806" s="21"/>
      <c r="G806" s="21"/>
      <c r="H806" s="21"/>
      <c r="I806" s="35" t="b">
        <v>0</v>
      </c>
      <c r="J806" s="35" t="b">
        <v>0</v>
      </c>
      <c r="K806" s="35" t="b">
        <v>0</v>
      </c>
      <c r="L806" s="82" t="b">
        <v>0</v>
      </c>
      <c r="M806" s="83"/>
      <c r="N806" s="84"/>
      <c r="O806" s="89"/>
      <c r="P806" s="66" t="s">
        <v>112</v>
      </c>
      <c r="Q806" s="22"/>
      <c r="R806" s="22"/>
      <c r="S806" s="22"/>
      <c r="T806" s="74"/>
      <c r="U806" s="6"/>
      <c r="V806" s="74"/>
    </row>
    <row r="807" ht="22.5" customHeight="1">
      <c r="A807" s="6"/>
      <c r="C807" s="6"/>
      <c r="D807" s="22"/>
      <c r="E807" s="20"/>
      <c r="F807" s="21"/>
      <c r="G807" s="21"/>
      <c r="H807" s="21"/>
      <c r="I807" s="35" t="b">
        <v>0</v>
      </c>
      <c r="J807" s="35" t="b">
        <v>0</v>
      </c>
      <c r="K807" s="35" t="b">
        <v>0</v>
      </c>
      <c r="L807" s="82" t="b">
        <v>0</v>
      </c>
      <c r="M807" s="83"/>
      <c r="N807" s="84"/>
      <c r="O807" s="89"/>
      <c r="P807" s="66" t="s">
        <v>112</v>
      </c>
      <c r="Q807" s="22"/>
      <c r="R807" s="22"/>
      <c r="S807" s="22"/>
      <c r="T807" s="74"/>
      <c r="U807" s="6"/>
      <c r="V807" s="74"/>
    </row>
    <row r="808" ht="22.5" customHeight="1">
      <c r="A808" s="6"/>
      <c r="C808" s="6"/>
      <c r="D808" s="22"/>
      <c r="E808" s="20"/>
      <c r="F808" s="21"/>
      <c r="G808" s="21"/>
      <c r="H808" s="21"/>
      <c r="I808" s="35" t="b">
        <v>0</v>
      </c>
      <c r="J808" s="35" t="b">
        <v>0</v>
      </c>
      <c r="K808" s="35" t="b">
        <v>0</v>
      </c>
      <c r="L808" s="82" t="b">
        <v>0</v>
      </c>
      <c r="M808" s="83"/>
      <c r="N808" s="84"/>
      <c r="O808" s="89"/>
      <c r="P808" s="66" t="s">
        <v>112</v>
      </c>
      <c r="Q808" s="22"/>
      <c r="R808" s="22"/>
      <c r="S808" s="22"/>
      <c r="T808" s="74"/>
      <c r="U808" s="6"/>
      <c r="V808" s="74"/>
    </row>
    <row r="809" ht="22.5" customHeight="1">
      <c r="A809" s="6"/>
      <c r="C809" s="6"/>
      <c r="D809" s="22"/>
      <c r="E809" s="20"/>
      <c r="F809" s="21"/>
      <c r="G809" s="21"/>
      <c r="H809" s="21"/>
      <c r="I809" s="35" t="b">
        <v>0</v>
      </c>
      <c r="J809" s="35" t="b">
        <v>0</v>
      </c>
      <c r="K809" s="35" t="b">
        <v>0</v>
      </c>
      <c r="L809" s="82" t="b">
        <v>0</v>
      </c>
      <c r="M809" s="83"/>
      <c r="N809" s="84"/>
      <c r="O809" s="89"/>
      <c r="P809" s="66" t="s">
        <v>112</v>
      </c>
      <c r="Q809" s="22"/>
      <c r="R809" s="22"/>
      <c r="S809" s="22"/>
      <c r="T809" s="74"/>
      <c r="U809" s="6"/>
      <c r="V809" s="74"/>
    </row>
    <row r="810" ht="22.5" customHeight="1">
      <c r="A810" s="6"/>
      <c r="C810" s="6"/>
      <c r="D810" s="22"/>
      <c r="E810" s="20"/>
      <c r="F810" s="21"/>
      <c r="G810" s="21"/>
      <c r="H810" s="21"/>
      <c r="I810" s="35" t="b">
        <v>0</v>
      </c>
      <c r="J810" s="35" t="b">
        <v>0</v>
      </c>
      <c r="K810" s="35" t="b">
        <v>0</v>
      </c>
      <c r="L810" s="82" t="b">
        <v>0</v>
      </c>
      <c r="M810" s="83"/>
      <c r="N810" s="84"/>
      <c r="O810" s="89"/>
      <c r="P810" s="66" t="s">
        <v>112</v>
      </c>
      <c r="Q810" s="22"/>
      <c r="R810" s="22"/>
      <c r="S810" s="22"/>
      <c r="T810" s="74"/>
      <c r="U810" s="6"/>
      <c r="V810" s="74"/>
    </row>
    <row r="811" ht="22.5" customHeight="1">
      <c r="A811" s="6"/>
      <c r="C811" s="6"/>
      <c r="D811" s="22"/>
      <c r="E811" s="20"/>
      <c r="F811" s="21"/>
      <c r="G811" s="21"/>
      <c r="H811" s="21"/>
      <c r="I811" s="35" t="b">
        <v>0</v>
      </c>
      <c r="J811" s="35" t="b">
        <v>0</v>
      </c>
      <c r="K811" s="35" t="b">
        <v>0</v>
      </c>
      <c r="L811" s="82" t="b">
        <v>0</v>
      </c>
      <c r="M811" s="83"/>
      <c r="N811" s="84"/>
      <c r="O811" s="89"/>
      <c r="P811" s="66" t="s">
        <v>112</v>
      </c>
      <c r="Q811" s="22"/>
      <c r="R811" s="22"/>
      <c r="S811" s="22"/>
      <c r="T811" s="74"/>
      <c r="U811" s="6"/>
      <c r="V811" s="74"/>
    </row>
    <row r="812" ht="22.5" customHeight="1">
      <c r="A812" s="6"/>
      <c r="C812" s="6"/>
      <c r="D812" s="22"/>
      <c r="E812" s="20"/>
      <c r="F812" s="21"/>
      <c r="G812" s="21"/>
      <c r="H812" s="21"/>
      <c r="I812" s="35" t="b">
        <v>0</v>
      </c>
      <c r="J812" s="35" t="b">
        <v>0</v>
      </c>
      <c r="K812" s="35" t="b">
        <v>0</v>
      </c>
      <c r="L812" s="82" t="b">
        <v>0</v>
      </c>
      <c r="M812" s="83"/>
      <c r="N812" s="84"/>
      <c r="O812" s="89"/>
      <c r="P812" s="66" t="s">
        <v>112</v>
      </c>
      <c r="Q812" s="22"/>
      <c r="R812" s="22"/>
      <c r="S812" s="22"/>
      <c r="T812" s="74"/>
      <c r="U812" s="6"/>
      <c r="V812" s="74"/>
    </row>
    <row r="813" ht="22.5" customHeight="1">
      <c r="A813" s="6"/>
      <c r="C813" s="6"/>
      <c r="D813" s="22"/>
      <c r="E813" s="20"/>
      <c r="F813" s="21"/>
      <c r="G813" s="21"/>
      <c r="H813" s="21"/>
      <c r="I813" s="35" t="b">
        <v>0</v>
      </c>
      <c r="J813" s="35" t="b">
        <v>0</v>
      </c>
      <c r="K813" s="35" t="b">
        <v>0</v>
      </c>
      <c r="L813" s="82" t="b">
        <v>0</v>
      </c>
      <c r="M813" s="83"/>
      <c r="N813" s="84"/>
      <c r="O813" s="89"/>
      <c r="P813" s="66" t="s">
        <v>112</v>
      </c>
      <c r="Q813" s="22"/>
      <c r="R813" s="22"/>
      <c r="S813" s="22"/>
      <c r="T813" s="74"/>
      <c r="U813" s="6"/>
      <c r="V813" s="74"/>
    </row>
    <row r="814" ht="22.5" customHeight="1">
      <c r="A814" s="6"/>
      <c r="C814" s="6"/>
      <c r="D814" s="22"/>
      <c r="E814" s="20"/>
      <c r="F814" s="21"/>
      <c r="G814" s="21"/>
      <c r="H814" s="21"/>
      <c r="I814" s="35" t="b">
        <v>0</v>
      </c>
      <c r="J814" s="35" t="b">
        <v>0</v>
      </c>
      <c r="K814" s="35" t="b">
        <v>0</v>
      </c>
      <c r="L814" s="82" t="b">
        <v>0</v>
      </c>
      <c r="M814" s="83"/>
      <c r="N814" s="84"/>
      <c r="O814" s="89"/>
      <c r="P814" s="66" t="s">
        <v>112</v>
      </c>
      <c r="Q814" s="22"/>
      <c r="R814" s="22"/>
      <c r="S814" s="22"/>
      <c r="T814" s="74"/>
      <c r="U814" s="6"/>
      <c r="V814" s="74"/>
    </row>
    <row r="815" ht="22.5" customHeight="1">
      <c r="A815" s="6"/>
      <c r="C815" s="6"/>
      <c r="D815" s="22"/>
      <c r="E815" s="20"/>
      <c r="F815" s="21"/>
      <c r="G815" s="21"/>
      <c r="H815" s="21"/>
      <c r="I815" s="35" t="b">
        <v>0</v>
      </c>
      <c r="J815" s="35" t="b">
        <v>0</v>
      </c>
      <c r="K815" s="35" t="b">
        <v>0</v>
      </c>
      <c r="L815" s="82" t="b">
        <v>0</v>
      </c>
      <c r="M815" s="83"/>
      <c r="N815" s="84"/>
      <c r="O815" s="89"/>
      <c r="P815" s="66" t="s">
        <v>112</v>
      </c>
      <c r="Q815" s="22"/>
      <c r="R815" s="22"/>
      <c r="S815" s="22"/>
      <c r="T815" s="74"/>
      <c r="U815" s="6"/>
      <c r="V815" s="74"/>
    </row>
    <row r="816" ht="22.5" customHeight="1">
      <c r="A816" s="6"/>
      <c r="C816" s="6"/>
      <c r="D816" s="22"/>
      <c r="E816" s="20"/>
      <c r="F816" s="21"/>
      <c r="G816" s="21"/>
      <c r="H816" s="21"/>
      <c r="I816" s="35" t="b">
        <v>0</v>
      </c>
      <c r="J816" s="35" t="b">
        <v>0</v>
      </c>
      <c r="K816" s="35" t="b">
        <v>0</v>
      </c>
      <c r="L816" s="82" t="b">
        <v>0</v>
      </c>
      <c r="M816" s="83"/>
      <c r="N816" s="84"/>
      <c r="O816" s="89"/>
      <c r="P816" s="66" t="s">
        <v>112</v>
      </c>
      <c r="Q816" s="22"/>
      <c r="R816" s="22"/>
      <c r="S816" s="22"/>
      <c r="T816" s="74"/>
      <c r="U816" s="6"/>
      <c r="V816" s="74"/>
    </row>
    <row r="817" ht="22.5" customHeight="1">
      <c r="A817" s="6"/>
      <c r="C817" s="6"/>
      <c r="D817" s="22"/>
      <c r="E817" s="20"/>
      <c r="F817" s="21"/>
      <c r="G817" s="21"/>
      <c r="H817" s="21"/>
      <c r="I817" s="35" t="b">
        <v>0</v>
      </c>
      <c r="J817" s="35" t="b">
        <v>0</v>
      </c>
      <c r="K817" s="35" t="b">
        <v>0</v>
      </c>
      <c r="L817" s="82" t="b">
        <v>0</v>
      </c>
      <c r="M817" s="83"/>
      <c r="N817" s="84"/>
      <c r="O817" s="89"/>
      <c r="P817" s="66" t="s">
        <v>112</v>
      </c>
      <c r="Q817" s="22"/>
      <c r="R817" s="22"/>
      <c r="S817" s="22"/>
      <c r="T817" s="74"/>
      <c r="U817" s="6"/>
      <c r="V817" s="74"/>
    </row>
    <row r="818" ht="22.5" customHeight="1">
      <c r="A818" s="6"/>
      <c r="C818" s="6"/>
      <c r="D818" s="22"/>
      <c r="E818" s="20"/>
      <c r="F818" s="21"/>
      <c r="G818" s="21"/>
      <c r="H818" s="21"/>
      <c r="I818" s="35" t="b">
        <v>0</v>
      </c>
      <c r="J818" s="35" t="b">
        <v>0</v>
      </c>
      <c r="K818" s="35" t="b">
        <v>0</v>
      </c>
      <c r="L818" s="82" t="b">
        <v>0</v>
      </c>
      <c r="M818" s="83"/>
      <c r="N818" s="84"/>
      <c r="O818" s="89"/>
      <c r="P818" s="66" t="s">
        <v>112</v>
      </c>
      <c r="Q818" s="22"/>
      <c r="R818" s="22"/>
      <c r="S818" s="22"/>
      <c r="T818" s="74"/>
      <c r="U818" s="6"/>
      <c r="V818" s="74"/>
    </row>
    <row r="819" ht="22.5" customHeight="1">
      <c r="A819" s="6"/>
      <c r="C819" s="6"/>
      <c r="D819" s="22"/>
      <c r="E819" s="20"/>
      <c r="F819" s="21"/>
      <c r="G819" s="21"/>
      <c r="H819" s="21"/>
      <c r="I819" s="35" t="b">
        <v>0</v>
      </c>
      <c r="J819" s="35" t="b">
        <v>0</v>
      </c>
      <c r="K819" s="35" t="b">
        <v>0</v>
      </c>
      <c r="L819" s="82" t="b">
        <v>0</v>
      </c>
      <c r="M819" s="83"/>
      <c r="N819" s="84"/>
      <c r="O819" s="89"/>
      <c r="P819" s="66" t="s">
        <v>112</v>
      </c>
      <c r="Q819" s="22"/>
      <c r="R819" s="22"/>
      <c r="S819" s="22"/>
      <c r="T819" s="74"/>
      <c r="U819" s="6"/>
      <c r="V819" s="74"/>
    </row>
    <row r="820" ht="22.5" customHeight="1">
      <c r="A820" s="6"/>
      <c r="C820" s="6"/>
      <c r="D820" s="22"/>
      <c r="E820" s="20"/>
      <c r="F820" s="21"/>
      <c r="G820" s="21"/>
      <c r="H820" s="21"/>
      <c r="I820" s="35" t="b">
        <v>0</v>
      </c>
      <c r="J820" s="35" t="b">
        <v>0</v>
      </c>
      <c r="K820" s="35" t="b">
        <v>0</v>
      </c>
      <c r="L820" s="82" t="b">
        <v>0</v>
      </c>
      <c r="M820" s="83"/>
      <c r="N820" s="84"/>
      <c r="O820" s="89"/>
      <c r="P820" s="66" t="s">
        <v>112</v>
      </c>
      <c r="Q820" s="22"/>
      <c r="R820" s="22"/>
      <c r="S820" s="22"/>
      <c r="T820" s="74"/>
      <c r="U820" s="6"/>
      <c r="V820" s="74"/>
    </row>
    <row r="821" ht="22.5" customHeight="1">
      <c r="A821" s="6"/>
      <c r="C821" s="6"/>
      <c r="D821" s="22"/>
      <c r="E821" s="20"/>
      <c r="F821" s="21"/>
      <c r="G821" s="21"/>
      <c r="H821" s="21"/>
      <c r="I821" s="35" t="b">
        <v>0</v>
      </c>
      <c r="J821" s="35" t="b">
        <v>0</v>
      </c>
      <c r="K821" s="35" t="b">
        <v>0</v>
      </c>
      <c r="L821" s="82" t="b">
        <v>0</v>
      </c>
      <c r="M821" s="83"/>
      <c r="N821" s="84"/>
      <c r="O821" s="89"/>
      <c r="P821" s="66" t="s">
        <v>112</v>
      </c>
      <c r="Q821" s="22"/>
      <c r="R821" s="22"/>
      <c r="S821" s="22"/>
      <c r="T821" s="74"/>
      <c r="U821" s="6"/>
      <c r="V821" s="74"/>
    </row>
    <row r="822" ht="22.5" customHeight="1">
      <c r="A822" s="6"/>
      <c r="C822" s="6"/>
      <c r="D822" s="22"/>
      <c r="E822" s="20"/>
      <c r="F822" s="21"/>
      <c r="G822" s="21"/>
      <c r="H822" s="21"/>
      <c r="I822" s="35" t="b">
        <v>0</v>
      </c>
      <c r="J822" s="35" t="b">
        <v>0</v>
      </c>
      <c r="K822" s="35" t="b">
        <v>0</v>
      </c>
      <c r="L822" s="82" t="b">
        <v>0</v>
      </c>
      <c r="M822" s="83"/>
      <c r="N822" s="84"/>
      <c r="O822" s="89"/>
      <c r="P822" s="66" t="s">
        <v>112</v>
      </c>
      <c r="Q822" s="22"/>
      <c r="R822" s="22"/>
      <c r="S822" s="22"/>
      <c r="T822" s="74"/>
      <c r="U822" s="6"/>
      <c r="V822" s="74"/>
    </row>
    <row r="823" ht="22.5" customHeight="1">
      <c r="A823" s="6"/>
      <c r="C823" s="6"/>
      <c r="D823" s="22"/>
      <c r="E823" s="20"/>
      <c r="F823" s="21"/>
      <c r="G823" s="21"/>
      <c r="H823" s="21"/>
      <c r="I823" s="35" t="b">
        <v>0</v>
      </c>
      <c r="J823" s="35" t="b">
        <v>0</v>
      </c>
      <c r="K823" s="35" t="b">
        <v>0</v>
      </c>
      <c r="L823" s="82" t="b">
        <v>0</v>
      </c>
      <c r="M823" s="83"/>
      <c r="N823" s="84"/>
      <c r="O823" s="89"/>
      <c r="P823" s="66" t="s">
        <v>112</v>
      </c>
      <c r="Q823" s="22"/>
      <c r="R823" s="22"/>
      <c r="S823" s="22"/>
      <c r="T823" s="74"/>
      <c r="U823" s="6"/>
      <c r="V823" s="74"/>
    </row>
    <row r="824" ht="22.5" customHeight="1">
      <c r="A824" s="6"/>
      <c r="C824" s="6"/>
      <c r="D824" s="22"/>
      <c r="E824" s="20"/>
      <c r="F824" s="21"/>
      <c r="G824" s="21"/>
      <c r="H824" s="21"/>
      <c r="I824" s="35" t="b">
        <v>0</v>
      </c>
      <c r="J824" s="35" t="b">
        <v>0</v>
      </c>
      <c r="K824" s="35" t="b">
        <v>0</v>
      </c>
      <c r="L824" s="82" t="b">
        <v>0</v>
      </c>
      <c r="M824" s="83"/>
      <c r="N824" s="84"/>
      <c r="O824" s="89"/>
      <c r="P824" s="66" t="s">
        <v>112</v>
      </c>
      <c r="Q824" s="22"/>
      <c r="R824" s="22"/>
      <c r="S824" s="22"/>
      <c r="T824" s="74"/>
      <c r="U824" s="6"/>
      <c r="V824" s="74"/>
    </row>
    <row r="825" ht="22.5" customHeight="1">
      <c r="A825" s="6"/>
      <c r="C825" s="6"/>
      <c r="D825" s="22"/>
      <c r="E825" s="20"/>
      <c r="F825" s="21"/>
      <c r="G825" s="21"/>
      <c r="H825" s="21"/>
      <c r="I825" s="35" t="b">
        <v>0</v>
      </c>
      <c r="J825" s="35" t="b">
        <v>0</v>
      </c>
      <c r="K825" s="35" t="b">
        <v>0</v>
      </c>
      <c r="L825" s="82" t="b">
        <v>0</v>
      </c>
      <c r="M825" s="83"/>
      <c r="N825" s="84"/>
      <c r="O825" s="89"/>
      <c r="P825" s="66" t="s">
        <v>112</v>
      </c>
      <c r="Q825" s="22"/>
      <c r="R825" s="22"/>
      <c r="S825" s="22"/>
      <c r="T825" s="74"/>
      <c r="U825" s="6"/>
      <c r="V825" s="74"/>
    </row>
    <row r="826" ht="22.5" customHeight="1">
      <c r="A826" s="6"/>
      <c r="C826" s="6"/>
      <c r="D826" s="22"/>
      <c r="E826" s="20"/>
      <c r="F826" s="21"/>
      <c r="G826" s="21"/>
      <c r="H826" s="21"/>
      <c r="I826" s="35" t="b">
        <v>0</v>
      </c>
      <c r="J826" s="35" t="b">
        <v>0</v>
      </c>
      <c r="K826" s="35" t="b">
        <v>0</v>
      </c>
      <c r="L826" s="82" t="b">
        <v>0</v>
      </c>
      <c r="M826" s="83"/>
      <c r="N826" s="84"/>
      <c r="O826" s="89"/>
      <c r="P826" s="66" t="s">
        <v>112</v>
      </c>
      <c r="Q826" s="22"/>
      <c r="R826" s="22"/>
      <c r="S826" s="22"/>
      <c r="T826" s="74"/>
      <c r="U826" s="6"/>
      <c r="V826" s="74"/>
    </row>
    <row r="827" ht="22.5" customHeight="1">
      <c r="A827" s="6"/>
      <c r="C827" s="6"/>
      <c r="D827" s="22"/>
      <c r="E827" s="20"/>
      <c r="F827" s="21"/>
      <c r="G827" s="21"/>
      <c r="H827" s="21"/>
      <c r="I827" s="35" t="b">
        <v>0</v>
      </c>
      <c r="J827" s="35" t="b">
        <v>0</v>
      </c>
      <c r="K827" s="35" t="b">
        <v>0</v>
      </c>
      <c r="L827" s="82" t="b">
        <v>0</v>
      </c>
      <c r="M827" s="83"/>
      <c r="N827" s="84"/>
      <c r="O827" s="89"/>
      <c r="P827" s="66" t="s">
        <v>112</v>
      </c>
      <c r="Q827" s="22"/>
      <c r="R827" s="22"/>
      <c r="S827" s="22"/>
      <c r="T827" s="74"/>
      <c r="U827" s="6"/>
      <c r="V827" s="74"/>
    </row>
    <row r="828" ht="22.5" customHeight="1">
      <c r="A828" s="6"/>
      <c r="C828" s="6"/>
      <c r="D828" s="22"/>
      <c r="E828" s="20"/>
      <c r="F828" s="21"/>
      <c r="G828" s="21"/>
      <c r="H828" s="21"/>
      <c r="I828" s="35" t="b">
        <v>0</v>
      </c>
      <c r="J828" s="35" t="b">
        <v>0</v>
      </c>
      <c r="K828" s="35" t="b">
        <v>0</v>
      </c>
      <c r="L828" s="82" t="b">
        <v>0</v>
      </c>
      <c r="M828" s="83"/>
      <c r="N828" s="84"/>
      <c r="O828" s="89"/>
      <c r="P828" s="66" t="s">
        <v>112</v>
      </c>
      <c r="Q828" s="22"/>
      <c r="R828" s="22"/>
      <c r="S828" s="22"/>
      <c r="T828" s="74"/>
      <c r="U828" s="6"/>
      <c r="V828" s="74"/>
    </row>
    <row r="829" ht="22.5" customHeight="1">
      <c r="A829" s="6"/>
      <c r="C829" s="6"/>
      <c r="D829" s="22"/>
      <c r="E829" s="20"/>
      <c r="F829" s="21"/>
      <c r="G829" s="21"/>
      <c r="H829" s="21"/>
      <c r="I829" s="35" t="b">
        <v>0</v>
      </c>
      <c r="J829" s="35" t="b">
        <v>0</v>
      </c>
      <c r="K829" s="35" t="b">
        <v>0</v>
      </c>
      <c r="L829" s="82" t="b">
        <v>0</v>
      </c>
      <c r="M829" s="83"/>
      <c r="N829" s="84"/>
      <c r="O829" s="89"/>
      <c r="P829" s="66" t="s">
        <v>112</v>
      </c>
      <c r="Q829" s="22"/>
      <c r="R829" s="22"/>
      <c r="S829" s="22"/>
      <c r="T829" s="74"/>
      <c r="U829" s="6"/>
      <c r="V829" s="74"/>
    </row>
    <row r="830" ht="22.5" customHeight="1">
      <c r="A830" s="6"/>
      <c r="C830" s="6"/>
      <c r="D830" s="22"/>
      <c r="E830" s="20"/>
      <c r="F830" s="21"/>
      <c r="G830" s="21"/>
      <c r="H830" s="21"/>
      <c r="I830" s="35" t="b">
        <v>0</v>
      </c>
      <c r="J830" s="35" t="b">
        <v>0</v>
      </c>
      <c r="K830" s="35" t="b">
        <v>0</v>
      </c>
      <c r="L830" s="82" t="b">
        <v>0</v>
      </c>
      <c r="M830" s="83"/>
      <c r="N830" s="84"/>
      <c r="O830" s="89"/>
      <c r="P830" s="66" t="s">
        <v>112</v>
      </c>
      <c r="Q830" s="22"/>
      <c r="R830" s="22"/>
      <c r="S830" s="22"/>
      <c r="T830" s="74"/>
      <c r="U830" s="6"/>
      <c r="V830" s="74"/>
    </row>
    <row r="831" ht="22.5" customHeight="1">
      <c r="A831" s="6"/>
      <c r="C831" s="6"/>
      <c r="D831" s="22"/>
      <c r="E831" s="20"/>
      <c r="F831" s="21"/>
      <c r="G831" s="21"/>
      <c r="H831" s="21"/>
      <c r="I831" s="35" t="b">
        <v>0</v>
      </c>
      <c r="J831" s="35" t="b">
        <v>0</v>
      </c>
      <c r="K831" s="35" t="b">
        <v>0</v>
      </c>
      <c r="L831" s="82" t="b">
        <v>0</v>
      </c>
      <c r="M831" s="83"/>
      <c r="N831" s="84"/>
      <c r="O831" s="89"/>
      <c r="P831" s="66" t="s">
        <v>112</v>
      </c>
      <c r="Q831" s="22"/>
      <c r="R831" s="22"/>
      <c r="S831" s="22"/>
      <c r="T831" s="74"/>
      <c r="U831" s="6"/>
      <c r="V831" s="74"/>
    </row>
    <row r="832" ht="22.5" customHeight="1">
      <c r="A832" s="6"/>
      <c r="C832" s="6"/>
      <c r="D832" s="22"/>
      <c r="E832" s="20"/>
      <c r="F832" s="21"/>
      <c r="G832" s="21"/>
      <c r="H832" s="21"/>
      <c r="I832" s="35" t="b">
        <v>0</v>
      </c>
      <c r="J832" s="35" t="b">
        <v>0</v>
      </c>
      <c r="K832" s="35" t="b">
        <v>0</v>
      </c>
      <c r="L832" s="82" t="b">
        <v>0</v>
      </c>
      <c r="M832" s="83"/>
      <c r="N832" s="84"/>
      <c r="O832" s="89"/>
      <c r="P832" s="66" t="s">
        <v>112</v>
      </c>
      <c r="Q832" s="22"/>
      <c r="R832" s="22"/>
      <c r="S832" s="22"/>
      <c r="T832" s="74"/>
      <c r="U832" s="6"/>
      <c r="V832" s="74"/>
    </row>
    <row r="833" ht="22.5" customHeight="1">
      <c r="A833" s="6"/>
      <c r="C833" s="6"/>
      <c r="D833" s="22"/>
      <c r="E833" s="20"/>
      <c r="F833" s="21"/>
      <c r="G833" s="21"/>
      <c r="H833" s="21"/>
      <c r="I833" s="35" t="b">
        <v>0</v>
      </c>
      <c r="J833" s="35" t="b">
        <v>0</v>
      </c>
      <c r="K833" s="35" t="b">
        <v>0</v>
      </c>
      <c r="L833" s="82" t="b">
        <v>0</v>
      </c>
      <c r="M833" s="83"/>
      <c r="N833" s="84"/>
      <c r="O833" s="89"/>
      <c r="P833" s="66" t="s">
        <v>112</v>
      </c>
      <c r="Q833" s="22"/>
      <c r="R833" s="22"/>
      <c r="S833" s="22"/>
      <c r="T833" s="74"/>
      <c r="U833" s="6"/>
      <c r="V833" s="74"/>
    </row>
    <row r="834" ht="22.5" customHeight="1">
      <c r="A834" s="6"/>
      <c r="C834" s="6"/>
      <c r="D834" s="22"/>
      <c r="E834" s="20"/>
      <c r="F834" s="21"/>
      <c r="G834" s="21"/>
      <c r="H834" s="21"/>
      <c r="I834" s="35" t="b">
        <v>0</v>
      </c>
      <c r="J834" s="35" t="b">
        <v>0</v>
      </c>
      <c r="K834" s="35" t="b">
        <v>0</v>
      </c>
      <c r="L834" s="82" t="b">
        <v>0</v>
      </c>
      <c r="M834" s="83"/>
      <c r="N834" s="84"/>
      <c r="O834" s="89"/>
      <c r="P834" s="66" t="s">
        <v>112</v>
      </c>
      <c r="Q834" s="22"/>
      <c r="R834" s="22"/>
      <c r="S834" s="22"/>
      <c r="T834" s="74"/>
      <c r="U834" s="6"/>
      <c r="V834" s="74"/>
    </row>
    <row r="835" ht="22.5" customHeight="1">
      <c r="A835" s="6"/>
      <c r="C835" s="6"/>
      <c r="D835" s="22"/>
      <c r="E835" s="20"/>
      <c r="F835" s="21"/>
      <c r="G835" s="21"/>
      <c r="H835" s="21"/>
      <c r="I835" s="35" t="b">
        <v>0</v>
      </c>
      <c r="J835" s="35" t="b">
        <v>0</v>
      </c>
      <c r="K835" s="35" t="b">
        <v>0</v>
      </c>
      <c r="L835" s="82" t="b">
        <v>0</v>
      </c>
      <c r="M835" s="83"/>
      <c r="N835" s="84"/>
      <c r="O835" s="89"/>
      <c r="P835" s="66" t="s">
        <v>112</v>
      </c>
      <c r="Q835" s="22"/>
      <c r="R835" s="22"/>
      <c r="S835" s="22"/>
      <c r="T835" s="74"/>
      <c r="U835" s="6"/>
      <c r="V835" s="74"/>
    </row>
    <row r="836" ht="22.5" customHeight="1">
      <c r="A836" s="6"/>
      <c r="C836" s="6"/>
      <c r="D836" s="22"/>
      <c r="E836" s="20"/>
      <c r="F836" s="21"/>
      <c r="G836" s="21"/>
      <c r="H836" s="21"/>
      <c r="I836" s="35" t="b">
        <v>0</v>
      </c>
      <c r="J836" s="35" t="b">
        <v>0</v>
      </c>
      <c r="K836" s="35" t="b">
        <v>0</v>
      </c>
      <c r="L836" s="82" t="b">
        <v>0</v>
      </c>
      <c r="M836" s="83"/>
      <c r="N836" s="84"/>
      <c r="O836" s="89"/>
      <c r="P836" s="66" t="s">
        <v>112</v>
      </c>
      <c r="Q836" s="22"/>
      <c r="R836" s="22"/>
      <c r="S836" s="22"/>
      <c r="T836" s="74"/>
      <c r="U836" s="6"/>
      <c r="V836" s="74"/>
    </row>
    <row r="837" ht="22.5" customHeight="1">
      <c r="A837" s="6"/>
      <c r="C837" s="6"/>
      <c r="D837" s="22"/>
      <c r="E837" s="20"/>
      <c r="F837" s="21"/>
      <c r="G837" s="21"/>
      <c r="H837" s="21"/>
      <c r="I837" s="35" t="b">
        <v>0</v>
      </c>
      <c r="J837" s="35" t="b">
        <v>0</v>
      </c>
      <c r="K837" s="35" t="b">
        <v>0</v>
      </c>
      <c r="L837" s="82" t="b">
        <v>0</v>
      </c>
      <c r="M837" s="83"/>
      <c r="N837" s="84"/>
      <c r="O837" s="89"/>
      <c r="P837" s="66" t="s">
        <v>112</v>
      </c>
      <c r="Q837" s="22"/>
      <c r="R837" s="22"/>
      <c r="S837" s="22"/>
      <c r="T837" s="74"/>
      <c r="U837" s="6"/>
      <c r="V837" s="74"/>
    </row>
    <row r="838" ht="22.5" customHeight="1">
      <c r="A838" s="6"/>
      <c r="C838" s="6"/>
      <c r="D838" s="22"/>
      <c r="E838" s="20"/>
      <c r="F838" s="21"/>
      <c r="G838" s="21"/>
      <c r="H838" s="21"/>
      <c r="I838" s="35" t="b">
        <v>0</v>
      </c>
      <c r="J838" s="35" t="b">
        <v>0</v>
      </c>
      <c r="K838" s="35" t="b">
        <v>0</v>
      </c>
      <c r="L838" s="82" t="b">
        <v>0</v>
      </c>
      <c r="M838" s="83"/>
      <c r="N838" s="84"/>
      <c r="O838" s="89"/>
      <c r="P838" s="66" t="s">
        <v>112</v>
      </c>
      <c r="Q838" s="22"/>
      <c r="R838" s="22"/>
      <c r="S838" s="22"/>
      <c r="T838" s="74"/>
      <c r="U838" s="6"/>
      <c r="V838" s="74"/>
    </row>
    <row r="839" ht="22.5" customHeight="1">
      <c r="A839" s="6"/>
      <c r="C839" s="6"/>
      <c r="D839" s="22"/>
      <c r="E839" s="20"/>
      <c r="F839" s="21"/>
      <c r="G839" s="21"/>
      <c r="H839" s="21"/>
      <c r="I839" s="35" t="b">
        <v>0</v>
      </c>
      <c r="J839" s="35" t="b">
        <v>0</v>
      </c>
      <c r="K839" s="35" t="b">
        <v>0</v>
      </c>
      <c r="L839" s="82" t="b">
        <v>0</v>
      </c>
      <c r="M839" s="83"/>
      <c r="N839" s="84"/>
      <c r="O839" s="89"/>
      <c r="P839" s="66" t="s">
        <v>112</v>
      </c>
      <c r="Q839" s="22"/>
      <c r="R839" s="22"/>
      <c r="S839" s="22"/>
      <c r="T839" s="74"/>
      <c r="U839" s="6"/>
      <c r="V839" s="74"/>
    </row>
    <row r="840" ht="22.5" customHeight="1">
      <c r="A840" s="6"/>
      <c r="C840" s="6"/>
      <c r="D840" s="22"/>
      <c r="E840" s="20"/>
      <c r="F840" s="21"/>
      <c r="G840" s="21"/>
      <c r="H840" s="21"/>
      <c r="I840" s="35" t="b">
        <v>0</v>
      </c>
      <c r="J840" s="35" t="b">
        <v>0</v>
      </c>
      <c r="K840" s="35" t="b">
        <v>0</v>
      </c>
      <c r="L840" s="82" t="b">
        <v>0</v>
      </c>
      <c r="M840" s="83"/>
      <c r="N840" s="84"/>
      <c r="O840" s="89"/>
      <c r="P840" s="66" t="s">
        <v>112</v>
      </c>
      <c r="Q840" s="22"/>
      <c r="R840" s="22"/>
      <c r="S840" s="22"/>
      <c r="T840" s="74"/>
      <c r="U840" s="6"/>
      <c r="V840" s="74"/>
    </row>
    <row r="841" ht="22.5" customHeight="1">
      <c r="A841" s="6"/>
      <c r="C841" s="6"/>
      <c r="D841" s="22"/>
      <c r="E841" s="20"/>
      <c r="F841" s="21"/>
      <c r="G841" s="21"/>
      <c r="H841" s="21"/>
      <c r="I841" s="35" t="b">
        <v>0</v>
      </c>
      <c r="J841" s="35" t="b">
        <v>0</v>
      </c>
      <c r="K841" s="35" t="b">
        <v>0</v>
      </c>
      <c r="L841" s="82" t="b">
        <v>0</v>
      </c>
      <c r="M841" s="83"/>
      <c r="N841" s="84"/>
      <c r="O841" s="89"/>
      <c r="P841" s="66" t="s">
        <v>112</v>
      </c>
      <c r="Q841" s="22"/>
      <c r="R841" s="22"/>
      <c r="S841" s="22"/>
      <c r="T841" s="74"/>
      <c r="U841" s="6"/>
      <c r="V841" s="74"/>
    </row>
    <row r="842" ht="22.5" customHeight="1">
      <c r="A842" s="6"/>
      <c r="C842" s="6"/>
      <c r="D842" s="22"/>
      <c r="E842" s="20"/>
      <c r="F842" s="21"/>
      <c r="G842" s="21"/>
      <c r="H842" s="21"/>
      <c r="I842" s="35" t="b">
        <v>0</v>
      </c>
      <c r="J842" s="35" t="b">
        <v>0</v>
      </c>
      <c r="K842" s="35" t="b">
        <v>0</v>
      </c>
      <c r="L842" s="82" t="b">
        <v>0</v>
      </c>
      <c r="M842" s="83"/>
      <c r="N842" s="84"/>
      <c r="O842" s="89"/>
      <c r="P842" s="66" t="s">
        <v>112</v>
      </c>
      <c r="Q842" s="22"/>
      <c r="R842" s="22"/>
      <c r="S842" s="22"/>
      <c r="T842" s="74"/>
      <c r="U842" s="6"/>
      <c r="V842" s="74"/>
    </row>
    <row r="843" ht="22.5" customHeight="1">
      <c r="A843" s="6"/>
      <c r="C843" s="6"/>
      <c r="D843" s="22"/>
      <c r="E843" s="20"/>
      <c r="F843" s="21"/>
      <c r="G843" s="21"/>
      <c r="H843" s="21"/>
      <c r="I843" s="35" t="b">
        <v>0</v>
      </c>
      <c r="J843" s="35" t="b">
        <v>0</v>
      </c>
      <c r="K843" s="35" t="b">
        <v>0</v>
      </c>
      <c r="L843" s="82" t="b">
        <v>0</v>
      </c>
      <c r="M843" s="83"/>
      <c r="N843" s="84"/>
      <c r="O843" s="89"/>
      <c r="P843" s="66" t="s">
        <v>112</v>
      </c>
      <c r="Q843" s="22"/>
      <c r="R843" s="22"/>
      <c r="S843" s="22"/>
      <c r="T843" s="74"/>
      <c r="U843" s="6"/>
      <c r="V843" s="74"/>
    </row>
    <row r="844" ht="22.5" customHeight="1">
      <c r="A844" s="6"/>
      <c r="C844" s="6"/>
      <c r="D844" s="22"/>
      <c r="E844" s="20"/>
      <c r="F844" s="21"/>
      <c r="G844" s="21"/>
      <c r="H844" s="21"/>
      <c r="I844" s="35" t="b">
        <v>0</v>
      </c>
      <c r="J844" s="35" t="b">
        <v>0</v>
      </c>
      <c r="K844" s="35" t="b">
        <v>0</v>
      </c>
      <c r="L844" s="82" t="b">
        <v>0</v>
      </c>
      <c r="M844" s="83"/>
      <c r="N844" s="84"/>
      <c r="O844" s="89"/>
      <c r="P844" s="66" t="s">
        <v>112</v>
      </c>
      <c r="Q844" s="22"/>
      <c r="R844" s="22"/>
      <c r="S844" s="22"/>
      <c r="T844" s="74"/>
      <c r="U844" s="6"/>
      <c r="V844" s="74"/>
    </row>
    <row r="845" ht="22.5" customHeight="1">
      <c r="A845" s="6"/>
      <c r="C845" s="6"/>
      <c r="D845" s="22"/>
      <c r="E845" s="20"/>
      <c r="F845" s="21"/>
      <c r="G845" s="21"/>
      <c r="H845" s="21"/>
      <c r="I845" s="35" t="b">
        <v>0</v>
      </c>
      <c r="J845" s="35" t="b">
        <v>0</v>
      </c>
      <c r="K845" s="35" t="b">
        <v>0</v>
      </c>
      <c r="L845" s="82" t="b">
        <v>0</v>
      </c>
      <c r="M845" s="83"/>
      <c r="N845" s="84"/>
      <c r="O845" s="89"/>
      <c r="P845" s="66" t="s">
        <v>112</v>
      </c>
      <c r="Q845" s="22"/>
      <c r="R845" s="22"/>
      <c r="S845" s="22"/>
      <c r="T845" s="74"/>
      <c r="U845" s="6"/>
      <c r="V845" s="74"/>
    </row>
    <row r="846" ht="22.5" customHeight="1">
      <c r="A846" s="6"/>
      <c r="C846" s="6"/>
      <c r="D846" s="22"/>
      <c r="E846" s="20"/>
      <c r="F846" s="21"/>
      <c r="G846" s="21"/>
      <c r="H846" s="21"/>
      <c r="I846" s="35" t="b">
        <v>0</v>
      </c>
      <c r="J846" s="35" t="b">
        <v>0</v>
      </c>
      <c r="K846" s="35" t="b">
        <v>0</v>
      </c>
      <c r="L846" s="82" t="b">
        <v>0</v>
      </c>
      <c r="M846" s="83"/>
      <c r="N846" s="84"/>
      <c r="O846" s="89"/>
      <c r="P846" s="66" t="s">
        <v>112</v>
      </c>
      <c r="Q846" s="22"/>
      <c r="R846" s="22"/>
      <c r="S846" s="22"/>
      <c r="T846" s="74"/>
      <c r="U846" s="6"/>
      <c r="V846" s="74"/>
    </row>
    <row r="847" ht="22.5" customHeight="1">
      <c r="A847" s="6"/>
      <c r="C847" s="6"/>
      <c r="D847" s="22"/>
      <c r="E847" s="20"/>
      <c r="F847" s="21"/>
      <c r="G847" s="21"/>
      <c r="H847" s="21"/>
      <c r="I847" s="35" t="b">
        <v>0</v>
      </c>
      <c r="J847" s="35" t="b">
        <v>0</v>
      </c>
      <c r="K847" s="35" t="b">
        <v>0</v>
      </c>
      <c r="L847" s="82" t="b">
        <v>0</v>
      </c>
      <c r="M847" s="83"/>
      <c r="N847" s="84"/>
      <c r="O847" s="89"/>
      <c r="P847" s="66" t="s">
        <v>112</v>
      </c>
      <c r="Q847" s="22"/>
      <c r="R847" s="22"/>
      <c r="S847" s="22"/>
      <c r="T847" s="74"/>
      <c r="U847" s="6"/>
      <c r="V847" s="74"/>
    </row>
    <row r="848" ht="22.5" customHeight="1">
      <c r="A848" s="6"/>
      <c r="C848" s="6"/>
      <c r="D848" s="22"/>
      <c r="E848" s="20"/>
      <c r="F848" s="21"/>
      <c r="G848" s="21"/>
      <c r="H848" s="21"/>
      <c r="I848" s="35" t="b">
        <v>0</v>
      </c>
      <c r="J848" s="35" t="b">
        <v>0</v>
      </c>
      <c r="K848" s="35" t="b">
        <v>0</v>
      </c>
      <c r="L848" s="82" t="b">
        <v>0</v>
      </c>
      <c r="M848" s="83"/>
      <c r="N848" s="84"/>
      <c r="O848" s="89"/>
      <c r="P848" s="66" t="s">
        <v>112</v>
      </c>
      <c r="Q848" s="22"/>
      <c r="R848" s="22"/>
      <c r="S848" s="22"/>
      <c r="T848" s="74"/>
      <c r="U848" s="6"/>
      <c r="V848" s="74"/>
    </row>
    <row r="849" ht="22.5" customHeight="1">
      <c r="A849" s="6"/>
      <c r="C849" s="6"/>
      <c r="D849" s="22"/>
      <c r="E849" s="20"/>
      <c r="F849" s="21"/>
      <c r="G849" s="21"/>
      <c r="H849" s="21"/>
      <c r="I849" s="35" t="b">
        <v>0</v>
      </c>
      <c r="J849" s="35" t="b">
        <v>0</v>
      </c>
      <c r="K849" s="35" t="b">
        <v>0</v>
      </c>
      <c r="L849" s="82" t="b">
        <v>0</v>
      </c>
      <c r="M849" s="83"/>
      <c r="N849" s="84"/>
      <c r="O849" s="89"/>
      <c r="P849" s="66" t="s">
        <v>112</v>
      </c>
      <c r="Q849" s="22"/>
      <c r="R849" s="22"/>
      <c r="S849" s="22"/>
      <c r="T849" s="74"/>
      <c r="U849" s="6"/>
      <c r="V849" s="74"/>
    </row>
    <row r="850" ht="22.5" customHeight="1">
      <c r="A850" s="6"/>
      <c r="C850" s="6"/>
      <c r="D850" s="22"/>
      <c r="E850" s="20"/>
      <c r="F850" s="21"/>
      <c r="G850" s="21"/>
      <c r="H850" s="21"/>
      <c r="I850" s="35" t="b">
        <v>0</v>
      </c>
      <c r="J850" s="35" t="b">
        <v>0</v>
      </c>
      <c r="K850" s="35" t="b">
        <v>0</v>
      </c>
      <c r="L850" s="82" t="b">
        <v>0</v>
      </c>
      <c r="M850" s="83"/>
      <c r="N850" s="84"/>
      <c r="O850" s="89"/>
      <c r="P850" s="66" t="s">
        <v>112</v>
      </c>
      <c r="Q850" s="22"/>
      <c r="R850" s="22"/>
      <c r="S850" s="22"/>
      <c r="T850" s="74"/>
      <c r="U850" s="6"/>
      <c r="V850" s="74"/>
    </row>
    <row r="851" ht="22.5" customHeight="1">
      <c r="A851" s="6"/>
      <c r="C851" s="6"/>
      <c r="D851" s="22"/>
      <c r="E851" s="20"/>
      <c r="F851" s="21"/>
      <c r="G851" s="21"/>
      <c r="H851" s="21"/>
      <c r="I851" s="35" t="b">
        <v>0</v>
      </c>
      <c r="J851" s="35" t="b">
        <v>0</v>
      </c>
      <c r="K851" s="35" t="b">
        <v>0</v>
      </c>
      <c r="L851" s="82" t="b">
        <v>0</v>
      </c>
      <c r="M851" s="83"/>
      <c r="N851" s="84"/>
      <c r="O851" s="89"/>
      <c r="P851" s="66" t="s">
        <v>112</v>
      </c>
      <c r="Q851" s="22"/>
      <c r="R851" s="22"/>
      <c r="S851" s="22"/>
      <c r="T851" s="74"/>
      <c r="U851" s="6"/>
      <c r="V851" s="74"/>
    </row>
    <row r="852" ht="22.5" customHeight="1">
      <c r="A852" s="6"/>
      <c r="C852" s="6"/>
      <c r="D852" s="22"/>
      <c r="E852" s="20"/>
      <c r="F852" s="21"/>
      <c r="G852" s="21"/>
      <c r="H852" s="21"/>
      <c r="I852" s="35" t="b">
        <v>0</v>
      </c>
      <c r="J852" s="35" t="b">
        <v>0</v>
      </c>
      <c r="K852" s="35" t="b">
        <v>0</v>
      </c>
      <c r="L852" s="82" t="b">
        <v>0</v>
      </c>
      <c r="M852" s="83"/>
      <c r="N852" s="84"/>
      <c r="O852" s="89"/>
      <c r="P852" s="66" t="s">
        <v>112</v>
      </c>
      <c r="Q852" s="22"/>
      <c r="R852" s="22"/>
      <c r="S852" s="22"/>
      <c r="T852" s="74"/>
      <c r="U852" s="6"/>
      <c r="V852" s="74"/>
    </row>
    <row r="853" ht="22.5" customHeight="1">
      <c r="A853" s="6"/>
      <c r="C853" s="6"/>
      <c r="D853" s="22"/>
      <c r="E853" s="20"/>
      <c r="F853" s="21"/>
      <c r="G853" s="21"/>
      <c r="H853" s="21"/>
      <c r="I853" s="35" t="b">
        <v>0</v>
      </c>
      <c r="J853" s="35" t="b">
        <v>0</v>
      </c>
      <c r="K853" s="35" t="b">
        <v>0</v>
      </c>
      <c r="L853" s="82" t="b">
        <v>0</v>
      </c>
      <c r="M853" s="83"/>
      <c r="N853" s="84"/>
      <c r="O853" s="89"/>
      <c r="P853" s="66" t="s">
        <v>112</v>
      </c>
      <c r="Q853" s="22"/>
      <c r="R853" s="22"/>
      <c r="S853" s="22"/>
      <c r="T853" s="74"/>
      <c r="U853" s="6"/>
      <c r="V853" s="74"/>
    </row>
    <row r="854" ht="22.5" customHeight="1">
      <c r="A854" s="6"/>
      <c r="C854" s="6"/>
      <c r="D854" s="22"/>
      <c r="E854" s="20"/>
      <c r="F854" s="21"/>
      <c r="G854" s="21"/>
      <c r="H854" s="21"/>
      <c r="I854" s="35" t="b">
        <v>0</v>
      </c>
      <c r="J854" s="35" t="b">
        <v>0</v>
      </c>
      <c r="K854" s="35" t="b">
        <v>0</v>
      </c>
      <c r="L854" s="82" t="b">
        <v>0</v>
      </c>
      <c r="M854" s="83"/>
      <c r="N854" s="84"/>
      <c r="O854" s="89"/>
      <c r="P854" s="66" t="s">
        <v>112</v>
      </c>
      <c r="Q854" s="22"/>
      <c r="R854" s="22"/>
      <c r="S854" s="22"/>
      <c r="T854" s="74"/>
      <c r="U854" s="6"/>
      <c r="V854" s="74"/>
    </row>
    <row r="855" ht="22.5" customHeight="1">
      <c r="A855" s="6"/>
      <c r="C855" s="6"/>
      <c r="D855" s="22"/>
      <c r="E855" s="20"/>
      <c r="F855" s="21"/>
      <c r="G855" s="21"/>
      <c r="H855" s="21"/>
      <c r="I855" s="35" t="b">
        <v>0</v>
      </c>
      <c r="J855" s="35" t="b">
        <v>0</v>
      </c>
      <c r="K855" s="35" t="b">
        <v>0</v>
      </c>
      <c r="L855" s="82" t="b">
        <v>0</v>
      </c>
      <c r="M855" s="83"/>
      <c r="N855" s="84"/>
      <c r="O855" s="89"/>
      <c r="P855" s="66" t="s">
        <v>112</v>
      </c>
      <c r="Q855" s="22"/>
      <c r="R855" s="22"/>
      <c r="S855" s="22"/>
      <c r="T855" s="74"/>
      <c r="U855" s="6"/>
      <c r="V855" s="74"/>
    </row>
    <row r="856" ht="22.5" customHeight="1">
      <c r="A856" s="6"/>
      <c r="C856" s="6"/>
      <c r="D856" s="22"/>
      <c r="E856" s="20"/>
      <c r="F856" s="21"/>
      <c r="G856" s="21"/>
      <c r="H856" s="21"/>
      <c r="I856" s="35" t="b">
        <v>0</v>
      </c>
      <c r="J856" s="35" t="b">
        <v>0</v>
      </c>
      <c r="K856" s="35" t="b">
        <v>0</v>
      </c>
      <c r="L856" s="82" t="b">
        <v>0</v>
      </c>
      <c r="M856" s="83"/>
      <c r="N856" s="84"/>
      <c r="O856" s="89"/>
      <c r="P856" s="66" t="s">
        <v>112</v>
      </c>
      <c r="Q856" s="22"/>
      <c r="R856" s="22"/>
      <c r="S856" s="22"/>
      <c r="T856" s="74"/>
      <c r="U856" s="6"/>
      <c r="V856" s="74"/>
    </row>
    <row r="857" ht="22.5" customHeight="1">
      <c r="A857" s="6"/>
      <c r="C857" s="6"/>
      <c r="D857" s="22"/>
      <c r="E857" s="20"/>
      <c r="F857" s="21"/>
      <c r="G857" s="21"/>
      <c r="H857" s="21"/>
      <c r="I857" s="35" t="b">
        <v>0</v>
      </c>
      <c r="J857" s="35" t="b">
        <v>0</v>
      </c>
      <c r="K857" s="35" t="b">
        <v>0</v>
      </c>
      <c r="L857" s="82" t="b">
        <v>0</v>
      </c>
      <c r="M857" s="83"/>
      <c r="N857" s="84"/>
      <c r="O857" s="89"/>
      <c r="P857" s="66" t="s">
        <v>112</v>
      </c>
      <c r="Q857" s="22"/>
      <c r="R857" s="22"/>
      <c r="S857" s="22"/>
      <c r="T857" s="74"/>
      <c r="U857" s="6"/>
      <c r="V857" s="74"/>
    </row>
    <row r="858" ht="22.5" customHeight="1">
      <c r="A858" s="6"/>
      <c r="C858" s="6"/>
      <c r="D858" s="22"/>
      <c r="E858" s="20"/>
      <c r="F858" s="21"/>
      <c r="G858" s="21"/>
      <c r="H858" s="21"/>
      <c r="I858" s="35" t="b">
        <v>0</v>
      </c>
      <c r="J858" s="35" t="b">
        <v>0</v>
      </c>
      <c r="K858" s="35" t="b">
        <v>0</v>
      </c>
      <c r="L858" s="82" t="b">
        <v>0</v>
      </c>
      <c r="M858" s="83"/>
      <c r="N858" s="84"/>
      <c r="O858" s="89"/>
      <c r="P858" s="66" t="s">
        <v>112</v>
      </c>
      <c r="Q858" s="22"/>
      <c r="R858" s="22"/>
      <c r="S858" s="22"/>
      <c r="T858" s="74"/>
      <c r="U858" s="6"/>
      <c r="V858" s="74"/>
    </row>
    <row r="859" ht="22.5" customHeight="1">
      <c r="A859" s="6"/>
      <c r="C859" s="6"/>
      <c r="D859" s="22"/>
      <c r="E859" s="20"/>
      <c r="F859" s="21"/>
      <c r="G859" s="21"/>
      <c r="H859" s="21"/>
      <c r="I859" s="35" t="b">
        <v>0</v>
      </c>
      <c r="J859" s="35" t="b">
        <v>0</v>
      </c>
      <c r="K859" s="35" t="b">
        <v>0</v>
      </c>
      <c r="L859" s="82" t="b">
        <v>0</v>
      </c>
      <c r="M859" s="83"/>
      <c r="N859" s="84"/>
      <c r="O859" s="89"/>
      <c r="P859" s="66" t="s">
        <v>112</v>
      </c>
      <c r="Q859" s="22"/>
      <c r="R859" s="22"/>
      <c r="S859" s="22"/>
      <c r="T859" s="74"/>
      <c r="U859" s="6"/>
      <c r="V859" s="74"/>
    </row>
    <row r="860" ht="22.5" customHeight="1">
      <c r="A860" s="6"/>
      <c r="C860" s="6"/>
      <c r="D860" s="22"/>
      <c r="E860" s="20"/>
      <c r="F860" s="21"/>
      <c r="G860" s="21"/>
      <c r="H860" s="21"/>
      <c r="I860" s="35" t="b">
        <v>0</v>
      </c>
      <c r="J860" s="35" t="b">
        <v>0</v>
      </c>
      <c r="K860" s="35" t="b">
        <v>0</v>
      </c>
      <c r="L860" s="82" t="b">
        <v>0</v>
      </c>
      <c r="M860" s="83"/>
      <c r="N860" s="84"/>
      <c r="O860" s="89"/>
      <c r="P860" s="66" t="s">
        <v>112</v>
      </c>
      <c r="Q860" s="22"/>
      <c r="R860" s="22"/>
      <c r="S860" s="22"/>
      <c r="T860" s="74"/>
      <c r="U860" s="6"/>
      <c r="V860" s="74"/>
    </row>
    <row r="861" ht="22.5" customHeight="1">
      <c r="A861" s="6"/>
      <c r="C861" s="6"/>
      <c r="D861" s="22"/>
      <c r="E861" s="20"/>
      <c r="F861" s="21"/>
      <c r="G861" s="21"/>
      <c r="H861" s="21"/>
      <c r="I861" s="35" t="b">
        <v>0</v>
      </c>
      <c r="J861" s="35" t="b">
        <v>0</v>
      </c>
      <c r="K861" s="35" t="b">
        <v>0</v>
      </c>
      <c r="L861" s="82" t="b">
        <v>0</v>
      </c>
      <c r="M861" s="83"/>
      <c r="N861" s="84"/>
      <c r="O861" s="89"/>
      <c r="P861" s="66" t="s">
        <v>112</v>
      </c>
      <c r="Q861" s="22"/>
      <c r="R861" s="22"/>
      <c r="S861" s="22"/>
      <c r="T861" s="74"/>
      <c r="U861" s="6"/>
      <c r="V861" s="74"/>
    </row>
    <row r="862" ht="22.5" customHeight="1">
      <c r="A862" s="6"/>
      <c r="C862" s="6"/>
      <c r="D862" s="22"/>
      <c r="E862" s="20"/>
      <c r="F862" s="21"/>
      <c r="G862" s="21"/>
      <c r="H862" s="21"/>
      <c r="I862" s="35" t="b">
        <v>0</v>
      </c>
      <c r="J862" s="35" t="b">
        <v>0</v>
      </c>
      <c r="K862" s="35" t="b">
        <v>0</v>
      </c>
      <c r="L862" s="82" t="b">
        <v>0</v>
      </c>
      <c r="M862" s="83"/>
      <c r="N862" s="84"/>
      <c r="O862" s="89"/>
      <c r="P862" s="66" t="s">
        <v>112</v>
      </c>
      <c r="Q862" s="22"/>
      <c r="R862" s="22"/>
      <c r="S862" s="22"/>
      <c r="T862" s="74"/>
      <c r="U862" s="6"/>
      <c r="V862" s="74"/>
    </row>
    <row r="863" ht="22.5" customHeight="1">
      <c r="A863" s="6"/>
      <c r="C863" s="6"/>
      <c r="D863" s="22"/>
      <c r="E863" s="20"/>
      <c r="F863" s="21"/>
      <c r="G863" s="21"/>
      <c r="H863" s="21"/>
      <c r="I863" s="35" t="b">
        <v>0</v>
      </c>
      <c r="J863" s="35" t="b">
        <v>0</v>
      </c>
      <c r="K863" s="35" t="b">
        <v>0</v>
      </c>
      <c r="L863" s="82" t="b">
        <v>0</v>
      </c>
      <c r="M863" s="83"/>
      <c r="N863" s="84"/>
      <c r="O863" s="89"/>
      <c r="P863" s="66" t="s">
        <v>112</v>
      </c>
      <c r="Q863" s="22"/>
      <c r="R863" s="22"/>
      <c r="S863" s="22"/>
      <c r="T863" s="74"/>
      <c r="U863" s="6"/>
      <c r="V863" s="74"/>
    </row>
    <row r="864" ht="22.5" customHeight="1">
      <c r="A864" s="6"/>
      <c r="C864" s="6"/>
      <c r="D864" s="22"/>
      <c r="E864" s="20"/>
      <c r="F864" s="21"/>
      <c r="G864" s="21"/>
      <c r="H864" s="21"/>
      <c r="I864" s="35" t="b">
        <v>0</v>
      </c>
      <c r="J864" s="35" t="b">
        <v>0</v>
      </c>
      <c r="K864" s="35" t="b">
        <v>0</v>
      </c>
      <c r="L864" s="82" t="b">
        <v>0</v>
      </c>
      <c r="M864" s="83"/>
      <c r="N864" s="84"/>
      <c r="O864" s="89"/>
      <c r="P864" s="66" t="s">
        <v>112</v>
      </c>
      <c r="Q864" s="22"/>
      <c r="R864" s="22"/>
      <c r="S864" s="22"/>
      <c r="T864" s="74"/>
      <c r="U864" s="6"/>
      <c r="V864" s="74"/>
    </row>
    <row r="865" ht="22.5" customHeight="1">
      <c r="A865" s="6"/>
      <c r="C865" s="6"/>
      <c r="D865" s="22"/>
      <c r="E865" s="20"/>
      <c r="F865" s="21"/>
      <c r="G865" s="21"/>
      <c r="H865" s="21"/>
      <c r="I865" s="35" t="b">
        <v>0</v>
      </c>
      <c r="J865" s="35" t="b">
        <v>0</v>
      </c>
      <c r="K865" s="35" t="b">
        <v>0</v>
      </c>
      <c r="L865" s="82" t="b">
        <v>0</v>
      </c>
      <c r="M865" s="83"/>
      <c r="N865" s="84"/>
      <c r="O865" s="89"/>
      <c r="P865" s="66" t="s">
        <v>112</v>
      </c>
      <c r="Q865" s="22"/>
      <c r="R865" s="22"/>
      <c r="S865" s="22"/>
      <c r="T865" s="74"/>
      <c r="U865" s="6"/>
      <c r="V865" s="74"/>
    </row>
    <row r="866" ht="22.5" customHeight="1">
      <c r="A866" s="6"/>
      <c r="C866" s="6"/>
      <c r="D866" s="22"/>
      <c r="E866" s="20"/>
      <c r="F866" s="21"/>
      <c r="G866" s="21"/>
      <c r="H866" s="21"/>
      <c r="I866" s="35" t="b">
        <v>0</v>
      </c>
      <c r="J866" s="35" t="b">
        <v>0</v>
      </c>
      <c r="K866" s="35" t="b">
        <v>0</v>
      </c>
      <c r="L866" s="82" t="b">
        <v>0</v>
      </c>
      <c r="M866" s="83"/>
      <c r="N866" s="84"/>
      <c r="O866" s="89"/>
      <c r="P866" s="66" t="s">
        <v>112</v>
      </c>
      <c r="Q866" s="22"/>
      <c r="R866" s="22"/>
      <c r="S866" s="22"/>
      <c r="T866" s="74"/>
      <c r="U866" s="6"/>
      <c r="V866" s="74"/>
    </row>
    <row r="867" ht="22.5" customHeight="1">
      <c r="A867" s="6"/>
      <c r="C867" s="6"/>
      <c r="D867" s="22"/>
      <c r="E867" s="20"/>
      <c r="F867" s="21"/>
      <c r="G867" s="21"/>
      <c r="H867" s="21"/>
      <c r="I867" s="35" t="b">
        <v>0</v>
      </c>
      <c r="J867" s="35" t="b">
        <v>0</v>
      </c>
      <c r="K867" s="35" t="b">
        <v>0</v>
      </c>
      <c r="L867" s="82" t="b">
        <v>0</v>
      </c>
      <c r="M867" s="83"/>
      <c r="N867" s="84"/>
      <c r="O867" s="89"/>
      <c r="P867" s="66" t="s">
        <v>112</v>
      </c>
      <c r="Q867" s="22"/>
      <c r="R867" s="22"/>
      <c r="S867" s="22"/>
      <c r="T867" s="74"/>
      <c r="U867" s="6"/>
      <c r="V867" s="74"/>
    </row>
    <row r="868" ht="22.5" customHeight="1">
      <c r="A868" s="6"/>
      <c r="C868" s="6"/>
      <c r="D868" s="22"/>
      <c r="E868" s="20"/>
      <c r="F868" s="21"/>
      <c r="G868" s="21"/>
      <c r="H868" s="21"/>
      <c r="I868" s="35" t="b">
        <v>0</v>
      </c>
      <c r="J868" s="35" t="b">
        <v>0</v>
      </c>
      <c r="K868" s="35" t="b">
        <v>0</v>
      </c>
      <c r="L868" s="82" t="b">
        <v>0</v>
      </c>
      <c r="M868" s="83"/>
      <c r="N868" s="84"/>
      <c r="O868" s="89"/>
      <c r="P868" s="66" t="s">
        <v>112</v>
      </c>
      <c r="Q868" s="22"/>
      <c r="R868" s="22"/>
      <c r="S868" s="22"/>
      <c r="T868" s="74"/>
      <c r="U868" s="6"/>
      <c r="V868" s="74"/>
    </row>
    <row r="869" ht="22.5" customHeight="1">
      <c r="A869" s="6"/>
      <c r="C869" s="6"/>
      <c r="D869" s="22"/>
      <c r="E869" s="20"/>
      <c r="F869" s="21"/>
      <c r="G869" s="21"/>
      <c r="H869" s="21"/>
      <c r="I869" s="35" t="b">
        <v>0</v>
      </c>
      <c r="J869" s="35" t="b">
        <v>0</v>
      </c>
      <c r="K869" s="35" t="b">
        <v>0</v>
      </c>
      <c r="L869" s="82" t="b">
        <v>0</v>
      </c>
      <c r="M869" s="83"/>
      <c r="N869" s="84"/>
      <c r="O869" s="89"/>
      <c r="P869" s="66" t="s">
        <v>112</v>
      </c>
      <c r="Q869" s="22"/>
      <c r="R869" s="22"/>
      <c r="S869" s="22"/>
      <c r="T869" s="74"/>
      <c r="U869" s="6"/>
      <c r="V869" s="74"/>
    </row>
    <row r="870" ht="22.5" customHeight="1">
      <c r="A870" s="6"/>
      <c r="C870" s="6"/>
      <c r="D870" s="22"/>
      <c r="E870" s="20"/>
      <c r="F870" s="21"/>
      <c r="G870" s="21"/>
      <c r="H870" s="21"/>
      <c r="I870" s="35" t="b">
        <v>0</v>
      </c>
      <c r="J870" s="35" t="b">
        <v>0</v>
      </c>
      <c r="K870" s="35" t="b">
        <v>0</v>
      </c>
      <c r="L870" s="82" t="b">
        <v>0</v>
      </c>
      <c r="M870" s="83"/>
      <c r="N870" s="84"/>
      <c r="O870" s="89"/>
      <c r="P870" s="66" t="s">
        <v>112</v>
      </c>
      <c r="Q870" s="22"/>
      <c r="R870" s="22"/>
      <c r="S870" s="22"/>
      <c r="T870" s="74"/>
      <c r="U870" s="6"/>
      <c r="V870" s="74"/>
    </row>
    <row r="871" ht="22.5" customHeight="1">
      <c r="A871" s="6"/>
      <c r="C871" s="6"/>
      <c r="D871" s="22"/>
      <c r="E871" s="20"/>
      <c r="F871" s="21"/>
      <c r="G871" s="21"/>
      <c r="H871" s="21"/>
      <c r="I871" s="35" t="b">
        <v>0</v>
      </c>
      <c r="J871" s="35" t="b">
        <v>0</v>
      </c>
      <c r="K871" s="35" t="b">
        <v>0</v>
      </c>
      <c r="L871" s="82" t="b">
        <v>0</v>
      </c>
      <c r="M871" s="83"/>
      <c r="N871" s="84"/>
      <c r="O871" s="89"/>
      <c r="P871" s="66" t="s">
        <v>112</v>
      </c>
      <c r="Q871" s="22"/>
      <c r="R871" s="22"/>
      <c r="S871" s="22"/>
      <c r="T871" s="74"/>
      <c r="U871" s="6"/>
      <c r="V871" s="74"/>
    </row>
    <row r="872" ht="22.5" customHeight="1">
      <c r="A872" s="6"/>
      <c r="C872" s="6"/>
      <c r="D872" s="22"/>
      <c r="E872" s="20"/>
      <c r="F872" s="21"/>
      <c r="G872" s="21"/>
      <c r="H872" s="21"/>
      <c r="I872" s="35" t="b">
        <v>0</v>
      </c>
      <c r="J872" s="35" t="b">
        <v>0</v>
      </c>
      <c r="K872" s="35" t="b">
        <v>0</v>
      </c>
      <c r="L872" s="82" t="b">
        <v>0</v>
      </c>
      <c r="M872" s="83"/>
      <c r="N872" s="84"/>
      <c r="O872" s="89"/>
      <c r="P872" s="66" t="s">
        <v>112</v>
      </c>
      <c r="Q872" s="22"/>
      <c r="R872" s="22"/>
      <c r="S872" s="22"/>
      <c r="T872" s="74"/>
      <c r="U872" s="6"/>
      <c r="V872" s="74"/>
    </row>
    <row r="873" ht="22.5" customHeight="1">
      <c r="A873" s="6"/>
      <c r="C873" s="6"/>
      <c r="D873" s="22"/>
      <c r="E873" s="20"/>
      <c r="F873" s="21"/>
      <c r="G873" s="21"/>
      <c r="H873" s="21"/>
      <c r="I873" s="35" t="b">
        <v>0</v>
      </c>
      <c r="J873" s="35" t="b">
        <v>0</v>
      </c>
      <c r="K873" s="35" t="b">
        <v>0</v>
      </c>
      <c r="L873" s="82" t="b">
        <v>0</v>
      </c>
      <c r="M873" s="83"/>
      <c r="N873" s="84"/>
      <c r="O873" s="89"/>
      <c r="P873" s="66" t="s">
        <v>112</v>
      </c>
      <c r="Q873" s="22"/>
      <c r="R873" s="22"/>
      <c r="S873" s="22"/>
      <c r="T873" s="74"/>
      <c r="U873" s="6"/>
      <c r="V873" s="74"/>
    </row>
    <row r="874" ht="22.5" customHeight="1">
      <c r="A874" s="6"/>
      <c r="C874" s="6"/>
      <c r="D874" s="22"/>
      <c r="E874" s="20"/>
      <c r="F874" s="21"/>
      <c r="G874" s="21"/>
      <c r="H874" s="21"/>
      <c r="I874" s="35" t="b">
        <v>0</v>
      </c>
      <c r="J874" s="35" t="b">
        <v>0</v>
      </c>
      <c r="K874" s="35" t="b">
        <v>0</v>
      </c>
      <c r="L874" s="82" t="b">
        <v>0</v>
      </c>
      <c r="M874" s="83"/>
      <c r="N874" s="84"/>
      <c r="O874" s="89"/>
      <c r="P874" s="66" t="s">
        <v>112</v>
      </c>
      <c r="Q874" s="22"/>
      <c r="R874" s="22"/>
      <c r="S874" s="22"/>
      <c r="T874" s="74"/>
      <c r="U874" s="6"/>
      <c r="V874" s="74"/>
    </row>
    <row r="875" ht="22.5" customHeight="1">
      <c r="A875" s="6"/>
      <c r="C875" s="6"/>
      <c r="D875" s="22"/>
      <c r="E875" s="20"/>
      <c r="F875" s="21"/>
      <c r="G875" s="21"/>
      <c r="H875" s="21"/>
      <c r="I875" s="35" t="b">
        <v>0</v>
      </c>
      <c r="J875" s="35" t="b">
        <v>0</v>
      </c>
      <c r="K875" s="35" t="b">
        <v>0</v>
      </c>
      <c r="L875" s="82" t="b">
        <v>0</v>
      </c>
      <c r="M875" s="83"/>
      <c r="N875" s="84"/>
      <c r="O875" s="89"/>
      <c r="P875" s="66" t="s">
        <v>112</v>
      </c>
      <c r="Q875" s="22"/>
      <c r="R875" s="22"/>
      <c r="S875" s="22"/>
      <c r="T875" s="74"/>
      <c r="U875" s="6"/>
      <c r="V875" s="74"/>
    </row>
    <row r="876" ht="22.5" customHeight="1">
      <c r="A876" s="6"/>
      <c r="C876" s="6"/>
      <c r="D876" s="22"/>
      <c r="E876" s="20"/>
      <c r="F876" s="21"/>
      <c r="G876" s="21"/>
      <c r="H876" s="21"/>
      <c r="I876" s="35" t="b">
        <v>0</v>
      </c>
      <c r="J876" s="35" t="b">
        <v>0</v>
      </c>
      <c r="K876" s="35" t="b">
        <v>0</v>
      </c>
      <c r="L876" s="82" t="b">
        <v>0</v>
      </c>
      <c r="M876" s="83"/>
      <c r="N876" s="84"/>
      <c r="O876" s="89"/>
      <c r="P876" s="66" t="s">
        <v>112</v>
      </c>
      <c r="Q876" s="22"/>
      <c r="R876" s="22"/>
      <c r="S876" s="22"/>
      <c r="T876" s="74"/>
      <c r="U876" s="6"/>
      <c r="V876" s="74"/>
    </row>
    <row r="877" ht="22.5" customHeight="1">
      <c r="A877" s="6"/>
      <c r="C877" s="6"/>
      <c r="D877" s="22"/>
      <c r="E877" s="20"/>
      <c r="F877" s="21"/>
      <c r="G877" s="21"/>
      <c r="H877" s="21"/>
      <c r="I877" s="35" t="b">
        <v>0</v>
      </c>
      <c r="J877" s="35" t="b">
        <v>0</v>
      </c>
      <c r="K877" s="35" t="b">
        <v>0</v>
      </c>
      <c r="L877" s="82" t="b">
        <v>0</v>
      </c>
      <c r="M877" s="83"/>
      <c r="N877" s="84"/>
      <c r="O877" s="89"/>
      <c r="P877" s="66" t="s">
        <v>112</v>
      </c>
      <c r="Q877" s="22"/>
      <c r="R877" s="22"/>
      <c r="S877" s="22"/>
      <c r="T877" s="74"/>
      <c r="U877" s="6"/>
      <c r="V877" s="74"/>
    </row>
    <row r="878" ht="22.5" customHeight="1">
      <c r="A878" s="6"/>
      <c r="C878" s="6"/>
      <c r="D878" s="22"/>
      <c r="E878" s="20"/>
      <c r="F878" s="21"/>
      <c r="G878" s="21"/>
      <c r="H878" s="21"/>
      <c r="I878" s="35" t="b">
        <v>0</v>
      </c>
      <c r="J878" s="35" t="b">
        <v>0</v>
      </c>
      <c r="K878" s="35" t="b">
        <v>0</v>
      </c>
      <c r="L878" s="82" t="b">
        <v>0</v>
      </c>
      <c r="M878" s="83"/>
      <c r="N878" s="84"/>
      <c r="O878" s="89"/>
      <c r="P878" s="66" t="s">
        <v>112</v>
      </c>
      <c r="Q878" s="22"/>
      <c r="R878" s="22"/>
      <c r="S878" s="22"/>
      <c r="T878" s="74"/>
      <c r="U878" s="6"/>
      <c r="V878" s="74"/>
    </row>
    <row r="879" ht="22.5" customHeight="1">
      <c r="A879" s="6"/>
      <c r="C879" s="6"/>
      <c r="D879" s="22"/>
      <c r="E879" s="20"/>
      <c r="F879" s="21"/>
      <c r="G879" s="21"/>
      <c r="H879" s="21"/>
      <c r="I879" s="35" t="b">
        <v>0</v>
      </c>
      <c r="J879" s="35" t="b">
        <v>0</v>
      </c>
      <c r="K879" s="35" t="b">
        <v>0</v>
      </c>
      <c r="L879" s="82" t="b">
        <v>0</v>
      </c>
      <c r="M879" s="83"/>
      <c r="N879" s="84"/>
      <c r="O879" s="89"/>
      <c r="P879" s="66" t="s">
        <v>112</v>
      </c>
      <c r="Q879" s="22"/>
      <c r="R879" s="22"/>
      <c r="S879" s="22"/>
      <c r="T879" s="74"/>
      <c r="U879" s="6"/>
      <c r="V879" s="74"/>
    </row>
    <row r="880" ht="22.5" customHeight="1">
      <c r="A880" s="6"/>
      <c r="C880" s="6"/>
      <c r="D880" s="22"/>
      <c r="E880" s="20"/>
      <c r="F880" s="21"/>
      <c r="G880" s="21"/>
      <c r="H880" s="21"/>
      <c r="I880" s="35" t="b">
        <v>0</v>
      </c>
      <c r="J880" s="35" t="b">
        <v>0</v>
      </c>
      <c r="K880" s="35" t="b">
        <v>0</v>
      </c>
      <c r="L880" s="82" t="b">
        <v>0</v>
      </c>
      <c r="M880" s="83"/>
      <c r="N880" s="84"/>
      <c r="O880" s="89"/>
      <c r="P880" s="66" t="s">
        <v>112</v>
      </c>
      <c r="Q880" s="22"/>
      <c r="R880" s="22"/>
      <c r="S880" s="22"/>
      <c r="T880" s="74"/>
      <c r="U880" s="6"/>
      <c r="V880" s="74"/>
    </row>
    <row r="881" ht="22.5" customHeight="1">
      <c r="A881" s="6"/>
      <c r="C881" s="6"/>
      <c r="D881" s="22"/>
      <c r="E881" s="20"/>
      <c r="F881" s="21"/>
      <c r="G881" s="21"/>
      <c r="H881" s="21"/>
      <c r="I881" s="35" t="b">
        <v>0</v>
      </c>
      <c r="J881" s="35" t="b">
        <v>0</v>
      </c>
      <c r="K881" s="35" t="b">
        <v>0</v>
      </c>
      <c r="L881" s="82" t="b">
        <v>0</v>
      </c>
      <c r="M881" s="83"/>
      <c r="N881" s="84"/>
      <c r="O881" s="89"/>
      <c r="P881" s="66" t="s">
        <v>112</v>
      </c>
      <c r="Q881" s="22"/>
      <c r="R881" s="22"/>
      <c r="S881" s="22"/>
      <c r="T881" s="74"/>
      <c r="U881" s="6"/>
      <c r="V881" s="74"/>
    </row>
    <row r="882" ht="22.5" customHeight="1">
      <c r="A882" s="6"/>
      <c r="C882" s="6"/>
      <c r="D882" s="22"/>
      <c r="E882" s="20"/>
      <c r="F882" s="21"/>
      <c r="G882" s="21"/>
      <c r="H882" s="21"/>
      <c r="I882" s="35" t="b">
        <v>0</v>
      </c>
      <c r="J882" s="35" t="b">
        <v>0</v>
      </c>
      <c r="K882" s="35" t="b">
        <v>0</v>
      </c>
      <c r="L882" s="82" t="b">
        <v>0</v>
      </c>
      <c r="M882" s="83"/>
      <c r="N882" s="84"/>
      <c r="O882" s="89"/>
      <c r="P882" s="66" t="s">
        <v>112</v>
      </c>
      <c r="Q882" s="22"/>
      <c r="R882" s="22"/>
      <c r="S882" s="22"/>
      <c r="T882" s="74"/>
      <c r="U882" s="6"/>
      <c r="V882" s="74"/>
    </row>
    <row r="883" ht="22.5" customHeight="1">
      <c r="A883" s="6"/>
      <c r="C883" s="6"/>
      <c r="D883" s="22"/>
      <c r="E883" s="20"/>
      <c r="F883" s="21"/>
      <c r="G883" s="21"/>
      <c r="H883" s="21"/>
      <c r="I883" s="35" t="b">
        <v>0</v>
      </c>
      <c r="J883" s="35" t="b">
        <v>0</v>
      </c>
      <c r="K883" s="35" t="b">
        <v>0</v>
      </c>
      <c r="L883" s="82" t="b">
        <v>0</v>
      </c>
      <c r="M883" s="83"/>
      <c r="N883" s="84"/>
      <c r="O883" s="89"/>
      <c r="P883" s="66" t="s">
        <v>112</v>
      </c>
      <c r="Q883" s="22"/>
      <c r="R883" s="22"/>
      <c r="S883" s="22"/>
      <c r="T883" s="74"/>
      <c r="U883" s="6"/>
      <c r="V883" s="74"/>
    </row>
    <row r="884" ht="22.5" customHeight="1">
      <c r="A884" s="6"/>
      <c r="C884" s="6"/>
      <c r="D884" s="22"/>
      <c r="E884" s="20"/>
      <c r="F884" s="21"/>
      <c r="G884" s="21"/>
      <c r="H884" s="21"/>
      <c r="I884" s="35" t="b">
        <v>0</v>
      </c>
      <c r="J884" s="35" t="b">
        <v>0</v>
      </c>
      <c r="K884" s="35" t="b">
        <v>0</v>
      </c>
      <c r="L884" s="82" t="b">
        <v>0</v>
      </c>
      <c r="M884" s="83"/>
      <c r="N884" s="84"/>
      <c r="O884" s="89"/>
      <c r="P884" s="66" t="s">
        <v>112</v>
      </c>
      <c r="Q884" s="22"/>
      <c r="R884" s="22"/>
      <c r="S884" s="22"/>
      <c r="T884" s="74"/>
      <c r="U884" s="6"/>
      <c r="V884" s="74"/>
    </row>
    <row r="885" ht="22.5" customHeight="1">
      <c r="A885" s="6"/>
      <c r="C885" s="6"/>
      <c r="D885" s="22"/>
      <c r="E885" s="20"/>
      <c r="F885" s="21"/>
      <c r="G885" s="21"/>
      <c r="H885" s="21"/>
      <c r="I885" s="35" t="b">
        <v>0</v>
      </c>
      <c r="J885" s="35" t="b">
        <v>0</v>
      </c>
      <c r="K885" s="35" t="b">
        <v>0</v>
      </c>
      <c r="L885" s="82" t="b">
        <v>0</v>
      </c>
      <c r="M885" s="83"/>
      <c r="N885" s="84"/>
      <c r="O885" s="89"/>
      <c r="P885" s="66" t="s">
        <v>112</v>
      </c>
      <c r="Q885" s="22"/>
      <c r="R885" s="22"/>
      <c r="S885" s="22"/>
      <c r="T885" s="74"/>
      <c r="U885" s="6"/>
      <c r="V885" s="74"/>
    </row>
    <row r="886" ht="22.5" customHeight="1">
      <c r="A886" s="6"/>
      <c r="C886" s="6"/>
      <c r="D886" s="22"/>
      <c r="E886" s="20"/>
      <c r="F886" s="21"/>
      <c r="G886" s="21"/>
      <c r="H886" s="21"/>
      <c r="I886" s="35" t="b">
        <v>0</v>
      </c>
      <c r="J886" s="35" t="b">
        <v>0</v>
      </c>
      <c r="K886" s="35" t="b">
        <v>0</v>
      </c>
      <c r="L886" s="82" t="b">
        <v>0</v>
      </c>
      <c r="M886" s="83"/>
      <c r="N886" s="84"/>
      <c r="O886" s="89"/>
      <c r="P886" s="66" t="s">
        <v>112</v>
      </c>
      <c r="Q886" s="22"/>
      <c r="R886" s="22"/>
      <c r="S886" s="22"/>
      <c r="T886" s="74"/>
      <c r="U886" s="6"/>
      <c r="V886" s="74"/>
    </row>
    <row r="887" ht="22.5" customHeight="1">
      <c r="A887" s="6"/>
      <c r="C887" s="6"/>
      <c r="D887" s="22"/>
      <c r="E887" s="20"/>
      <c r="F887" s="21"/>
      <c r="G887" s="21"/>
      <c r="H887" s="21"/>
      <c r="I887" s="35" t="b">
        <v>0</v>
      </c>
      <c r="J887" s="35" t="b">
        <v>0</v>
      </c>
      <c r="K887" s="35" t="b">
        <v>0</v>
      </c>
      <c r="L887" s="82" t="b">
        <v>0</v>
      </c>
      <c r="M887" s="83"/>
      <c r="N887" s="84"/>
      <c r="O887" s="89"/>
      <c r="P887" s="66" t="s">
        <v>112</v>
      </c>
      <c r="Q887" s="22"/>
      <c r="R887" s="22"/>
      <c r="S887" s="22"/>
      <c r="T887" s="74"/>
      <c r="U887" s="6"/>
      <c r="V887" s="74"/>
    </row>
    <row r="888" ht="22.5" customHeight="1">
      <c r="A888" s="6"/>
      <c r="C888" s="6"/>
      <c r="D888" s="22"/>
      <c r="E888" s="20"/>
      <c r="F888" s="21"/>
      <c r="G888" s="21"/>
      <c r="H888" s="21"/>
      <c r="I888" s="35" t="b">
        <v>0</v>
      </c>
      <c r="J888" s="35" t="b">
        <v>0</v>
      </c>
      <c r="K888" s="35" t="b">
        <v>0</v>
      </c>
      <c r="L888" s="82" t="b">
        <v>0</v>
      </c>
      <c r="M888" s="83"/>
      <c r="N888" s="84"/>
      <c r="O888" s="89"/>
      <c r="P888" s="66" t="s">
        <v>112</v>
      </c>
      <c r="Q888" s="22"/>
      <c r="R888" s="22"/>
      <c r="S888" s="22"/>
      <c r="T888" s="74"/>
      <c r="U888" s="6"/>
      <c r="V888" s="74"/>
    </row>
    <row r="889" ht="22.5" customHeight="1">
      <c r="A889" s="6"/>
      <c r="C889" s="6"/>
      <c r="D889" s="22"/>
      <c r="E889" s="20"/>
      <c r="F889" s="21"/>
      <c r="G889" s="21"/>
      <c r="H889" s="21"/>
      <c r="I889" s="35" t="b">
        <v>0</v>
      </c>
      <c r="J889" s="35" t="b">
        <v>0</v>
      </c>
      <c r="K889" s="35" t="b">
        <v>0</v>
      </c>
      <c r="L889" s="82" t="b">
        <v>0</v>
      </c>
      <c r="M889" s="83"/>
      <c r="N889" s="84"/>
      <c r="O889" s="89"/>
      <c r="P889" s="66" t="s">
        <v>112</v>
      </c>
      <c r="Q889" s="22"/>
      <c r="R889" s="22"/>
      <c r="S889" s="22"/>
      <c r="T889" s="74"/>
      <c r="U889" s="6"/>
      <c r="V889" s="74"/>
    </row>
    <row r="890" ht="22.5" customHeight="1">
      <c r="A890" s="6"/>
      <c r="C890" s="6"/>
      <c r="D890" s="22"/>
      <c r="E890" s="20"/>
      <c r="F890" s="21"/>
      <c r="G890" s="21"/>
      <c r="H890" s="21"/>
      <c r="I890" s="35" t="b">
        <v>0</v>
      </c>
      <c r="J890" s="35" t="b">
        <v>0</v>
      </c>
      <c r="K890" s="35" t="b">
        <v>0</v>
      </c>
      <c r="L890" s="82" t="b">
        <v>0</v>
      </c>
      <c r="M890" s="83"/>
      <c r="N890" s="84"/>
      <c r="O890" s="89"/>
      <c r="P890" s="66" t="s">
        <v>112</v>
      </c>
      <c r="Q890" s="22"/>
      <c r="R890" s="22"/>
      <c r="S890" s="22"/>
      <c r="T890" s="74"/>
      <c r="U890" s="6"/>
      <c r="V890" s="74"/>
    </row>
    <row r="891" ht="22.5" customHeight="1">
      <c r="A891" s="6"/>
      <c r="C891" s="6"/>
      <c r="D891" s="22"/>
      <c r="E891" s="20"/>
      <c r="F891" s="21"/>
      <c r="G891" s="21"/>
      <c r="H891" s="21"/>
      <c r="I891" s="35" t="b">
        <v>0</v>
      </c>
      <c r="J891" s="35" t="b">
        <v>0</v>
      </c>
      <c r="K891" s="35" t="b">
        <v>0</v>
      </c>
      <c r="L891" s="82" t="b">
        <v>0</v>
      </c>
      <c r="M891" s="83"/>
      <c r="N891" s="84"/>
      <c r="O891" s="89"/>
      <c r="P891" s="66" t="s">
        <v>112</v>
      </c>
      <c r="Q891" s="22"/>
      <c r="R891" s="22"/>
      <c r="S891" s="22"/>
      <c r="T891" s="74"/>
      <c r="U891" s="6"/>
      <c r="V891" s="74"/>
    </row>
    <row r="892" ht="22.5" customHeight="1">
      <c r="A892" s="6"/>
      <c r="C892" s="6"/>
      <c r="D892" s="22"/>
      <c r="E892" s="20"/>
      <c r="F892" s="21"/>
      <c r="G892" s="21"/>
      <c r="H892" s="21"/>
      <c r="I892" s="35" t="b">
        <v>0</v>
      </c>
      <c r="J892" s="35" t="b">
        <v>0</v>
      </c>
      <c r="K892" s="35" t="b">
        <v>0</v>
      </c>
      <c r="L892" s="82" t="b">
        <v>0</v>
      </c>
      <c r="M892" s="83"/>
      <c r="N892" s="84"/>
      <c r="O892" s="89"/>
      <c r="P892" s="66" t="s">
        <v>112</v>
      </c>
      <c r="Q892" s="22"/>
      <c r="R892" s="22"/>
      <c r="S892" s="22"/>
      <c r="T892" s="74"/>
      <c r="U892" s="6"/>
      <c r="V892" s="74"/>
    </row>
    <row r="893" ht="22.5" customHeight="1">
      <c r="A893" s="6"/>
      <c r="C893" s="6"/>
      <c r="D893" s="22"/>
      <c r="E893" s="20"/>
      <c r="F893" s="21"/>
      <c r="G893" s="21"/>
      <c r="H893" s="21"/>
      <c r="I893" s="35" t="b">
        <v>0</v>
      </c>
      <c r="J893" s="35" t="b">
        <v>0</v>
      </c>
      <c r="K893" s="35" t="b">
        <v>0</v>
      </c>
      <c r="L893" s="82" t="b">
        <v>0</v>
      </c>
      <c r="M893" s="83"/>
      <c r="N893" s="84"/>
      <c r="O893" s="89"/>
      <c r="P893" s="66" t="s">
        <v>112</v>
      </c>
      <c r="Q893" s="22"/>
      <c r="R893" s="22"/>
      <c r="S893" s="22"/>
      <c r="T893" s="74"/>
      <c r="U893" s="6"/>
      <c r="V893" s="74"/>
    </row>
    <row r="894" ht="22.5" customHeight="1">
      <c r="A894" s="6"/>
      <c r="C894" s="6"/>
      <c r="D894" s="22"/>
      <c r="E894" s="20"/>
      <c r="F894" s="21"/>
      <c r="G894" s="21"/>
      <c r="H894" s="21"/>
      <c r="I894" s="35" t="b">
        <v>0</v>
      </c>
      <c r="J894" s="35" t="b">
        <v>0</v>
      </c>
      <c r="K894" s="35" t="b">
        <v>0</v>
      </c>
      <c r="L894" s="82" t="b">
        <v>0</v>
      </c>
      <c r="M894" s="83"/>
      <c r="N894" s="84"/>
      <c r="O894" s="89"/>
      <c r="P894" s="66" t="s">
        <v>112</v>
      </c>
      <c r="Q894" s="22"/>
      <c r="R894" s="22"/>
      <c r="S894" s="22"/>
      <c r="T894" s="74"/>
      <c r="U894" s="6"/>
      <c r="V894" s="74"/>
    </row>
    <row r="895" ht="22.5" customHeight="1">
      <c r="A895" s="6"/>
      <c r="C895" s="6"/>
      <c r="D895" s="22"/>
      <c r="E895" s="20"/>
      <c r="F895" s="21"/>
      <c r="G895" s="21"/>
      <c r="H895" s="21"/>
      <c r="I895" s="35" t="b">
        <v>0</v>
      </c>
      <c r="J895" s="35" t="b">
        <v>0</v>
      </c>
      <c r="K895" s="35" t="b">
        <v>0</v>
      </c>
      <c r="L895" s="82" t="b">
        <v>0</v>
      </c>
      <c r="M895" s="83"/>
      <c r="N895" s="84"/>
      <c r="O895" s="89"/>
      <c r="P895" s="66" t="s">
        <v>112</v>
      </c>
      <c r="Q895" s="22"/>
      <c r="R895" s="22"/>
      <c r="S895" s="22"/>
      <c r="T895" s="74"/>
      <c r="U895" s="6"/>
      <c r="V895" s="74"/>
    </row>
    <row r="896" ht="22.5" customHeight="1">
      <c r="A896" s="6"/>
      <c r="C896" s="6"/>
      <c r="D896" s="22"/>
      <c r="E896" s="20"/>
      <c r="F896" s="21"/>
      <c r="G896" s="21"/>
      <c r="H896" s="21"/>
      <c r="I896" s="35" t="b">
        <v>0</v>
      </c>
      <c r="J896" s="35" t="b">
        <v>0</v>
      </c>
      <c r="K896" s="35" t="b">
        <v>0</v>
      </c>
      <c r="L896" s="82" t="b">
        <v>0</v>
      </c>
      <c r="M896" s="83"/>
      <c r="N896" s="84"/>
      <c r="O896" s="89"/>
      <c r="P896" s="66" t="s">
        <v>112</v>
      </c>
      <c r="Q896" s="22"/>
      <c r="R896" s="22"/>
      <c r="S896" s="22"/>
      <c r="T896" s="74"/>
      <c r="U896" s="6"/>
      <c r="V896" s="74"/>
    </row>
    <row r="897" ht="22.5" customHeight="1">
      <c r="A897" s="6"/>
      <c r="C897" s="6"/>
      <c r="D897" s="22"/>
      <c r="E897" s="20"/>
      <c r="F897" s="21"/>
      <c r="G897" s="21"/>
      <c r="H897" s="21"/>
      <c r="I897" s="35" t="b">
        <v>0</v>
      </c>
      <c r="J897" s="35" t="b">
        <v>0</v>
      </c>
      <c r="K897" s="35" t="b">
        <v>0</v>
      </c>
      <c r="L897" s="82" t="b">
        <v>0</v>
      </c>
      <c r="M897" s="83"/>
      <c r="N897" s="84"/>
      <c r="O897" s="89"/>
      <c r="P897" s="66" t="s">
        <v>112</v>
      </c>
      <c r="Q897" s="22"/>
      <c r="R897" s="22"/>
      <c r="S897" s="22"/>
      <c r="T897" s="74"/>
      <c r="U897" s="6"/>
      <c r="V897" s="74"/>
    </row>
    <row r="898" ht="22.5" customHeight="1">
      <c r="A898" s="6"/>
      <c r="C898" s="6"/>
      <c r="D898" s="22"/>
      <c r="E898" s="20"/>
      <c r="F898" s="21"/>
      <c r="G898" s="21"/>
      <c r="H898" s="21"/>
      <c r="I898" s="35" t="b">
        <v>0</v>
      </c>
      <c r="J898" s="35" t="b">
        <v>0</v>
      </c>
      <c r="K898" s="35" t="b">
        <v>0</v>
      </c>
      <c r="L898" s="82" t="b">
        <v>0</v>
      </c>
      <c r="M898" s="83"/>
      <c r="N898" s="84"/>
      <c r="O898" s="89"/>
      <c r="P898" s="66" t="s">
        <v>112</v>
      </c>
      <c r="Q898" s="22"/>
      <c r="R898" s="22"/>
      <c r="S898" s="22"/>
      <c r="T898" s="74"/>
      <c r="U898" s="6"/>
      <c r="V898" s="74"/>
    </row>
    <row r="899" ht="22.5" customHeight="1">
      <c r="A899" s="6"/>
      <c r="C899" s="6"/>
      <c r="D899" s="22"/>
      <c r="E899" s="20"/>
      <c r="F899" s="21"/>
      <c r="G899" s="21"/>
      <c r="H899" s="21"/>
      <c r="I899" s="35" t="b">
        <v>0</v>
      </c>
      <c r="J899" s="35" t="b">
        <v>0</v>
      </c>
      <c r="K899" s="35" t="b">
        <v>0</v>
      </c>
      <c r="L899" s="82" t="b">
        <v>0</v>
      </c>
      <c r="M899" s="83"/>
      <c r="N899" s="84"/>
      <c r="O899" s="89"/>
      <c r="P899" s="66" t="s">
        <v>112</v>
      </c>
      <c r="Q899" s="22"/>
      <c r="R899" s="22"/>
      <c r="S899" s="22"/>
      <c r="T899" s="74"/>
      <c r="U899" s="6"/>
      <c r="V899" s="74"/>
    </row>
    <row r="900" ht="22.5" customHeight="1">
      <c r="A900" s="6"/>
      <c r="C900" s="6"/>
      <c r="D900" s="22"/>
      <c r="E900" s="20"/>
      <c r="F900" s="21"/>
      <c r="G900" s="21"/>
      <c r="H900" s="21"/>
      <c r="I900" s="35" t="b">
        <v>0</v>
      </c>
      <c r="J900" s="35" t="b">
        <v>0</v>
      </c>
      <c r="K900" s="35" t="b">
        <v>0</v>
      </c>
      <c r="L900" s="82" t="b">
        <v>0</v>
      </c>
      <c r="M900" s="83"/>
      <c r="N900" s="84"/>
      <c r="O900" s="89"/>
      <c r="P900" s="66" t="s">
        <v>112</v>
      </c>
      <c r="Q900" s="22"/>
      <c r="R900" s="22"/>
      <c r="S900" s="22"/>
      <c r="T900" s="74"/>
      <c r="U900" s="6"/>
      <c r="V900" s="74"/>
    </row>
    <row r="901" ht="22.5" customHeight="1">
      <c r="A901" s="6"/>
      <c r="C901" s="6"/>
      <c r="D901" s="22"/>
      <c r="E901" s="20"/>
      <c r="F901" s="21"/>
      <c r="G901" s="21"/>
      <c r="H901" s="21"/>
      <c r="I901" s="35" t="b">
        <v>0</v>
      </c>
      <c r="J901" s="35" t="b">
        <v>0</v>
      </c>
      <c r="K901" s="35" t="b">
        <v>0</v>
      </c>
      <c r="L901" s="82" t="b">
        <v>0</v>
      </c>
      <c r="M901" s="83"/>
      <c r="N901" s="84"/>
      <c r="O901" s="89"/>
      <c r="P901" s="66" t="s">
        <v>112</v>
      </c>
      <c r="Q901" s="22"/>
      <c r="R901" s="22"/>
      <c r="S901" s="22"/>
      <c r="T901" s="74"/>
      <c r="U901" s="6"/>
      <c r="V901" s="74"/>
    </row>
    <row r="902" ht="22.5" customHeight="1">
      <c r="A902" s="6"/>
      <c r="C902" s="6"/>
      <c r="D902" s="22"/>
      <c r="E902" s="20"/>
      <c r="F902" s="21"/>
      <c r="G902" s="21"/>
      <c r="H902" s="21"/>
      <c r="I902" s="35" t="b">
        <v>0</v>
      </c>
      <c r="J902" s="35" t="b">
        <v>0</v>
      </c>
      <c r="K902" s="35" t="b">
        <v>0</v>
      </c>
      <c r="L902" s="82" t="b">
        <v>0</v>
      </c>
      <c r="M902" s="83"/>
      <c r="N902" s="84"/>
      <c r="O902" s="89"/>
      <c r="P902" s="66" t="s">
        <v>112</v>
      </c>
      <c r="Q902" s="22"/>
      <c r="R902" s="22"/>
      <c r="S902" s="22"/>
      <c r="T902" s="74"/>
      <c r="U902" s="6"/>
      <c r="V902" s="74"/>
    </row>
    <row r="903" ht="22.5" customHeight="1">
      <c r="A903" s="6"/>
      <c r="C903" s="6"/>
      <c r="D903" s="22"/>
      <c r="E903" s="20"/>
      <c r="F903" s="21"/>
      <c r="G903" s="21"/>
      <c r="H903" s="21"/>
      <c r="I903" s="35" t="b">
        <v>0</v>
      </c>
      <c r="J903" s="35" t="b">
        <v>0</v>
      </c>
      <c r="K903" s="35" t="b">
        <v>0</v>
      </c>
      <c r="L903" s="82" t="b">
        <v>0</v>
      </c>
      <c r="M903" s="83"/>
      <c r="N903" s="84"/>
      <c r="O903" s="89"/>
      <c r="P903" s="66" t="s">
        <v>112</v>
      </c>
      <c r="Q903" s="22"/>
      <c r="R903" s="22"/>
      <c r="S903" s="22"/>
      <c r="T903" s="74"/>
      <c r="U903" s="6"/>
      <c r="V903" s="74"/>
    </row>
    <row r="904" ht="22.5" customHeight="1">
      <c r="A904" s="6"/>
      <c r="C904" s="6"/>
      <c r="D904" s="22"/>
      <c r="E904" s="20"/>
      <c r="F904" s="21"/>
      <c r="G904" s="21"/>
      <c r="H904" s="21"/>
      <c r="I904" s="35" t="b">
        <v>0</v>
      </c>
      <c r="J904" s="35" t="b">
        <v>0</v>
      </c>
      <c r="K904" s="35" t="b">
        <v>0</v>
      </c>
      <c r="L904" s="82" t="b">
        <v>0</v>
      </c>
      <c r="M904" s="83"/>
      <c r="N904" s="84"/>
      <c r="O904" s="89"/>
      <c r="P904" s="66" t="s">
        <v>112</v>
      </c>
      <c r="Q904" s="22"/>
      <c r="R904" s="22"/>
      <c r="S904" s="22"/>
      <c r="T904" s="74"/>
      <c r="U904" s="6"/>
      <c r="V904" s="74"/>
    </row>
    <row r="905" ht="22.5" customHeight="1">
      <c r="A905" s="6"/>
      <c r="C905" s="6"/>
      <c r="D905" s="22"/>
      <c r="E905" s="20"/>
      <c r="F905" s="21"/>
      <c r="G905" s="21"/>
      <c r="H905" s="21"/>
      <c r="I905" s="35" t="b">
        <v>0</v>
      </c>
      <c r="J905" s="35" t="b">
        <v>0</v>
      </c>
      <c r="K905" s="35" t="b">
        <v>0</v>
      </c>
      <c r="L905" s="82" t="b">
        <v>0</v>
      </c>
      <c r="M905" s="83"/>
      <c r="N905" s="84"/>
      <c r="O905" s="89"/>
      <c r="P905" s="66" t="s">
        <v>112</v>
      </c>
      <c r="Q905" s="22"/>
      <c r="R905" s="22"/>
      <c r="S905" s="22"/>
      <c r="T905" s="74"/>
      <c r="U905" s="6"/>
      <c r="V905" s="74"/>
    </row>
    <row r="906" ht="22.5" customHeight="1">
      <c r="A906" s="6"/>
      <c r="C906" s="6"/>
      <c r="D906" s="22"/>
      <c r="E906" s="20"/>
      <c r="F906" s="21"/>
      <c r="G906" s="21"/>
      <c r="H906" s="21"/>
      <c r="I906" s="35" t="b">
        <v>0</v>
      </c>
      <c r="J906" s="35" t="b">
        <v>0</v>
      </c>
      <c r="K906" s="35" t="b">
        <v>0</v>
      </c>
      <c r="L906" s="82" t="b">
        <v>0</v>
      </c>
      <c r="M906" s="83"/>
      <c r="N906" s="84"/>
      <c r="O906" s="89"/>
      <c r="P906" s="66" t="s">
        <v>112</v>
      </c>
      <c r="Q906" s="22"/>
      <c r="R906" s="22"/>
      <c r="S906" s="22"/>
      <c r="T906" s="74"/>
      <c r="U906" s="6"/>
      <c r="V906" s="74"/>
    </row>
    <row r="907" ht="22.5" customHeight="1">
      <c r="A907" s="6"/>
      <c r="C907" s="6"/>
      <c r="D907" s="22"/>
      <c r="E907" s="20"/>
      <c r="F907" s="21"/>
      <c r="G907" s="21"/>
      <c r="H907" s="21"/>
      <c r="I907" s="35" t="b">
        <v>0</v>
      </c>
      <c r="J907" s="35" t="b">
        <v>0</v>
      </c>
      <c r="K907" s="35" t="b">
        <v>0</v>
      </c>
      <c r="L907" s="82" t="b">
        <v>0</v>
      </c>
      <c r="M907" s="83"/>
      <c r="N907" s="84"/>
      <c r="O907" s="89"/>
      <c r="P907" s="66" t="s">
        <v>112</v>
      </c>
      <c r="Q907" s="22"/>
      <c r="R907" s="22"/>
      <c r="S907" s="22"/>
      <c r="T907" s="74"/>
      <c r="U907" s="6"/>
      <c r="V907" s="74"/>
    </row>
    <row r="908" ht="22.5" customHeight="1">
      <c r="A908" s="6"/>
      <c r="C908" s="6"/>
      <c r="D908" s="22"/>
      <c r="E908" s="20"/>
      <c r="F908" s="21"/>
      <c r="G908" s="21"/>
      <c r="H908" s="21"/>
      <c r="I908" s="35" t="b">
        <v>0</v>
      </c>
      <c r="J908" s="35" t="b">
        <v>0</v>
      </c>
      <c r="K908" s="35" t="b">
        <v>0</v>
      </c>
      <c r="L908" s="82" t="b">
        <v>0</v>
      </c>
      <c r="M908" s="83"/>
      <c r="N908" s="84"/>
      <c r="O908" s="89"/>
      <c r="P908" s="66" t="s">
        <v>112</v>
      </c>
      <c r="Q908" s="22"/>
      <c r="R908" s="22"/>
      <c r="S908" s="22"/>
      <c r="T908" s="74"/>
      <c r="U908" s="6"/>
      <c r="V908" s="74"/>
    </row>
    <row r="909" ht="22.5" customHeight="1">
      <c r="A909" s="6"/>
      <c r="C909" s="6"/>
      <c r="D909" s="22"/>
      <c r="E909" s="20"/>
      <c r="F909" s="21"/>
      <c r="G909" s="21"/>
      <c r="H909" s="21"/>
      <c r="I909" s="35" t="b">
        <v>0</v>
      </c>
      <c r="J909" s="35" t="b">
        <v>0</v>
      </c>
      <c r="K909" s="35" t="b">
        <v>0</v>
      </c>
      <c r="L909" s="82" t="b">
        <v>0</v>
      </c>
      <c r="M909" s="83"/>
      <c r="N909" s="84"/>
      <c r="O909" s="89"/>
      <c r="P909" s="66" t="s">
        <v>112</v>
      </c>
      <c r="Q909" s="22"/>
      <c r="R909" s="22"/>
      <c r="S909" s="22"/>
      <c r="T909" s="74"/>
      <c r="U909" s="6"/>
      <c r="V909" s="74"/>
    </row>
    <row r="910" ht="22.5" customHeight="1">
      <c r="A910" s="6"/>
      <c r="C910" s="6"/>
      <c r="D910" s="22"/>
      <c r="E910" s="20"/>
      <c r="F910" s="21"/>
      <c r="G910" s="21"/>
      <c r="H910" s="21"/>
      <c r="I910" s="35" t="b">
        <v>0</v>
      </c>
      <c r="J910" s="35" t="b">
        <v>0</v>
      </c>
      <c r="K910" s="35" t="b">
        <v>0</v>
      </c>
      <c r="L910" s="82" t="b">
        <v>0</v>
      </c>
      <c r="M910" s="83"/>
      <c r="N910" s="84"/>
      <c r="O910" s="89"/>
      <c r="P910" s="66" t="s">
        <v>112</v>
      </c>
      <c r="Q910" s="22"/>
      <c r="R910" s="22"/>
      <c r="S910" s="22"/>
      <c r="T910" s="74"/>
      <c r="U910" s="6"/>
      <c r="V910" s="74"/>
    </row>
    <row r="911" ht="22.5" customHeight="1">
      <c r="A911" s="6"/>
      <c r="C911" s="6"/>
      <c r="D911" s="22"/>
      <c r="E911" s="20"/>
      <c r="F911" s="21"/>
      <c r="G911" s="21"/>
      <c r="H911" s="21"/>
      <c r="I911" s="35" t="b">
        <v>0</v>
      </c>
      <c r="J911" s="35" t="b">
        <v>0</v>
      </c>
      <c r="K911" s="35" t="b">
        <v>0</v>
      </c>
      <c r="L911" s="82" t="b">
        <v>0</v>
      </c>
      <c r="M911" s="83"/>
      <c r="N911" s="84"/>
      <c r="O911" s="89"/>
      <c r="P911" s="66" t="s">
        <v>112</v>
      </c>
      <c r="Q911" s="22"/>
      <c r="R911" s="22"/>
      <c r="S911" s="22"/>
      <c r="T911" s="74"/>
      <c r="U911" s="6"/>
      <c r="V911" s="74"/>
    </row>
    <row r="912" ht="22.5" customHeight="1">
      <c r="A912" s="6"/>
      <c r="C912" s="6"/>
      <c r="D912" s="22"/>
      <c r="E912" s="20"/>
      <c r="F912" s="21"/>
      <c r="G912" s="21"/>
      <c r="H912" s="21"/>
      <c r="I912" s="35" t="b">
        <v>0</v>
      </c>
      <c r="J912" s="35" t="b">
        <v>0</v>
      </c>
      <c r="K912" s="35" t="b">
        <v>0</v>
      </c>
      <c r="L912" s="82" t="b">
        <v>0</v>
      </c>
      <c r="M912" s="83"/>
      <c r="N912" s="84"/>
      <c r="O912" s="89"/>
      <c r="P912" s="66" t="s">
        <v>112</v>
      </c>
      <c r="Q912" s="22"/>
      <c r="R912" s="22"/>
      <c r="S912" s="22"/>
      <c r="T912" s="74"/>
      <c r="U912" s="6"/>
      <c r="V912" s="74"/>
    </row>
    <row r="913" ht="22.5" customHeight="1">
      <c r="A913" s="6"/>
      <c r="C913" s="6"/>
      <c r="D913" s="22"/>
      <c r="E913" s="20"/>
      <c r="F913" s="21"/>
      <c r="G913" s="21"/>
      <c r="H913" s="21"/>
      <c r="I913" s="35" t="b">
        <v>0</v>
      </c>
      <c r="J913" s="35" t="b">
        <v>0</v>
      </c>
      <c r="K913" s="35" t="b">
        <v>0</v>
      </c>
      <c r="L913" s="82" t="b">
        <v>0</v>
      </c>
      <c r="M913" s="83"/>
      <c r="N913" s="84"/>
      <c r="O913" s="89"/>
      <c r="P913" s="66" t="s">
        <v>112</v>
      </c>
      <c r="Q913" s="22"/>
      <c r="R913" s="22"/>
      <c r="S913" s="22"/>
      <c r="T913" s="74"/>
      <c r="U913" s="6"/>
      <c r="V913" s="74"/>
    </row>
    <row r="914" ht="22.5" customHeight="1">
      <c r="A914" s="6"/>
      <c r="C914" s="6"/>
      <c r="D914" s="22"/>
      <c r="E914" s="20"/>
      <c r="F914" s="21"/>
      <c r="G914" s="21"/>
      <c r="H914" s="21"/>
      <c r="I914" s="35" t="b">
        <v>0</v>
      </c>
      <c r="J914" s="35" t="b">
        <v>0</v>
      </c>
      <c r="K914" s="35" t="b">
        <v>0</v>
      </c>
      <c r="L914" s="82" t="b">
        <v>0</v>
      </c>
      <c r="M914" s="83"/>
      <c r="N914" s="84"/>
      <c r="O914" s="89"/>
      <c r="P914" s="66" t="s">
        <v>112</v>
      </c>
      <c r="Q914" s="22"/>
      <c r="R914" s="22"/>
      <c r="S914" s="22"/>
      <c r="T914" s="74"/>
      <c r="U914" s="6"/>
      <c r="V914" s="74"/>
    </row>
    <row r="915" ht="22.5" customHeight="1">
      <c r="A915" s="6"/>
      <c r="C915" s="6"/>
      <c r="D915" s="22"/>
      <c r="E915" s="20"/>
      <c r="F915" s="21"/>
      <c r="G915" s="21"/>
      <c r="H915" s="21"/>
      <c r="I915" s="35" t="b">
        <v>0</v>
      </c>
      <c r="J915" s="35" t="b">
        <v>0</v>
      </c>
      <c r="K915" s="35" t="b">
        <v>0</v>
      </c>
      <c r="L915" s="82" t="b">
        <v>0</v>
      </c>
      <c r="M915" s="83"/>
      <c r="N915" s="84"/>
      <c r="O915" s="89"/>
      <c r="P915" s="66" t="s">
        <v>112</v>
      </c>
      <c r="Q915" s="22"/>
      <c r="R915" s="22"/>
      <c r="S915" s="22"/>
      <c r="T915" s="74"/>
      <c r="U915" s="6"/>
      <c r="V915" s="74"/>
    </row>
    <row r="916" ht="22.5" customHeight="1">
      <c r="A916" s="6"/>
      <c r="C916" s="6"/>
      <c r="D916" s="22"/>
      <c r="E916" s="20"/>
      <c r="F916" s="21"/>
      <c r="G916" s="21"/>
      <c r="H916" s="21"/>
      <c r="I916" s="35" t="b">
        <v>0</v>
      </c>
      <c r="J916" s="35" t="b">
        <v>0</v>
      </c>
      <c r="K916" s="35" t="b">
        <v>0</v>
      </c>
      <c r="L916" s="82" t="b">
        <v>0</v>
      </c>
      <c r="M916" s="83"/>
      <c r="N916" s="84"/>
      <c r="O916" s="89"/>
      <c r="P916" s="66" t="s">
        <v>112</v>
      </c>
      <c r="Q916" s="22"/>
      <c r="R916" s="22"/>
      <c r="S916" s="22"/>
      <c r="T916" s="74"/>
      <c r="U916" s="6"/>
      <c r="V916" s="74"/>
    </row>
    <row r="917" ht="22.5" customHeight="1">
      <c r="A917" s="6"/>
      <c r="C917" s="6"/>
      <c r="D917" s="22"/>
      <c r="E917" s="20"/>
      <c r="F917" s="21"/>
      <c r="G917" s="21"/>
      <c r="H917" s="21"/>
      <c r="I917" s="35" t="b">
        <v>0</v>
      </c>
      <c r="J917" s="35" t="b">
        <v>0</v>
      </c>
      <c r="K917" s="35" t="b">
        <v>0</v>
      </c>
      <c r="L917" s="82" t="b">
        <v>0</v>
      </c>
      <c r="M917" s="83"/>
      <c r="N917" s="84"/>
      <c r="O917" s="89"/>
      <c r="P917" s="66" t="s">
        <v>112</v>
      </c>
      <c r="Q917" s="22"/>
      <c r="R917" s="22"/>
      <c r="S917" s="22"/>
      <c r="T917" s="74"/>
      <c r="U917" s="6"/>
      <c r="V917" s="74"/>
    </row>
    <row r="918" ht="22.5" customHeight="1">
      <c r="A918" s="6"/>
      <c r="C918" s="6"/>
      <c r="D918" s="22"/>
      <c r="E918" s="20"/>
      <c r="F918" s="21"/>
      <c r="G918" s="21"/>
      <c r="H918" s="21"/>
      <c r="I918" s="35" t="b">
        <v>0</v>
      </c>
      <c r="J918" s="35" t="b">
        <v>0</v>
      </c>
      <c r="K918" s="35" t="b">
        <v>0</v>
      </c>
      <c r="L918" s="82" t="b">
        <v>0</v>
      </c>
      <c r="M918" s="83"/>
      <c r="N918" s="84"/>
      <c r="O918" s="89"/>
      <c r="P918" s="66" t="s">
        <v>112</v>
      </c>
      <c r="Q918" s="22"/>
      <c r="R918" s="22"/>
      <c r="S918" s="22"/>
      <c r="T918" s="74"/>
      <c r="U918" s="6"/>
      <c r="V918" s="74"/>
    </row>
    <row r="919" ht="22.5" customHeight="1">
      <c r="A919" s="6"/>
      <c r="C919" s="6"/>
      <c r="D919" s="22"/>
      <c r="E919" s="20"/>
      <c r="F919" s="21"/>
      <c r="G919" s="21"/>
      <c r="H919" s="21"/>
      <c r="I919" s="35" t="b">
        <v>0</v>
      </c>
      <c r="J919" s="35" t="b">
        <v>0</v>
      </c>
      <c r="K919" s="35" t="b">
        <v>0</v>
      </c>
      <c r="L919" s="82" t="b">
        <v>0</v>
      </c>
      <c r="M919" s="83"/>
      <c r="N919" s="84"/>
      <c r="O919" s="89"/>
      <c r="P919" s="66" t="s">
        <v>112</v>
      </c>
      <c r="Q919" s="22"/>
      <c r="R919" s="22"/>
      <c r="S919" s="22"/>
      <c r="T919" s="74"/>
      <c r="U919" s="6"/>
      <c r="V919" s="74"/>
    </row>
    <row r="920" ht="22.5" customHeight="1">
      <c r="A920" s="6"/>
      <c r="C920" s="6"/>
      <c r="D920" s="22"/>
      <c r="E920" s="20"/>
      <c r="F920" s="21"/>
      <c r="G920" s="21"/>
      <c r="H920" s="21"/>
      <c r="I920" s="35" t="b">
        <v>0</v>
      </c>
      <c r="J920" s="35" t="b">
        <v>0</v>
      </c>
      <c r="K920" s="35" t="b">
        <v>0</v>
      </c>
      <c r="L920" s="82" t="b">
        <v>0</v>
      </c>
      <c r="M920" s="83"/>
      <c r="N920" s="84"/>
      <c r="O920" s="89"/>
      <c r="P920" s="66" t="s">
        <v>112</v>
      </c>
      <c r="Q920" s="22"/>
      <c r="R920" s="22"/>
      <c r="S920" s="22"/>
      <c r="T920" s="74"/>
      <c r="U920" s="6"/>
      <c r="V920" s="74"/>
    </row>
    <row r="921" ht="22.5" customHeight="1">
      <c r="A921" s="6"/>
      <c r="C921" s="6"/>
      <c r="D921" s="22"/>
      <c r="E921" s="20"/>
      <c r="F921" s="21"/>
      <c r="G921" s="21"/>
      <c r="H921" s="21"/>
      <c r="I921" s="35" t="b">
        <v>0</v>
      </c>
      <c r="J921" s="35" t="b">
        <v>0</v>
      </c>
      <c r="K921" s="35" t="b">
        <v>0</v>
      </c>
      <c r="L921" s="82" t="b">
        <v>0</v>
      </c>
      <c r="M921" s="83"/>
      <c r="N921" s="84"/>
      <c r="O921" s="89"/>
      <c r="P921" s="66" t="s">
        <v>112</v>
      </c>
      <c r="Q921" s="22"/>
      <c r="R921" s="22"/>
      <c r="S921" s="22"/>
      <c r="T921" s="74"/>
      <c r="U921" s="6"/>
      <c r="V921" s="74"/>
    </row>
    <row r="922" ht="22.5" customHeight="1">
      <c r="A922" s="6"/>
      <c r="C922" s="6"/>
      <c r="D922" s="22"/>
      <c r="E922" s="20"/>
      <c r="F922" s="21"/>
      <c r="G922" s="21"/>
      <c r="H922" s="21"/>
      <c r="I922" s="35" t="b">
        <v>0</v>
      </c>
      <c r="J922" s="35" t="b">
        <v>0</v>
      </c>
      <c r="K922" s="35" t="b">
        <v>0</v>
      </c>
      <c r="L922" s="82" t="b">
        <v>0</v>
      </c>
      <c r="M922" s="83"/>
      <c r="N922" s="84"/>
      <c r="O922" s="89"/>
      <c r="P922" s="66" t="s">
        <v>112</v>
      </c>
      <c r="Q922" s="22"/>
      <c r="R922" s="22"/>
      <c r="S922" s="22"/>
      <c r="T922" s="74"/>
      <c r="U922" s="6"/>
      <c r="V922" s="74"/>
    </row>
    <row r="923" ht="22.5" customHeight="1">
      <c r="A923" s="6"/>
      <c r="C923" s="6"/>
      <c r="D923" s="22"/>
      <c r="E923" s="20"/>
      <c r="F923" s="21"/>
      <c r="G923" s="21"/>
      <c r="H923" s="21"/>
      <c r="I923" s="35" t="b">
        <v>0</v>
      </c>
      <c r="J923" s="35" t="b">
        <v>0</v>
      </c>
      <c r="K923" s="35" t="b">
        <v>0</v>
      </c>
      <c r="L923" s="82" t="b">
        <v>0</v>
      </c>
      <c r="M923" s="83"/>
      <c r="N923" s="84"/>
      <c r="O923" s="89"/>
      <c r="P923" s="66" t="s">
        <v>112</v>
      </c>
      <c r="Q923" s="22"/>
      <c r="R923" s="22"/>
      <c r="S923" s="22"/>
      <c r="T923" s="74"/>
      <c r="U923" s="6"/>
      <c r="V923" s="74"/>
    </row>
    <row r="924" ht="22.5" customHeight="1">
      <c r="A924" s="6"/>
      <c r="C924" s="6"/>
      <c r="D924" s="22"/>
      <c r="E924" s="20"/>
      <c r="F924" s="21"/>
      <c r="G924" s="21"/>
      <c r="H924" s="21"/>
      <c r="I924" s="35" t="b">
        <v>0</v>
      </c>
      <c r="J924" s="35" t="b">
        <v>0</v>
      </c>
      <c r="K924" s="35" t="b">
        <v>0</v>
      </c>
      <c r="L924" s="82" t="b">
        <v>0</v>
      </c>
      <c r="M924" s="83"/>
      <c r="N924" s="84"/>
      <c r="O924" s="89"/>
      <c r="P924" s="66" t="s">
        <v>112</v>
      </c>
      <c r="Q924" s="22"/>
      <c r="R924" s="22"/>
      <c r="S924" s="22"/>
      <c r="T924" s="74"/>
      <c r="U924" s="6"/>
      <c r="V924" s="74"/>
    </row>
    <row r="925" ht="22.5" customHeight="1">
      <c r="A925" s="6"/>
      <c r="C925" s="6"/>
      <c r="D925" s="22"/>
      <c r="E925" s="20"/>
      <c r="F925" s="21"/>
      <c r="G925" s="21"/>
      <c r="H925" s="21"/>
      <c r="I925" s="35" t="b">
        <v>0</v>
      </c>
      <c r="J925" s="35" t="b">
        <v>0</v>
      </c>
      <c r="K925" s="35" t="b">
        <v>0</v>
      </c>
      <c r="L925" s="82" t="b">
        <v>0</v>
      </c>
      <c r="M925" s="83"/>
      <c r="N925" s="84"/>
      <c r="O925" s="89"/>
      <c r="P925" s="66" t="s">
        <v>112</v>
      </c>
      <c r="Q925" s="22"/>
      <c r="R925" s="22"/>
      <c r="S925" s="22"/>
      <c r="T925" s="74"/>
      <c r="U925" s="6"/>
      <c r="V925" s="74"/>
    </row>
    <row r="926" ht="22.5" customHeight="1">
      <c r="A926" s="6"/>
      <c r="C926" s="6"/>
      <c r="D926" s="22"/>
      <c r="E926" s="20"/>
      <c r="F926" s="21"/>
      <c r="G926" s="21"/>
      <c r="H926" s="21"/>
      <c r="I926" s="35" t="b">
        <v>0</v>
      </c>
      <c r="J926" s="35" t="b">
        <v>0</v>
      </c>
      <c r="K926" s="35" t="b">
        <v>0</v>
      </c>
      <c r="L926" s="82" t="b">
        <v>0</v>
      </c>
      <c r="M926" s="83"/>
      <c r="N926" s="84"/>
      <c r="O926" s="89"/>
      <c r="P926" s="66" t="s">
        <v>112</v>
      </c>
      <c r="Q926" s="22"/>
      <c r="R926" s="22"/>
      <c r="S926" s="22"/>
      <c r="T926" s="74"/>
      <c r="U926" s="6"/>
      <c r="V926" s="74"/>
    </row>
    <row r="927" ht="22.5" customHeight="1">
      <c r="A927" s="6"/>
      <c r="C927" s="6"/>
      <c r="D927" s="22"/>
      <c r="E927" s="20"/>
      <c r="F927" s="21"/>
      <c r="G927" s="21"/>
      <c r="H927" s="21"/>
      <c r="I927" s="35" t="b">
        <v>0</v>
      </c>
      <c r="J927" s="35" t="b">
        <v>0</v>
      </c>
      <c r="K927" s="35" t="b">
        <v>0</v>
      </c>
      <c r="L927" s="82" t="b">
        <v>0</v>
      </c>
      <c r="M927" s="83"/>
      <c r="N927" s="84"/>
      <c r="O927" s="89"/>
      <c r="P927" s="66" t="s">
        <v>112</v>
      </c>
      <c r="Q927" s="22"/>
      <c r="R927" s="22"/>
      <c r="S927" s="22"/>
      <c r="T927" s="74"/>
      <c r="U927" s="6"/>
      <c r="V927" s="74"/>
    </row>
    <row r="928" ht="22.5" customHeight="1">
      <c r="A928" s="6"/>
      <c r="C928" s="6"/>
      <c r="D928" s="22"/>
      <c r="E928" s="20"/>
      <c r="F928" s="21"/>
      <c r="G928" s="21"/>
      <c r="H928" s="21"/>
      <c r="I928" s="35" t="b">
        <v>0</v>
      </c>
      <c r="J928" s="35" t="b">
        <v>0</v>
      </c>
      <c r="K928" s="35" t="b">
        <v>0</v>
      </c>
      <c r="L928" s="82" t="b">
        <v>0</v>
      </c>
      <c r="M928" s="83"/>
      <c r="N928" s="84"/>
      <c r="O928" s="89"/>
      <c r="P928" s="66" t="s">
        <v>112</v>
      </c>
      <c r="Q928" s="22"/>
      <c r="R928" s="22"/>
      <c r="S928" s="22"/>
      <c r="T928" s="74"/>
      <c r="U928" s="6"/>
      <c r="V928" s="74"/>
    </row>
    <row r="929" ht="22.5" customHeight="1">
      <c r="A929" s="6"/>
      <c r="C929" s="6"/>
      <c r="D929" s="22"/>
      <c r="E929" s="20"/>
      <c r="F929" s="21"/>
      <c r="G929" s="21"/>
      <c r="H929" s="21"/>
      <c r="I929" s="35" t="b">
        <v>0</v>
      </c>
      <c r="J929" s="35" t="b">
        <v>0</v>
      </c>
      <c r="K929" s="35" t="b">
        <v>0</v>
      </c>
      <c r="L929" s="82" t="b">
        <v>0</v>
      </c>
      <c r="M929" s="83"/>
      <c r="N929" s="84"/>
      <c r="O929" s="89"/>
      <c r="P929" s="66" t="s">
        <v>112</v>
      </c>
      <c r="Q929" s="22"/>
      <c r="R929" s="22"/>
      <c r="S929" s="22"/>
      <c r="T929" s="74"/>
      <c r="U929" s="6"/>
      <c r="V929" s="74"/>
    </row>
    <row r="930" ht="22.5" customHeight="1">
      <c r="A930" s="6"/>
      <c r="C930" s="6"/>
      <c r="D930" s="22"/>
      <c r="E930" s="20"/>
      <c r="F930" s="21"/>
      <c r="G930" s="21"/>
      <c r="H930" s="21"/>
      <c r="I930" s="35" t="b">
        <v>0</v>
      </c>
      <c r="J930" s="35" t="b">
        <v>0</v>
      </c>
      <c r="K930" s="35" t="b">
        <v>0</v>
      </c>
      <c r="L930" s="82" t="b">
        <v>0</v>
      </c>
      <c r="M930" s="83"/>
      <c r="N930" s="84"/>
      <c r="O930" s="89"/>
      <c r="P930" s="66" t="s">
        <v>112</v>
      </c>
      <c r="Q930" s="22"/>
      <c r="R930" s="22"/>
      <c r="S930" s="22"/>
      <c r="T930" s="74"/>
      <c r="U930" s="6"/>
      <c r="V930" s="74"/>
    </row>
    <row r="931" ht="22.5" customHeight="1">
      <c r="A931" s="6"/>
      <c r="C931" s="6"/>
      <c r="D931" s="22"/>
      <c r="E931" s="20"/>
      <c r="F931" s="21"/>
      <c r="G931" s="21"/>
      <c r="H931" s="21"/>
      <c r="I931" s="35" t="b">
        <v>0</v>
      </c>
      <c r="J931" s="35" t="b">
        <v>0</v>
      </c>
      <c r="K931" s="35" t="b">
        <v>0</v>
      </c>
      <c r="L931" s="82" t="b">
        <v>0</v>
      </c>
      <c r="M931" s="83"/>
      <c r="N931" s="84"/>
      <c r="O931" s="89"/>
      <c r="P931" s="66" t="s">
        <v>112</v>
      </c>
      <c r="Q931" s="22"/>
      <c r="R931" s="22"/>
      <c r="S931" s="22"/>
      <c r="T931" s="74"/>
      <c r="U931" s="6"/>
      <c r="V931" s="74"/>
    </row>
    <row r="932" ht="22.5" customHeight="1">
      <c r="A932" s="6"/>
      <c r="C932" s="6"/>
      <c r="D932" s="22"/>
      <c r="E932" s="20"/>
      <c r="F932" s="21"/>
      <c r="G932" s="21"/>
      <c r="H932" s="21"/>
      <c r="I932" s="35" t="b">
        <v>0</v>
      </c>
      <c r="J932" s="35" t="b">
        <v>0</v>
      </c>
      <c r="K932" s="35" t="b">
        <v>0</v>
      </c>
      <c r="L932" s="82" t="b">
        <v>0</v>
      </c>
      <c r="M932" s="83"/>
      <c r="N932" s="84"/>
      <c r="O932" s="89"/>
      <c r="P932" s="66" t="s">
        <v>112</v>
      </c>
      <c r="Q932" s="22"/>
      <c r="R932" s="22"/>
      <c r="S932" s="22"/>
      <c r="T932" s="74"/>
      <c r="U932" s="6"/>
      <c r="V932" s="74"/>
    </row>
    <row r="933" ht="22.5" customHeight="1">
      <c r="A933" s="6"/>
      <c r="C933" s="6"/>
      <c r="D933" s="22"/>
      <c r="E933" s="20"/>
      <c r="F933" s="21"/>
      <c r="G933" s="21"/>
      <c r="H933" s="21"/>
      <c r="I933" s="35" t="b">
        <v>0</v>
      </c>
      <c r="J933" s="35" t="b">
        <v>0</v>
      </c>
      <c r="K933" s="35" t="b">
        <v>0</v>
      </c>
      <c r="L933" s="82" t="b">
        <v>0</v>
      </c>
      <c r="M933" s="83"/>
      <c r="N933" s="84"/>
      <c r="O933" s="89"/>
      <c r="P933" s="66" t="s">
        <v>112</v>
      </c>
      <c r="Q933" s="22"/>
      <c r="R933" s="22"/>
      <c r="S933" s="22"/>
      <c r="T933" s="74"/>
      <c r="U933" s="6"/>
      <c r="V933" s="74"/>
    </row>
    <row r="934" ht="22.5" customHeight="1">
      <c r="A934" s="6"/>
      <c r="C934" s="6"/>
      <c r="D934" s="22"/>
      <c r="E934" s="20"/>
      <c r="F934" s="21"/>
      <c r="G934" s="21"/>
      <c r="H934" s="21"/>
      <c r="I934" s="35" t="b">
        <v>0</v>
      </c>
      <c r="J934" s="35" t="b">
        <v>0</v>
      </c>
      <c r="K934" s="35" t="b">
        <v>0</v>
      </c>
      <c r="L934" s="82" t="b">
        <v>0</v>
      </c>
      <c r="M934" s="83"/>
      <c r="N934" s="84"/>
      <c r="O934" s="89"/>
      <c r="P934" s="66" t="s">
        <v>112</v>
      </c>
      <c r="Q934" s="22"/>
      <c r="R934" s="22"/>
      <c r="S934" s="22"/>
      <c r="T934" s="74"/>
      <c r="U934" s="6"/>
      <c r="V934" s="74"/>
    </row>
    <row r="935" ht="22.5" customHeight="1">
      <c r="A935" s="6"/>
      <c r="C935" s="6"/>
      <c r="D935" s="22"/>
      <c r="E935" s="20"/>
      <c r="F935" s="21"/>
      <c r="G935" s="21"/>
      <c r="H935" s="21"/>
      <c r="I935" s="35" t="b">
        <v>0</v>
      </c>
      <c r="J935" s="35" t="b">
        <v>0</v>
      </c>
      <c r="K935" s="35" t="b">
        <v>0</v>
      </c>
      <c r="L935" s="82" t="b">
        <v>0</v>
      </c>
      <c r="M935" s="83"/>
      <c r="N935" s="84"/>
      <c r="O935" s="89"/>
      <c r="P935" s="66" t="s">
        <v>112</v>
      </c>
      <c r="Q935" s="22"/>
      <c r="R935" s="22"/>
      <c r="S935" s="22"/>
      <c r="T935" s="74"/>
      <c r="U935" s="6"/>
      <c r="V935" s="74"/>
    </row>
    <row r="936" ht="22.5" customHeight="1">
      <c r="A936" s="6"/>
      <c r="C936" s="6"/>
      <c r="D936" s="22"/>
      <c r="E936" s="20"/>
      <c r="F936" s="21"/>
      <c r="G936" s="21"/>
      <c r="H936" s="21"/>
      <c r="I936" s="35" t="b">
        <v>0</v>
      </c>
      <c r="J936" s="35" t="b">
        <v>0</v>
      </c>
      <c r="K936" s="35" t="b">
        <v>0</v>
      </c>
      <c r="L936" s="82" t="b">
        <v>0</v>
      </c>
      <c r="M936" s="83"/>
      <c r="N936" s="84"/>
      <c r="O936" s="89"/>
      <c r="P936" s="66" t="s">
        <v>112</v>
      </c>
      <c r="Q936" s="22"/>
      <c r="R936" s="22"/>
      <c r="S936" s="22"/>
      <c r="T936" s="74"/>
      <c r="U936" s="6"/>
      <c r="V936" s="74"/>
    </row>
    <row r="937" ht="22.5" customHeight="1">
      <c r="A937" s="6"/>
      <c r="C937" s="6"/>
      <c r="D937" s="22"/>
      <c r="E937" s="20"/>
      <c r="F937" s="21"/>
      <c r="G937" s="21"/>
      <c r="H937" s="21"/>
      <c r="I937" s="35" t="b">
        <v>0</v>
      </c>
      <c r="J937" s="35" t="b">
        <v>0</v>
      </c>
      <c r="K937" s="35" t="b">
        <v>0</v>
      </c>
      <c r="L937" s="82" t="b">
        <v>0</v>
      </c>
      <c r="M937" s="83"/>
      <c r="N937" s="84"/>
      <c r="O937" s="89"/>
      <c r="P937" s="66" t="s">
        <v>112</v>
      </c>
      <c r="Q937" s="22"/>
      <c r="R937" s="22"/>
      <c r="S937" s="22"/>
      <c r="T937" s="74"/>
      <c r="U937" s="6"/>
      <c r="V937" s="74"/>
    </row>
    <row r="938" ht="22.5" customHeight="1">
      <c r="A938" s="6"/>
      <c r="C938" s="6"/>
      <c r="D938" s="22"/>
      <c r="E938" s="20"/>
      <c r="F938" s="21"/>
      <c r="G938" s="21"/>
      <c r="H938" s="21"/>
      <c r="I938" s="35" t="b">
        <v>0</v>
      </c>
      <c r="J938" s="35" t="b">
        <v>0</v>
      </c>
      <c r="K938" s="35" t="b">
        <v>0</v>
      </c>
      <c r="L938" s="82" t="b">
        <v>0</v>
      </c>
      <c r="M938" s="83"/>
      <c r="N938" s="84"/>
      <c r="O938" s="89"/>
      <c r="P938" s="66" t="s">
        <v>112</v>
      </c>
      <c r="Q938" s="22"/>
      <c r="R938" s="22"/>
      <c r="S938" s="22"/>
      <c r="T938" s="74"/>
      <c r="U938" s="6"/>
      <c r="V938" s="74"/>
    </row>
    <row r="939" ht="22.5" customHeight="1">
      <c r="A939" s="6"/>
      <c r="C939" s="6"/>
      <c r="D939" s="22"/>
      <c r="E939" s="20"/>
      <c r="F939" s="21"/>
      <c r="G939" s="21"/>
      <c r="H939" s="21"/>
      <c r="I939" s="35" t="b">
        <v>0</v>
      </c>
      <c r="J939" s="35" t="b">
        <v>0</v>
      </c>
      <c r="K939" s="35" t="b">
        <v>0</v>
      </c>
      <c r="L939" s="82" t="b">
        <v>0</v>
      </c>
      <c r="M939" s="83"/>
      <c r="N939" s="84"/>
      <c r="O939" s="89"/>
      <c r="P939" s="66" t="s">
        <v>112</v>
      </c>
      <c r="Q939" s="22"/>
      <c r="R939" s="22"/>
      <c r="S939" s="22"/>
      <c r="T939" s="74"/>
      <c r="U939" s="6"/>
      <c r="V939" s="74"/>
    </row>
    <row r="940" ht="22.5" customHeight="1">
      <c r="A940" s="6"/>
      <c r="C940" s="6"/>
      <c r="D940" s="22"/>
      <c r="E940" s="20"/>
      <c r="F940" s="21"/>
      <c r="G940" s="21"/>
      <c r="H940" s="21"/>
      <c r="I940" s="35" t="b">
        <v>0</v>
      </c>
      <c r="J940" s="35" t="b">
        <v>0</v>
      </c>
      <c r="K940" s="35" t="b">
        <v>0</v>
      </c>
      <c r="L940" s="82" t="b">
        <v>0</v>
      </c>
      <c r="M940" s="83"/>
      <c r="N940" s="84"/>
      <c r="O940" s="89"/>
      <c r="P940" s="66" t="s">
        <v>112</v>
      </c>
      <c r="Q940" s="22"/>
      <c r="R940" s="22"/>
      <c r="S940" s="22"/>
      <c r="T940" s="74"/>
      <c r="U940" s="6"/>
      <c r="V940" s="74"/>
    </row>
    <row r="941" ht="22.5" customHeight="1">
      <c r="A941" s="6"/>
      <c r="C941" s="6"/>
      <c r="D941" s="22"/>
      <c r="E941" s="20"/>
      <c r="F941" s="21"/>
      <c r="G941" s="21"/>
      <c r="H941" s="21"/>
      <c r="I941" s="35" t="b">
        <v>0</v>
      </c>
      <c r="J941" s="35" t="b">
        <v>0</v>
      </c>
      <c r="K941" s="35" t="b">
        <v>0</v>
      </c>
      <c r="L941" s="82" t="b">
        <v>0</v>
      </c>
      <c r="M941" s="83"/>
      <c r="N941" s="84"/>
      <c r="O941" s="89"/>
      <c r="P941" s="66" t="s">
        <v>112</v>
      </c>
      <c r="Q941" s="22"/>
      <c r="R941" s="22"/>
      <c r="S941" s="22"/>
      <c r="T941" s="74"/>
      <c r="U941" s="6"/>
      <c r="V941" s="74"/>
    </row>
    <row r="942" ht="22.5" customHeight="1">
      <c r="A942" s="6"/>
      <c r="C942" s="6"/>
      <c r="D942" s="22"/>
      <c r="E942" s="20"/>
      <c r="F942" s="21"/>
      <c r="G942" s="21"/>
      <c r="H942" s="21"/>
      <c r="I942" s="35" t="b">
        <v>0</v>
      </c>
      <c r="J942" s="35" t="b">
        <v>0</v>
      </c>
      <c r="K942" s="35" t="b">
        <v>0</v>
      </c>
      <c r="L942" s="82" t="b">
        <v>0</v>
      </c>
      <c r="M942" s="83"/>
      <c r="N942" s="84"/>
      <c r="O942" s="89"/>
      <c r="P942" s="66" t="s">
        <v>112</v>
      </c>
      <c r="Q942" s="22"/>
      <c r="R942" s="22"/>
      <c r="S942" s="22"/>
      <c r="T942" s="74"/>
      <c r="U942" s="6"/>
      <c r="V942" s="74"/>
    </row>
    <row r="943" ht="22.5" customHeight="1">
      <c r="A943" s="6"/>
      <c r="C943" s="6"/>
      <c r="D943" s="22"/>
      <c r="E943" s="20"/>
      <c r="F943" s="21"/>
      <c r="G943" s="21"/>
      <c r="H943" s="21"/>
      <c r="I943" s="35" t="b">
        <v>0</v>
      </c>
      <c r="J943" s="35" t="b">
        <v>0</v>
      </c>
      <c r="K943" s="35" t="b">
        <v>0</v>
      </c>
      <c r="L943" s="82" t="b">
        <v>0</v>
      </c>
      <c r="M943" s="83"/>
      <c r="N943" s="84"/>
      <c r="O943" s="89"/>
      <c r="P943" s="66" t="s">
        <v>112</v>
      </c>
      <c r="Q943" s="22"/>
      <c r="R943" s="22"/>
      <c r="S943" s="22"/>
      <c r="T943" s="74"/>
      <c r="U943" s="6"/>
      <c r="V943" s="74"/>
    </row>
    <row r="944" ht="22.5" customHeight="1">
      <c r="A944" s="6"/>
      <c r="C944" s="6"/>
      <c r="D944" s="22"/>
      <c r="E944" s="20"/>
      <c r="F944" s="21"/>
      <c r="G944" s="21"/>
      <c r="H944" s="21"/>
      <c r="I944" s="35" t="b">
        <v>0</v>
      </c>
      <c r="J944" s="35" t="b">
        <v>0</v>
      </c>
      <c r="K944" s="35" t="b">
        <v>0</v>
      </c>
      <c r="L944" s="82" t="b">
        <v>0</v>
      </c>
      <c r="M944" s="83"/>
      <c r="N944" s="84"/>
      <c r="O944" s="89"/>
      <c r="P944" s="66" t="s">
        <v>112</v>
      </c>
      <c r="Q944" s="22"/>
      <c r="R944" s="22"/>
      <c r="S944" s="22"/>
      <c r="T944" s="74"/>
      <c r="U944" s="6"/>
      <c r="V944" s="74"/>
    </row>
    <row r="945" ht="22.5" customHeight="1">
      <c r="A945" s="6"/>
      <c r="C945" s="6"/>
      <c r="D945" s="22"/>
      <c r="E945" s="20"/>
      <c r="F945" s="21"/>
      <c r="G945" s="21"/>
      <c r="H945" s="21"/>
      <c r="I945" s="35" t="b">
        <v>0</v>
      </c>
      <c r="J945" s="35" t="b">
        <v>0</v>
      </c>
      <c r="K945" s="35" t="b">
        <v>0</v>
      </c>
      <c r="L945" s="82" t="b">
        <v>0</v>
      </c>
      <c r="M945" s="83"/>
      <c r="N945" s="84"/>
      <c r="O945" s="89"/>
      <c r="P945" s="66" t="s">
        <v>112</v>
      </c>
      <c r="Q945" s="22"/>
      <c r="R945" s="22"/>
      <c r="S945" s="22"/>
      <c r="T945" s="74"/>
      <c r="U945" s="6"/>
      <c r="V945" s="74"/>
    </row>
    <row r="946" ht="22.5" customHeight="1">
      <c r="A946" s="6"/>
      <c r="C946" s="6"/>
      <c r="D946" s="22"/>
      <c r="E946" s="20"/>
      <c r="F946" s="21"/>
      <c r="G946" s="21"/>
      <c r="H946" s="21"/>
      <c r="I946" s="35" t="b">
        <v>0</v>
      </c>
      <c r="J946" s="35" t="b">
        <v>0</v>
      </c>
      <c r="K946" s="35" t="b">
        <v>0</v>
      </c>
      <c r="L946" s="82" t="b">
        <v>0</v>
      </c>
      <c r="M946" s="83"/>
      <c r="N946" s="84"/>
      <c r="O946" s="89"/>
      <c r="P946" s="66" t="s">
        <v>112</v>
      </c>
      <c r="Q946" s="22"/>
      <c r="R946" s="22"/>
      <c r="S946" s="22"/>
      <c r="T946" s="74"/>
      <c r="U946" s="6"/>
      <c r="V946" s="74"/>
    </row>
    <row r="947" ht="22.5" customHeight="1">
      <c r="A947" s="6"/>
      <c r="C947" s="6"/>
      <c r="D947" s="22"/>
      <c r="E947" s="20"/>
      <c r="F947" s="21"/>
      <c r="G947" s="21"/>
      <c r="H947" s="21"/>
      <c r="I947" s="35" t="b">
        <v>0</v>
      </c>
      <c r="J947" s="35" t="b">
        <v>0</v>
      </c>
      <c r="K947" s="35" t="b">
        <v>0</v>
      </c>
      <c r="L947" s="82" t="b">
        <v>0</v>
      </c>
      <c r="M947" s="83"/>
      <c r="N947" s="84"/>
      <c r="O947" s="89"/>
      <c r="P947" s="66" t="s">
        <v>112</v>
      </c>
      <c r="Q947" s="22"/>
      <c r="R947" s="22"/>
      <c r="S947" s="22"/>
      <c r="T947" s="74"/>
      <c r="U947" s="6"/>
      <c r="V947" s="74"/>
    </row>
    <row r="948" ht="22.5" customHeight="1">
      <c r="A948" s="6"/>
      <c r="C948" s="6"/>
      <c r="D948" s="22"/>
      <c r="E948" s="20"/>
      <c r="F948" s="21"/>
      <c r="G948" s="21"/>
      <c r="H948" s="21"/>
      <c r="I948" s="35" t="b">
        <v>0</v>
      </c>
      <c r="J948" s="35" t="b">
        <v>0</v>
      </c>
      <c r="K948" s="35" t="b">
        <v>0</v>
      </c>
      <c r="L948" s="82" t="b">
        <v>0</v>
      </c>
      <c r="M948" s="83"/>
      <c r="N948" s="84"/>
      <c r="O948" s="89"/>
      <c r="P948" s="66" t="s">
        <v>112</v>
      </c>
      <c r="Q948" s="22"/>
      <c r="R948" s="22"/>
      <c r="S948" s="22"/>
      <c r="T948" s="74"/>
      <c r="U948" s="6"/>
      <c r="V948" s="74"/>
    </row>
    <row r="949" ht="22.5" customHeight="1">
      <c r="A949" s="6"/>
      <c r="C949" s="6"/>
      <c r="D949" s="22"/>
      <c r="E949" s="20"/>
      <c r="F949" s="21"/>
      <c r="G949" s="21"/>
      <c r="H949" s="21"/>
      <c r="I949" s="35" t="b">
        <v>0</v>
      </c>
      <c r="J949" s="35" t="b">
        <v>0</v>
      </c>
      <c r="K949" s="35" t="b">
        <v>0</v>
      </c>
      <c r="L949" s="82" t="b">
        <v>0</v>
      </c>
      <c r="M949" s="83"/>
      <c r="N949" s="84"/>
      <c r="O949" s="89"/>
      <c r="P949" s="66" t="s">
        <v>112</v>
      </c>
      <c r="Q949" s="22"/>
      <c r="R949" s="22"/>
      <c r="S949" s="22"/>
      <c r="T949" s="74"/>
      <c r="U949" s="6"/>
      <c r="V949" s="74"/>
    </row>
    <row r="950" ht="22.5" customHeight="1">
      <c r="A950" s="6"/>
      <c r="C950" s="6"/>
      <c r="D950" s="22"/>
      <c r="E950" s="20"/>
      <c r="F950" s="21"/>
      <c r="G950" s="21"/>
      <c r="H950" s="21"/>
      <c r="I950" s="35" t="b">
        <v>0</v>
      </c>
      <c r="J950" s="35" t="b">
        <v>0</v>
      </c>
      <c r="K950" s="35" t="b">
        <v>0</v>
      </c>
      <c r="L950" s="82" t="b">
        <v>0</v>
      </c>
      <c r="M950" s="83"/>
      <c r="N950" s="84"/>
      <c r="O950" s="89"/>
      <c r="P950" s="66" t="s">
        <v>112</v>
      </c>
      <c r="Q950" s="22"/>
      <c r="R950" s="22"/>
      <c r="S950" s="22"/>
      <c r="T950" s="74"/>
      <c r="U950" s="6"/>
      <c r="V950" s="74"/>
    </row>
    <row r="951" ht="22.5" customHeight="1">
      <c r="A951" s="6"/>
      <c r="C951" s="6"/>
      <c r="D951" s="22"/>
      <c r="E951" s="20"/>
      <c r="F951" s="21"/>
      <c r="G951" s="21"/>
      <c r="H951" s="21"/>
      <c r="I951" s="35" t="b">
        <v>0</v>
      </c>
      <c r="J951" s="35" t="b">
        <v>0</v>
      </c>
      <c r="K951" s="35" t="b">
        <v>0</v>
      </c>
      <c r="L951" s="82" t="b">
        <v>0</v>
      </c>
      <c r="M951" s="83"/>
      <c r="N951" s="84"/>
      <c r="O951" s="89"/>
      <c r="P951" s="66" t="s">
        <v>112</v>
      </c>
      <c r="Q951" s="22"/>
      <c r="R951" s="22"/>
      <c r="S951" s="22"/>
      <c r="T951" s="74"/>
      <c r="U951" s="6"/>
      <c r="V951" s="74"/>
    </row>
    <row r="952" ht="22.5" customHeight="1">
      <c r="A952" s="6"/>
      <c r="C952" s="6"/>
      <c r="D952" s="22"/>
      <c r="E952" s="20"/>
      <c r="F952" s="21"/>
      <c r="G952" s="21"/>
      <c r="H952" s="21"/>
      <c r="I952" s="35" t="b">
        <v>0</v>
      </c>
      <c r="J952" s="35" t="b">
        <v>0</v>
      </c>
      <c r="K952" s="35" t="b">
        <v>0</v>
      </c>
      <c r="L952" s="82" t="b">
        <v>0</v>
      </c>
      <c r="M952" s="83"/>
      <c r="N952" s="84"/>
      <c r="O952" s="89"/>
      <c r="P952" s="66" t="s">
        <v>112</v>
      </c>
      <c r="Q952" s="22"/>
      <c r="R952" s="22"/>
      <c r="S952" s="22"/>
      <c r="T952" s="74"/>
      <c r="U952" s="6"/>
      <c r="V952" s="74"/>
    </row>
    <row r="953" ht="22.5" customHeight="1">
      <c r="A953" s="6"/>
      <c r="C953" s="6"/>
      <c r="D953" s="22"/>
      <c r="E953" s="20"/>
      <c r="F953" s="21"/>
      <c r="G953" s="21"/>
      <c r="H953" s="21"/>
      <c r="I953" s="35" t="b">
        <v>0</v>
      </c>
      <c r="J953" s="35" t="b">
        <v>0</v>
      </c>
      <c r="K953" s="35" t="b">
        <v>0</v>
      </c>
      <c r="L953" s="82" t="b">
        <v>0</v>
      </c>
      <c r="M953" s="83"/>
      <c r="N953" s="84"/>
      <c r="O953" s="89"/>
      <c r="P953" s="66" t="s">
        <v>112</v>
      </c>
      <c r="Q953" s="22"/>
      <c r="R953" s="22"/>
      <c r="S953" s="22"/>
      <c r="T953" s="74"/>
      <c r="U953" s="6"/>
      <c r="V953" s="74"/>
    </row>
    <row r="954" ht="22.5" customHeight="1">
      <c r="A954" s="6"/>
      <c r="C954" s="6"/>
      <c r="D954" s="22"/>
      <c r="E954" s="20"/>
      <c r="F954" s="21"/>
      <c r="G954" s="21"/>
      <c r="H954" s="21"/>
      <c r="I954" s="35" t="b">
        <v>0</v>
      </c>
      <c r="J954" s="35" t="b">
        <v>0</v>
      </c>
      <c r="K954" s="35" t="b">
        <v>0</v>
      </c>
      <c r="L954" s="82" t="b">
        <v>0</v>
      </c>
      <c r="M954" s="83"/>
      <c r="N954" s="84"/>
      <c r="O954" s="89"/>
      <c r="P954" s="66" t="s">
        <v>112</v>
      </c>
      <c r="Q954" s="22"/>
      <c r="R954" s="22"/>
      <c r="S954" s="22"/>
      <c r="T954" s="74"/>
      <c r="U954" s="6"/>
      <c r="V954" s="74"/>
    </row>
    <row r="955" ht="22.5" customHeight="1">
      <c r="A955" s="6"/>
      <c r="C955" s="6"/>
      <c r="D955" s="22"/>
      <c r="E955" s="20"/>
      <c r="F955" s="21"/>
      <c r="G955" s="21"/>
      <c r="H955" s="21"/>
      <c r="I955" s="35" t="b">
        <v>0</v>
      </c>
      <c r="J955" s="35" t="b">
        <v>0</v>
      </c>
      <c r="K955" s="35" t="b">
        <v>0</v>
      </c>
      <c r="L955" s="82" t="b">
        <v>0</v>
      </c>
      <c r="M955" s="83"/>
      <c r="N955" s="84"/>
      <c r="O955" s="89"/>
      <c r="P955" s="66" t="s">
        <v>112</v>
      </c>
      <c r="Q955" s="22"/>
      <c r="R955" s="22"/>
      <c r="S955" s="22"/>
      <c r="T955" s="74"/>
      <c r="U955" s="6"/>
      <c r="V955" s="74"/>
    </row>
    <row r="956" ht="22.5" customHeight="1">
      <c r="A956" s="6"/>
      <c r="C956" s="6"/>
      <c r="D956" s="22"/>
      <c r="E956" s="20"/>
      <c r="F956" s="21"/>
      <c r="G956" s="21"/>
      <c r="H956" s="21"/>
      <c r="I956" s="35" t="b">
        <v>0</v>
      </c>
      <c r="J956" s="35" t="b">
        <v>0</v>
      </c>
      <c r="K956" s="35" t="b">
        <v>0</v>
      </c>
      <c r="L956" s="82" t="b">
        <v>0</v>
      </c>
      <c r="M956" s="83"/>
      <c r="N956" s="84"/>
      <c r="O956" s="89"/>
      <c r="P956" s="66" t="s">
        <v>112</v>
      </c>
      <c r="Q956" s="22"/>
      <c r="R956" s="22"/>
      <c r="S956" s="22"/>
      <c r="T956" s="74"/>
      <c r="U956" s="6"/>
      <c r="V956" s="74"/>
    </row>
    <row r="957" ht="22.5" customHeight="1">
      <c r="A957" s="6"/>
      <c r="C957" s="6"/>
      <c r="D957" s="22"/>
      <c r="E957" s="20"/>
      <c r="F957" s="21"/>
      <c r="G957" s="21"/>
      <c r="H957" s="21"/>
      <c r="I957" s="35" t="b">
        <v>0</v>
      </c>
      <c r="J957" s="35" t="b">
        <v>0</v>
      </c>
      <c r="K957" s="35" t="b">
        <v>0</v>
      </c>
      <c r="L957" s="82" t="b">
        <v>0</v>
      </c>
      <c r="M957" s="83"/>
      <c r="N957" s="84"/>
      <c r="O957" s="89"/>
      <c r="P957" s="66" t="s">
        <v>112</v>
      </c>
      <c r="Q957" s="22"/>
      <c r="R957" s="22"/>
      <c r="S957" s="22"/>
      <c r="T957" s="74"/>
      <c r="U957" s="6"/>
      <c r="V957" s="74"/>
    </row>
    <row r="958" ht="22.5" customHeight="1">
      <c r="A958" s="6"/>
      <c r="C958" s="6"/>
      <c r="D958" s="22"/>
      <c r="E958" s="20"/>
      <c r="F958" s="21"/>
      <c r="G958" s="21"/>
      <c r="H958" s="21"/>
      <c r="I958" s="35" t="b">
        <v>0</v>
      </c>
      <c r="J958" s="35" t="b">
        <v>0</v>
      </c>
      <c r="K958" s="35" t="b">
        <v>0</v>
      </c>
      <c r="L958" s="82" t="b">
        <v>0</v>
      </c>
      <c r="M958" s="83"/>
      <c r="N958" s="84"/>
      <c r="O958" s="89"/>
      <c r="P958" s="66" t="s">
        <v>112</v>
      </c>
      <c r="Q958" s="22"/>
      <c r="R958" s="22"/>
      <c r="S958" s="22"/>
      <c r="T958" s="74"/>
      <c r="U958" s="6"/>
      <c r="V958" s="74"/>
    </row>
    <row r="959" ht="22.5" customHeight="1">
      <c r="A959" s="6"/>
      <c r="C959" s="6"/>
      <c r="D959" s="22"/>
      <c r="E959" s="20"/>
      <c r="F959" s="21"/>
      <c r="G959" s="21"/>
      <c r="H959" s="21"/>
      <c r="I959" s="35" t="b">
        <v>0</v>
      </c>
      <c r="J959" s="35" t="b">
        <v>0</v>
      </c>
      <c r="K959" s="35" t="b">
        <v>0</v>
      </c>
      <c r="L959" s="82" t="b">
        <v>0</v>
      </c>
      <c r="M959" s="83"/>
      <c r="N959" s="84"/>
      <c r="O959" s="89"/>
      <c r="P959" s="66" t="s">
        <v>112</v>
      </c>
      <c r="Q959" s="22"/>
      <c r="R959" s="22"/>
      <c r="S959" s="22"/>
      <c r="T959" s="74"/>
      <c r="U959" s="6"/>
      <c r="V959" s="74"/>
    </row>
    <row r="960" ht="22.5" customHeight="1">
      <c r="A960" s="6"/>
      <c r="C960" s="6"/>
      <c r="D960" s="22"/>
      <c r="E960" s="20"/>
      <c r="F960" s="21"/>
      <c r="G960" s="21"/>
      <c r="H960" s="21"/>
      <c r="I960" s="35" t="b">
        <v>0</v>
      </c>
      <c r="J960" s="35" t="b">
        <v>0</v>
      </c>
      <c r="K960" s="35" t="b">
        <v>0</v>
      </c>
      <c r="L960" s="82" t="b">
        <v>0</v>
      </c>
      <c r="M960" s="83"/>
      <c r="N960" s="84"/>
      <c r="O960" s="89"/>
      <c r="P960" s="66" t="s">
        <v>112</v>
      </c>
      <c r="Q960" s="22"/>
      <c r="R960" s="22"/>
      <c r="S960" s="22"/>
      <c r="T960" s="74"/>
      <c r="U960" s="6"/>
      <c r="V960" s="74"/>
    </row>
    <row r="961" ht="22.5" customHeight="1">
      <c r="A961" s="6"/>
      <c r="C961" s="6"/>
      <c r="D961" s="22"/>
      <c r="E961" s="20"/>
      <c r="F961" s="21"/>
      <c r="G961" s="21"/>
      <c r="H961" s="21"/>
      <c r="I961" s="35" t="b">
        <v>0</v>
      </c>
      <c r="J961" s="35" t="b">
        <v>0</v>
      </c>
      <c r="K961" s="35" t="b">
        <v>0</v>
      </c>
      <c r="L961" s="82" t="b">
        <v>0</v>
      </c>
      <c r="M961" s="83"/>
      <c r="N961" s="84"/>
      <c r="O961" s="89"/>
      <c r="P961" s="66" t="s">
        <v>112</v>
      </c>
      <c r="Q961" s="22"/>
      <c r="R961" s="22"/>
      <c r="S961" s="22"/>
      <c r="T961" s="74"/>
      <c r="U961" s="6"/>
      <c r="V961" s="74"/>
    </row>
    <row r="962" ht="22.5" customHeight="1">
      <c r="A962" s="6"/>
      <c r="C962" s="6"/>
      <c r="D962" s="22"/>
      <c r="E962" s="20"/>
      <c r="F962" s="21"/>
      <c r="G962" s="21"/>
      <c r="H962" s="21"/>
      <c r="I962" s="35" t="b">
        <v>0</v>
      </c>
      <c r="J962" s="35" t="b">
        <v>0</v>
      </c>
      <c r="K962" s="35" t="b">
        <v>0</v>
      </c>
      <c r="L962" s="82" t="b">
        <v>0</v>
      </c>
      <c r="M962" s="83"/>
      <c r="N962" s="84"/>
      <c r="O962" s="89"/>
      <c r="P962" s="66" t="s">
        <v>112</v>
      </c>
      <c r="Q962" s="22"/>
      <c r="R962" s="22"/>
      <c r="S962" s="22"/>
      <c r="T962" s="74"/>
      <c r="U962" s="6"/>
      <c r="V962" s="74"/>
    </row>
    <row r="963" ht="22.5" customHeight="1">
      <c r="A963" s="6"/>
      <c r="C963" s="6"/>
      <c r="D963" s="22"/>
      <c r="E963" s="20"/>
      <c r="F963" s="21"/>
      <c r="G963" s="21"/>
      <c r="H963" s="21"/>
      <c r="I963" s="35" t="b">
        <v>0</v>
      </c>
      <c r="J963" s="35" t="b">
        <v>0</v>
      </c>
      <c r="K963" s="35" t="b">
        <v>0</v>
      </c>
      <c r="L963" s="82" t="b">
        <v>0</v>
      </c>
      <c r="M963" s="83"/>
      <c r="N963" s="84"/>
      <c r="O963" s="89"/>
      <c r="P963" s="66" t="s">
        <v>112</v>
      </c>
      <c r="Q963" s="22"/>
      <c r="R963" s="22"/>
      <c r="S963" s="22"/>
      <c r="T963" s="74"/>
      <c r="U963" s="6"/>
      <c r="V963" s="74"/>
    </row>
    <row r="964" ht="22.5" customHeight="1">
      <c r="A964" s="6"/>
      <c r="C964" s="6"/>
      <c r="D964" s="22"/>
      <c r="E964" s="20"/>
      <c r="F964" s="21"/>
      <c r="G964" s="21"/>
      <c r="H964" s="21"/>
      <c r="I964" s="35" t="b">
        <v>0</v>
      </c>
      <c r="J964" s="35" t="b">
        <v>0</v>
      </c>
      <c r="K964" s="35" t="b">
        <v>0</v>
      </c>
      <c r="L964" s="82" t="b">
        <v>0</v>
      </c>
      <c r="M964" s="83"/>
      <c r="N964" s="84"/>
      <c r="O964" s="89"/>
      <c r="P964" s="66" t="s">
        <v>112</v>
      </c>
      <c r="Q964" s="22"/>
      <c r="R964" s="22"/>
      <c r="S964" s="22"/>
      <c r="T964" s="74"/>
      <c r="U964" s="6"/>
      <c r="V964" s="74"/>
    </row>
    <row r="965" ht="22.5" customHeight="1">
      <c r="A965" s="6"/>
      <c r="C965" s="6"/>
      <c r="D965" s="22"/>
      <c r="E965" s="20"/>
      <c r="F965" s="21"/>
      <c r="G965" s="21"/>
      <c r="H965" s="21"/>
      <c r="I965" s="35" t="b">
        <v>0</v>
      </c>
      <c r="J965" s="35" t="b">
        <v>0</v>
      </c>
      <c r="K965" s="35" t="b">
        <v>0</v>
      </c>
      <c r="L965" s="82" t="b">
        <v>0</v>
      </c>
      <c r="M965" s="83"/>
      <c r="N965" s="84"/>
      <c r="O965" s="89"/>
      <c r="P965" s="66" t="s">
        <v>112</v>
      </c>
      <c r="Q965" s="22"/>
      <c r="R965" s="22"/>
      <c r="S965" s="22"/>
      <c r="T965" s="74"/>
      <c r="U965" s="6"/>
      <c r="V965" s="74"/>
    </row>
    <row r="966" ht="22.5" customHeight="1">
      <c r="A966" s="6"/>
      <c r="C966" s="6"/>
      <c r="D966" s="22"/>
      <c r="E966" s="20"/>
      <c r="F966" s="21"/>
      <c r="G966" s="21"/>
      <c r="H966" s="21"/>
      <c r="I966" s="35" t="b">
        <v>0</v>
      </c>
      <c r="J966" s="35" t="b">
        <v>0</v>
      </c>
      <c r="K966" s="35" t="b">
        <v>0</v>
      </c>
      <c r="L966" s="82" t="b">
        <v>0</v>
      </c>
      <c r="M966" s="83"/>
      <c r="N966" s="84"/>
      <c r="O966" s="89"/>
      <c r="P966" s="66" t="s">
        <v>112</v>
      </c>
      <c r="Q966" s="22"/>
      <c r="R966" s="22"/>
      <c r="S966" s="22"/>
      <c r="T966" s="74"/>
      <c r="U966" s="6"/>
      <c r="V966" s="74"/>
    </row>
    <row r="967" ht="22.5" customHeight="1">
      <c r="A967" s="6"/>
      <c r="C967" s="6"/>
      <c r="D967" s="22"/>
      <c r="E967" s="20"/>
      <c r="F967" s="21"/>
      <c r="G967" s="21"/>
      <c r="H967" s="21"/>
      <c r="I967" s="35" t="b">
        <v>0</v>
      </c>
      <c r="J967" s="35" t="b">
        <v>0</v>
      </c>
      <c r="K967" s="35" t="b">
        <v>0</v>
      </c>
      <c r="L967" s="82" t="b">
        <v>0</v>
      </c>
      <c r="M967" s="83"/>
      <c r="N967" s="84"/>
      <c r="O967" s="89"/>
      <c r="P967" s="66" t="s">
        <v>112</v>
      </c>
      <c r="Q967" s="22"/>
      <c r="R967" s="22"/>
      <c r="S967" s="22"/>
      <c r="T967" s="74"/>
      <c r="U967" s="6"/>
      <c r="V967" s="74"/>
    </row>
    <row r="968" ht="22.5" customHeight="1">
      <c r="A968" s="6"/>
      <c r="C968" s="6"/>
      <c r="D968" s="22"/>
      <c r="E968" s="20"/>
      <c r="F968" s="21"/>
      <c r="G968" s="21"/>
      <c r="H968" s="21"/>
      <c r="I968" s="35" t="b">
        <v>0</v>
      </c>
      <c r="J968" s="35" t="b">
        <v>0</v>
      </c>
      <c r="K968" s="35" t="b">
        <v>0</v>
      </c>
      <c r="L968" s="82" t="b">
        <v>0</v>
      </c>
      <c r="M968" s="83"/>
      <c r="N968" s="84"/>
      <c r="O968" s="89"/>
      <c r="P968" s="66" t="s">
        <v>112</v>
      </c>
      <c r="Q968" s="22"/>
      <c r="R968" s="22"/>
      <c r="S968" s="22"/>
      <c r="T968" s="74"/>
      <c r="U968" s="6"/>
      <c r="V968" s="74"/>
    </row>
    <row r="969" ht="22.5" customHeight="1">
      <c r="A969" s="6"/>
      <c r="C969" s="6"/>
      <c r="D969" s="22"/>
      <c r="E969" s="20"/>
      <c r="F969" s="21"/>
      <c r="G969" s="21"/>
      <c r="H969" s="21"/>
      <c r="I969" s="35" t="b">
        <v>0</v>
      </c>
      <c r="J969" s="35" t="b">
        <v>0</v>
      </c>
      <c r="K969" s="35" t="b">
        <v>0</v>
      </c>
      <c r="L969" s="82" t="b">
        <v>0</v>
      </c>
      <c r="M969" s="83"/>
      <c r="N969" s="84"/>
      <c r="O969" s="89"/>
      <c r="P969" s="66" t="s">
        <v>112</v>
      </c>
      <c r="Q969" s="22"/>
      <c r="R969" s="22"/>
      <c r="S969" s="22"/>
      <c r="T969" s="74"/>
      <c r="U969" s="6"/>
      <c r="V969" s="74"/>
    </row>
    <row r="970" ht="22.5" customHeight="1">
      <c r="A970" s="6"/>
      <c r="C970" s="6"/>
      <c r="D970" s="22"/>
      <c r="E970" s="20"/>
      <c r="F970" s="21"/>
      <c r="G970" s="21"/>
      <c r="H970" s="21"/>
      <c r="I970" s="35" t="b">
        <v>0</v>
      </c>
      <c r="J970" s="35" t="b">
        <v>0</v>
      </c>
      <c r="K970" s="35" t="b">
        <v>0</v>
      </c>
      <c r="L970" s="82" t="b">
        <v>0</v>
      </c>
      <c r="M970" s="83"/>
      <c r="N970" s="84"/>
      <c r="O970" s="89"/>
      <c r="P970" s="66" t="s">
        <v>112</v>
      </c>
      <c r="Q970" s="22"/>
      <c r="R970" s="22"/>
      <c r="S970" s="22"/>
      <c r="T970" s="74"/>
      <c r="U970" s="6"/>
      <c r="V970" s="74"/>
    </row>
    <row r="971" ht="22.5" customHeight="1">
      <c r="A971" s="6"/>
      <c r="C971" s="6"/>
      <c r="D971" s="22"/>
      <c r="E971" s="20"/>
      <c r="F971" s="21"/>
      <c r="G971" s="21"/>
      <c r="H971" s="21"/>
      <c r="I971" s="35" t="b">
        <v>0</v>
      </c>
      <c r="J971" s="35" t="b">
        <v>0</v>
      </c>
      <c r="K971" s="35" t="b">
        <v>0</v>
      </c>
      <c r="L971" s="82" t="b">
        <v>0</v>
      </c>
      <c r="M971" s="83"/>
      <c r="N971" s="84"/>
      <c r="O971" s="89"/>
      <c r="P971" s="66" t="s">
        <v>112</v>
      </c>
      <c r="Q971" s="22"/>
      <c r="R971" s="22"/>
      <c r="S971" s="22"/>
      <c r="T971" s="74"/>
      <c r="U971" s="6"/>
      <c r="V971" s="74"/>
    </row>
    <row r="972" ht="22.5" customHeight="1">
      <c r="A972" s="6"/>
      <c r="C972" s="6"/>
      <c r="D972" s="22"/>
      <c r="E972" s="20"/>
      <c r="F972" s="21"/>
      <c r="G972" s="21"/>
      <c r="H972" s="21"/>
      <c r="I972" s="35" t="b">
        <v>0</v>
      </c>
      <c r="J972" s="35" t="b">
        <v>0</v>
      </c>
      <c r="K972" s="35" t="b">
        <v>0</v>
      </c>
      <c r="L972" s="82" t="b">
        <v>0</v>
      </c>
      <c r="M972" s="83"/>
      <c r="N972" s="84"/>
      <c r="O972" s="89"/>
      <c r="P972" s="66" t="s">
        <v>112</v>
      </c>
      <c r="Q972" s="22"/>
      <c r="R972" s="22"/>
      <c r="S972" s="22"/>
      <c r="T972" s="74"/>
      <c r="U972" s="6"/>
      <c r="V972" s="74"/>
    </row>
    <row r="973" ht="22.5" customHeight="1">
      <c r="A973" s="6"/>
      <c r="C973" s="6"/>
      <c r="D973" s="22"/>
      <c r="E973" s="20"/>
      <c r="F973" s="21"/>
      <c r="G973" s="21"/>
      <c r="H973" s="21"/>
      <c r="I973" s="35" t="b">
        <v>0</v>
      </c>
      <c r="J973" s="35" t="b">
        <v>0</v>
      </c>
      <c r="K973" s="35" t="b">
        <v>0</v>
      </c>
      <c r="L973" s="82" t="b">
        <v>0</v>
      </c>
      <c r="M973" s="83"/>
      <c r="N973" s="84"/>
      <c r="O973" s="89"/>
      <c r="P973" s="66" t="s">
        <v>112</v>
      </c>
      <c r="Q973" s="22"/>
      <c r="R973" s="22"/>
      <c r="S973" s="22"/>
      <c r="T973" s="74"/>
      <c r="U973" s="6"/>
      <c r="V973" s="74"/>
    </row>
    <row r="974" ht="22.5" customHeight="1">
      <c r="A974" s="6"/>
      <c r="C974" s="6"/>
      <c r="D974" s="22"/>
      <c r="E974" s="20"/>
      <c r="F974" s="21"/>
      <c r="G974" s="21"/>
      <c r="H974" s="21"/>
      <c r="I974" s="35" t="b">
        <v>0</v>
      </c>
      <c r="J974" s="35" t="b">
        <v>0</v>
      </c>
      <c r="K974" s="35" t="b">
        <v>0</v>
      </c>
      <c r="L974" s="82" t="b">
        <v>0</v>
      </c>
      <c r="M974" s="83"/>
      <c r="N974" s="84"/>
      <c r="O974" s="89"/>
      <c r="P974" s="66" t="s">
        <v>112</v>
      </c>
      <c r="Q974" s="22"/>
      <c r="R974" s="22"/>
      <c r="S974" s="22"/>
      <c r="T974" s="74"/>
      <c r="U974" s="6"/>
      <c r="V974" s="74"/>
    </row>
    <row r="975" ht="22.5" customHeight="1">
      <c r="A975" s="6"/>
      <c r="C975" s="6"/>
      <c r="D975" s="22"/>
      <c r="E975" s="20"/>
      <c r="F975" s="21"/>
      <c r="G975" s="21"/>
      <c r="H975" s="21"/>
      <c r="I975" s="35" t="b">
        <v>0</v>
      </c>
      <c r="J975" s="35" t="b">
        <v>0</v>
      </c>
      <c r="K975" s="35" t="b">
        <v>0</v>
      </c>
      <c r="L975" s="82" t="b">
        <v>0</v>
      </c>
      <c r="M975" s="83"/>
      <c r="N975" s="84"/>
      <c r="O975" s="89"/>
      <c r="P975" s="66" t="s">
        <v>112</v>
      </c>
      <c r="Q975" s="22"/>
      <c r="R975" s="22"/>
      <c r="S975" s="22"/>
      <c r="T975" s="74"/>
      <c r="U975" s="6"/>
      <c r="V975" s="74"/>
    </row>
    <row r="976" ht="22.5" customHeight="1">
      <c r="A976" s="6"/>
      <c r="C976" s="6"/>
      <c r="D976" s="22"/>
      <c r="E976" s="20"/>
      <c r="F976" s="21"/>
      <c r="G976" s="21"/>
      <c r="H976" s="21"/>
      <c r="I976" s="35" t="b">
        <v>0</v>
      </c>
      <c r="J976" s="35" t="b">
        <v>0</v>
      </c>
      <c r="K976" s="35" t="b">
        <v>0</v>
      </c>
      <c r="L976" s="82" t="b">
        <v>0</v>
      </c>
      <c r="M976" s="83"/>
      <c r="N976" s="84"/>
      <c r="O976" s="89"/>
      <c r="P976" s="66" t="s">
        <v>112</v>
      </c>
      <c r="Q976" s="22"/>
      <c r="R976" s="22"/>
      <c r="S976" s="22"/>
      <c r="T976" s="74"/>
      <c r="U976" s="6"/>
      <c r="V976" s="74"/>
    </row>
    <row r="977" ht="22.5" customHeight="1">
      <c r="A977" s="6"/>
      <c r="C977" s="6"/>
      <c r="D977" s="22"/>
      <c r="E977" s="20"/>
      <c r="F977" s="21"/>
      <c r="G977" s="21"/>
      <c r="H977" s="21"/>
      <c r="I977" s="35" t="b">
        <v>0</v>
      </c>
      <c r="J977" s="35" t="b">
        <v>0</v>
      </c>
      <c r="K977" s="35" t="b">
        <v>0</v>
      </c>
      <c r="L977" s="82" t="b">
        <v>0</v>
      </c>
      <c r="M977" s="83"/>
      <c r="N977" s="84"/>
      <c r="O977" s="89"/>
      <c r="P977" s="66" t="s">
        <v>112</v>
      </c>
      <c r="Q977" s="22"/>
      <c r="R977" s="22"/>
      <c r="S977" s="22"/>
      <c r="T977" s="74"/>
      <c r="U977" s="6"/>
      <c r="V977" s="74"/>
    </row>
    <row r="978" ht="22.5" customHeight="1">
      <c r="A978" s="6"/>
      <c r="C978" s="6"/>
      <c r="D978" s="22"/>
      <c r="E978" s="20"/>
      <c r="F978" s="21"/>
      <c r="G978" s="21"/>
      <c r="H978" s="21"/>
      <c r="I978" s="35" t="b">
        <v>0</v>
      </c>
      <c r="J978" s="35" t="b">
        <v>0</v>
      </c>
      <c r="K978" s="35" t="b">
        <v>0</v>
      </c>
      <c r="L978" s="82" t="b">
        <v>0</v>
      </c>
      <c r="M978" s="83"/>
      <c r="N978" s="84"/>
      <c r="O978" s="89"/>
      <c r="P978" s="66" t="s">
        <v>112</v>
      </c>
      <c r="Q978" s="22"/>
      <c r="R978" s="22"/>
      <c r="S978" s="22"/>
      <c r="T978" s="74"/>
      <c r="U978" s="6"/>
      <c r="V978" s="74"/>
    </row>
    <row r="979" ht="22.5" customHeight="1">
      <c r="A979" s="6"/>
      <c r="C979" s="6"/>
      <c r="D979" s="22"/>
      <c r="E979" s="20"/>
      <c r="F979" s="21"/>
      <c r="G979" s="21"/>
      <c r="H979" s="21"/>
      <c r="I979" s="35" t="b">
        <v>0</v>
      </c>
      <c r="J979" s="35" t="b">
        <v>0</v>
      </c>
      <c r="K979" s="35" t="b">
        <v>0</v>
      </c>
      <c r="L979" s="82" t="b">
        <v>0</v>
      </c>
      <c r="M979" s="83"/>
      <c r="N979" s="84"/>
      <c r="O979" s="89"/>
      <c r="P979" s="66" t="s">
        <v>112</v>
      </c>
      <c r="Q979" s="22"/>
      <c r="R979" s="22"/>
      <c r="S979" s="22"/>
      <c r="T979" s="74"/>
      <c r="U979" s="6"/>
      <c r="V979" s="74"/>
    </row>
    <row r="980" ht="22.5" customHeight="1">
      <c r="A980" s="6"/>
      <c r="C980" s="6"/>
      <c r="D980" s="22"/>
      <c r="E980" s="20"/>
      <c r="F980" s="21"/>
      <c r="G980" s="21"/>
      <c r="H980" s="21"/>
      <c r="I980" s="35" t="b">
        <v>0</v>
      </c>
      <c r="J980" s="35" t="b">
        <v>0</v>
      </c>
      <c r="K980" s="35" t="b">
        <v>0</v>
      </c>
      <c r="L980" s="82" t="b">
        <v>0</v>
      </c>
      <c r="M980" s="83"/>
      <c r="N980" s="84"/>
      <c r="O980" s="89"/>
      <c r="P980" s="66" t="s">
        <v>112</v>
      </c>
      <c r="Q980" s="22"/>
      <c r="R980" s="22"/>
      <c r="S980" s="22"/>
      <c r="T980" s="74"/>
      <c r="U980" s="6"/>
      <c r="V980" s="74"/>
    </row>
    <row r="981" ht="22.5" customHeight="1">
      <c r="A981" s="6"/>
      <c r="C981" s="6"/>
      <c r="D981" s="22"/>
      <c r="E981" s="20"/>
      <c r="F981" s="21"/>
      <c r="G981" s="21"/>
      <c r="H981" s="21"/>
      <c r="I981" s="35" t="b">
        <v>0</v>
      </c>
      <c r="J981" s="35" t="b">
        <v>0</v>
      </c>
      <c r="K981" s="35" t="b">
        <v>0</v>
      </c>
      <c r="L981" s="82" t="b">
        <v>0</v>
      </c>
      <c r="M981" s="83"/>
      <c r="N981" s="84"/>
      <c r="O981" s="89"/>
      <c r="P981" s="66" t="s">
        <v>112</v>
      </c>
      <c r="Q981" s="22"/>
      <c r="R981" s="22"/>
      <c r="S981" s="22"/>
      <c r="T981" s="74"/>
      <c r="U981" s="6"/>
      <c r="V981" s="74"/>
    </row>
    <row r="982" ht="22.5" customHeight="1">
      <c r="A982" s="6"/>
      <c r="C982" s="6"/>
      <c r="D982" s="22"/>
      <c r="E982" s="20"/>
      <c r="F982" s="21"/>
      <c r="G982" s="21"/>
      <c r="H982" s="21"/>
      <c r="I982" s="35" t="b">
        <v>0</v>
      </c>
      <c r="J982" s="35" t="b">
        <v>0</v>
      </c>
      <c r="K982" s="35" t="b">
        <v>0</v>
      </c>
      <c r="L982" s="82" t="b">
        <v>0</v>
      </c>
      <c r="M982" s="83"/>
      <c r="N982" s="84"/>
      <c r="O982" s="89"/>
      <c r="P982" s="66" t="s">
        <v>112</v>
      </c>
      <c r="Q982" s="22"/>
      <c r="R982" s="22"/>
      <c r="S982" s="22"/>
      <c r="T982" s="74"/>
      <c r="U982" s="6"/>
      <c r="V982" s="74"/>
    </row>
    <row r="983" ht="22.5" customHeight="1">
      <c r="A983" s="6"/>
      <c r="C983" s="6"/>
      <c r="D983" s="22"/>
      <c r="E983" s="20"/>
      <c r="F983" s="21"/>
      <c r="G983" s="21"/>
      <c r="H983" s="21"/>
      <c r="I983" s="35" t="b">
        <v>0</v>
      </c>
      <c r="J983" s="35" t="b">
        <v>0</v>
      </c>
      <c r="K983" s="35" t="b">
        <v>0</v>
      </c>
      <c r="L983" s="82" t="b">
        <v>0</v>
      </c>
      <c r="M983" s="83"/>
      <c r="N983" s="84"/>
      <c r="O983" s="89"/>
      <c r="P983" s="66" t="s">
        <v>112</v>
      </c>
      <c r="Q983" s="22"/>
      <c r="R983" s="22"/>
      <c r="S983" s="22"/>
      <c r="T983" s="74"/>
      <c r="U983" s="6"/>
      <c r="V983" s="74"/>
    </row>
    <row r="984" ht="22.5" customHeight="1">
      <c r="A984" s="6"/>
      <c r="C984" s="6"/>
      <c r="D984" s="22"/>
      <c r="E984" s="20"/>
      <c r="F984" s="21"/>
      <c r="G984" s="21"/>
      <c r="H984" s="21"/>
      <c r="I984" s="35" t="b">
        <v>0</v>
      </c>
      <c r="J984" s="35" t="b">
        <v>0</v>
      </c>
      <c r="K984" s="35" t="b">
        <v>0</v>
      </c>
      <c r="L984" s="82" t="b">
        <v>0</v>
      </c>
      <c r="M984" s="83"/>
      <c r="N984" s="84"/>
      <c r="O984" s="89"/>
      <c r="P984" s="66" t="s">
        <v>112</v>
      </c>
      <c r="Q984" s="22"/>
      <c r="R984" s="22"/>
      <c r="S984" s="22"/>
      <c r="T984" s="74"/>
      <c r="U984" s="6"/>
      <c r="V984" s="74"/>
    </row>
    <row r="985" ht="22.5" customHeight="1">
      <c r="A985" s="6"/>
      <c r="C985" s="6"/>
      <c r="D985" s="22"/>
      <c r="E985" s="20"/>
      <c r="F985" s="21"/>
      <c r="G985" s="21"/>
      <c r="H985" s="21"/>
      <c r="I985" s="35" t="b">
        <v>0</v>
      </c>
      <c r="J985" s="35" t="b">
        <v>0</v>
      </c>
      <c r="K985" s="35" t="b">
        <v>0</v>
      </c>
      <c r="L985" s="82" t="b">
        <v>0</v>
      </c>
      <c r="M985" s="83"/>
      <c r="N985" s="84"/>
      <c r="O985" s="89"/>
      <c r="P985" s="66" t="s">
        <v>112</v>
      </c>
      <c r="Q985" s="22"/>
      <c r="R985" s="22"/>
      <c r="S985" s="22"/>
      <c r="T985" s="74"/>
      <c r="U985" s="6"/>
      <c r="V985" s="74"/>
    </row>
    <row r="986" ht="22.5" customHeight="1">
      <c r="A986" s="6"/>
      <c r="C986" s="6"/>
      <c r="D986" s="22"/>
      <c r="E986" s="20"/>
      <c r="F986" s="21"/>
      <c r="G986" s="21"/>
      <c r="H986" s="21"/>
      <c r="I986" s="35" t="b">
        <v>0</v>
      </c>
      <c r="J986" s="35" t="b">
        <v>0</v>
      </c>
      <c r="K986" s="35" t="b">
        <v>0</v>
      </c>
      <c r="L986" s="82" t="b">
        <v>0</v>
      </c>
      <c r="M986" s="83"/>
      <c r="N986" s="84"/>
      <c r="O986" s="89"/>
      <c r="P986" s="66" t="s">
        <v>112</v>
      </c>
      <c r="Q986" s="22"/>
      <c r="R986" s="22"/>
      <c r="S986" s="22"/>
      <c r="T986" s="74"/>
      <c r="U986" s="6"/>
      <c r="V986" s="74"/>
    </row>
    <row r="987" ht="22.5" customHeight="1">
      <c r="A987" s="6"/>
      <c r="C987" s="6"/>
      <c r="D987" s="22"/>
      <c r="E987" s="20"/>
      <c r="F987" s="21"/>
      <c r="G987" s="21"/>
      <c r="H987" s="21"/>
      <c r="I987" s="35" t="b">
        <v>0</v>
      </c>
      <c r="J987" s="35" t="b">
        <v>0</v>
      </c>
      <c r="K987" s="35" t="b">
        <v>0</v>
      </c>
      <c r="L987" s="82" t="b">
        <v>0</v>
      </c>
      <c r="M987" s="83"/>
      <c r="N987" s="84"/>
      <c r="O987" s="89"/>
      <c r="P987" s="66" t="s">
        <v>112</v>
      </c>
      <c r="Q987" s="22"/>
      <c r="R987" s="22"/>
      <c r="S987" s="22"/>
      <c r="T987" s="74"/>
      <c r="U987" s="6"/>
      <c r="V987" s="74"/>
    </row>
    <row r="988" ht="22.5" customHeight="1">
      <c r="A988" s="6"/>
      <c r="C988" s="6"/>
      <c r="D988" s="22"/>
      <c r="E988" s="20"/>
      <c r="F988" s="21"/>
      <c r="G988" s="21"/>
      <c r="H988" s="21"/>
      <c r="I988" s="35" t="b">
        <v>0</v>
      </c>
      <c r="J988" s="35" t="b">
        <v>0</v>
      </c>
      <c r="K988" s="35" t="b">
        <v>0</v>
      </c>
      <c r="L988" s="82" t="b">
        <v>0</v>
      </c>
      <c r="M988" s="83"/>
      <c r="N988" s="84"/>
      <c r="O988" s="89"/>
      <c r="P988" s="66" t="s">
        <v>112</v>
      </c>
      <c r="Q988" s="22"/>
      <c r="R988" s="22"/>
      <c r="S988" s="22"/>
      <c r="T988" s="74"/>
      <c r="U988" s="6"/>
      <c r="V988" s="74"/>
    </row>
    <row r="989" ht="22.5" customHeight="1">
      <c r="A989" s="6"/>
      <c r="C989" s="6"/>
      <c r="D989" s="22"/>
      <c r="E989" s="20"/>
      <c r="F989" s="21"/>
      <c r="G989" s="21"/>
      <c r="H989" s="21"/>
      <c r="I989" s="35" t="b">
        <v>0</v>
      </c>
      <c r="J989" s="35" t="b">
        <v>0</v>
      </c>
      <c r="K989" s="35" t="b">
        <v>0</v>
      </c>
      <c r="L989" s="82" t="b">
        <v>0</v>
      </c>
      <c r="M989" s="83"/>
      <c r="N989" s="84"/>
      <c r="O989" s="89"/>
      <c r="P989" s="66" t="s">
        <v>112</v>
      </c>
      <c r="Q989" s="22"/>
      <c r="R989" s="22"/>
      <c r="S989" s="22"/>
      <c r="T989" s="74"/>
      <c r="U989" s="6"/>
      <c r="V989" s="74"/>
    </row>
    <row r="990" ht="22.5" customHeight="1">
      <c r="A990" s="6"/>
      <c r="C990" s="6"/>
      <c r="D990" s="22"/>
      <c r="E990" s="20"/>
      <c r="F990" s="21"/>
      <c r="G990" s="21"/>
      <c r="H990" s="21"/>
      <c r="I990" s="35" t="b">
        <v>0</v>
      </c>
      <c r="J990" s="35" t="b">
        <v>0</v>
      </c>
      <c r="K990" s="35" t="b">
        <v>0</v>
      </c>
      <c r="L990" s="82" t="b">
        <v>0</v>
      </c>
      <c r="M990" s="83"/>
      <c r="N990" s="84"/>
      <c r="O990" s="89"/>
      <c r="P990" s="66" t="s">
        <v>112</v>
      </c>
      <c r="Q990" s="22"/>
      <c r="R990" s="22"/>
      <c r="S990" s="22"/>
      <c r="T990" s="74"/>
      <c r="U990" s="6"/>
      <c r="V990" s="74"/>
    </row>
    <row r="991" ht="22.5" customHeight="1">
      <c r="A991" s="6"/>
      <c r="C991" s="6"/>
      <c r="D991" s="22"/>
      <c r="E991" s="20"/>
      <c r="F991" s="21"/>
      <c r="G991" s="21"/>
      <c r="H991" s="21"/>
      <c r="I991" s="35" t="b">
        <v>0</v>
      </c>
      <c r="J991" s="35" t="b">
        <v>0</v>
      </c>
      <c r="K991" s="35" t="b">
        <v>0</v>
      </c>
      <c r="L991" s="82" t="b">
        <v>0</v>
      </c>
      <c r="M991" s="83"/>
      <c r="N991" s="84"/>
      <c r="O991" s="89"/>
      <c r="P991" s="66" t="s">
        <v>112</v>
      </c>
      <c r="Q991" s="22"/>
      <c r="R991" s="22"/>
      <c r="S991" s="22"/>
      <c r="T991" s="74"/>
      <c r="U991" s="6"/>
      <c r="V991" s="74"/>
    </row>
    <row r="992" ht="22.5" customHeight="1">
      <c r="A992" s="6"/>
      <c r="C992" s="6"/>
      <c r="D992" s="22"/>
      <c r="E992" s="20"/>
      <c r="F992" s="21"/>
      <c r="G992" s="21"/>
      <c r="H992" s="21"/>
      <c r="I992" s="35" t="b">
        <v>0</v>
      </c>
      <c r="J992" s="35" t="b">
        <v>0</v>
      </c>
      <c r="K992" s="35" t="b">
        <v>0</v>
      </c>
      <c r="L992" s="82" t="b">
        <v>0</v>
      </c>
      <c r="M992" s="83"/>
      <c r="N992" s="84"/>
      <c r="O992" s="89"/>
      <c r="P992" s="66" t="s">
        <v>112</v>
      </c>
      <c r="Q992" s="22"/>
      <c r="R992" s="22"/>
      <c r="S992" s="22"/>
      <c r="T992" s="74"/>
      <c r="U992" s="6"/>
      <c r="V992" s="74"/>
    </row>
    <row r="993" ht="22.5" customHeight="1">
      <c r="A993" s="6"/>
      <c r="C993" s="6"/>
      <c r="D993" s="22"/>
      <c r="E993" s="20"/>
      <c r="F993" s="21"/>
      <c r="G993" s="21"/>
      <c r="H993" s="21"/>
      <c r="I993" s="35" t="b">
        <v>0</v>
      </c>
      <c r="J993" s="35" t="b">
        <v>0</v>
      </c>
      <c r="K993" s="35" t="b">
        <v>0</v>
      </c>
      <c r="L993" s="82" t="b">
        <v>0</v>
      </c>
      <c r="M993" s="83"/>
      <c r="N993" s="84"/>
      <c r="O993" s="89"/>
      <c r="P993" s="66" t="s">
        <v>112</v>
      </c>
      <c r="Q993" s="22"/>
      <c r="R993" s="22"/>
      <c r="S993" s="22"/>
      <c r="T993" s="74"/>
      <c r="U993" s="6"/>
      <c r="V993" s="74"/>
    </row>
    <row r="994" ht="22.5" customHeight="1">
      <c r="A994" s="6"/>
      <c r="C994" s="6"/>
      <c r="D994" s="22"/>
      <c r="E994" s="20"/>
      <c r="F994" s="21"/>
      <c r="G994" s="21"/>
      <c r="H994" s="21"/>
      <c r="I994" s="35" t="b">
        <v>0</v>
      </c>
      <c r="J994" s="35" t="b">
        <v>0</v>
      </c>
      <c r="K994" s="35" t="b">
        <v>0</v>
      </c>
      <c r="L994" s="82" t="b">
        <v>0</v>
      </c>
      <c r="M994" s="83"/>
      <c r="N994" s="84"/>
      <c r="O994" s="89"/>
      <c r="P994" s="66" t="s">
        <v>112</v>
      </c>
      <c r="Q994" s="22"/>
      <c r="R994" s="22"/>
      <c r="S994" s="22"/>
      <c r="T994" s="74"/>
      <c r="U994" s="6"/>
      <c r="V994" s="74"/>
    </row>
    <row r="995" ht="22.5" customHeight="1">
      <c r="A995" s="6"/>
      <c r="C995" s="6"/>
      <c r="D995" s="22"/>
      <c r="E995" s="20"/>
      <c r="F995" s="21"/>
      <c r="G995" s="21"/>
      <c r="H995" s="21"/>
      <c r="I995" s="35" t="b">
        <v>0</v>
      </c>
      <c r="J995" s="35" t="b">
        <v>0</v>
      </c>
      <c r="K995" s="35" t="b">
        <v>0</v>
      </c>
      <c r="L995" s="82" t="b">
        <v>0</v>
      </c>
      <c r="M995" s="83"/>
      <c r="N995" s="84"/>
      <c r="O995" s="89"/>
      <c r="P995" s="66" t="s">
        <v>112</v>
      </c>
      <c r="Q995" s="22"/>
      <c r="R995" s="22"/>
      <c r="S995" s="22"/>
      <c r="T995" s="74"/>
      <c r="U995" s="6"/>
      <c r="V995" s="74"/>
    </row>
    <row r="996" ht="22.5" customHeight="1">
      <c r="A996" s="6"/>
      <c r="C996" s="6"/>
      <c r="D996" s="22"/>
      <c r="E996" s="20"/>
      <c r="F996" s="21"/>
      <c r="G996" s="21"/>
      <c r="H996" s="21"/>
      <c r="I996" s="35" t="b">
        <v>0</v>
      </c>
      <c r="J996" s="35" t="b">
        <v>0</v>
      </c>
      <c r="K996" s="35" t="b">
        <v>0</v>
      </c>
      <c r="L996" s="82" t="b">
        <v>0</v>
      </c>
      <c r="M996" s="83"/>
      <c r="N996" s="84"/>
      <c r="O996" s="89"/>
      <c r="P996" s="66" t="s">
        <v>112</v>
      </c>
      <c r="Q996" s="22"/>
      <c r="R996" s="22"/>
      <c r="S996" s="22"/>
      <c r="T996" s="74"/>
      <c r="U996" s="6"/>
      <c r="V996" s="74"/>
    </row>
    <row r="997" ht="22.5" customHeight="1">
      <c r="A997" s="6"/>
      <c r="B997" s="26"/>
      <c r="C997" s="6"/>
      <c r="D997" s="22"/>
      <c r="E997" s="106"/>
      <c r="F997" s="107"/>
      <c r="G997" s="107"/>
      <c r="H997" s="107"/>
      <c r="I997" s="108" t="b">
        <v>0</v>
      </c>
      <c r="J997" s="108" t="b">
        <v>0</v>
      </c>
      <c r="K997" s="108" t="b">
        <v>0</v>
      </c>
      <c r="L997" s="82" t="b">
        <v>0</v>
      </c>
      <c r="M997" s="83"/>
      <c r="N997" s="84"/>
      <c r="O997" s="109"/>
      <c r="P997" s="66" t="s">
        <v>112</v>
      </c>
      <c r="Q997" s="74"/>
      <c r="R997" s="74"/>
      <c r="S997" s="74"/>
      <c r="T997" s="74"/>
      <c r="U997" s="107"/>
      <c r="V997" s="74"/>
    </row>
  </sheetData>
  <dataValidations>
    <dataValidation type="list" allowBlank="1" sqref="E2:E997">
      <formula1>"Bullish,Neutral,Bearish"</formula1>
    </dataValidation>
    <dataValidation type="list" allowBlank="1" sqref="P2:P997">
      <formula1>"N/A,Increase,Decrease,Constant"</formula1>
    </dataValidation>
    <dataValidation type="list" allowBlank="1" sqref="F2:F997">
      <formula1>#REF!</formula1>
    </dataValidation>
    <dataValidation type="custom" allowBlank="1" showDropDown="1" sqref="M2:O997">
      <formula1>AND(ISNUMBER(M2),(NOT(OR(NOT(ISERROR(DATEVALUE(M2))), AND(ISNUMBER(M2), LEFT(CELL("format", M2))="D")))))</formula1>
    </dataValidation>
    <dataValidation type="list" allowBlank="1" sqref="U2:U997">
      <formula1>"As planned,Minor adjustments,Rouge"</formula1>
    </dataValidation>
    <dataValidation type="list" allowBlank="1" sqref="G2:G997">
      <formula1>#REF!</formula1>
    </dataValidation>
    <dataValidation type="list" allowBlank="1" sqref="A2:A997 C2:C997 H2:H997">
      <formula1>#REF!</formula1>
    </dataValidation>
  </dataValidations>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3" max="3" width="9.75"/>
    <col customWidth="1" min="4" max="4" width="7.63"/>
    <col customWidth="1" min="5" max="5" width="7.25"/>
    <col customWidth="1" min="6" max="6" width="13.63"/>
    <col customWidth="1" min="7" max="7" width="17.0"/>
    <col customWidth="1" min="8" max="8" width="20.25"/>
    <col customWidth="1" min="9" max="10" width="19.63"/>
    <col customWidth="1" min="11" max="11" width="9.75"/>
    <col customWidth="1" min="12" max="12" width="9.88"/>
    <col customWidth="1" min="13" max="13" width="10.25"/>
    <col customWidth="1" min="14" max="14" width="9.0"/>
    <col customWidth="1" min="15" max="15" width="8.38"/>
    <col customWidth="1" min="16" max="16" width="7.5"/>
    <col customWidth="1" min="17" max="17" width="9.38"/>
    <col customWidth="1" min="18" max="18" width="9.88"/>
    <col customWidth="1" min="19" max="19" width="11.5"/>
    <col customWidth="1" min="21" max="21" width="9.13"/>
    <col customWidth="1" min="22" max="22" width="10.75"/>
    <col customWidth="1" min="24" max="24" width="10.13"/>
  </cols>
  <sheetData>
    <row r="1" ht="22.5" customHeight="1">
      <c r="A1" s="1" t="s">
        <v>83</v>
      </c>
      <c r="B1" s="1" t="s">
        <v>425</v>
      </c>
      <c r="C1" s="36" t="s">
        <v>426</v>
      </c>
      <c r="D1" s="36" t="s">
        <v>427</v>
      </c>
      <c r="E1" s="36" t="s">
        <v>428</v>
      </c>
      <c r="F1" s="36" t="s">
        <v>429</v>
      </c>
      <c r="G1" s="59" t="s">
        <v>58</v>
      </c>
      <c r="H1" s="1" t="s">
        <v>430</v>
      </c>
      <c r="I1" s="59" t="s">
        <v>431</v>
      </c>
      <c r="J1" s="59" t="s">
        <v>100</v>
      </c>
      <c r="K1" s="36" t="s">
        <v>432</v>
      </c>
      <c r="L1" s="36" t="s">
        <v>67</v>
      </c>
      <c r="M1" s="36" t="s">
        <v>433</v>
      </c>
      <c r="N1" s="36" t="s">
        <v>69</v>
      </c>
      <c r="O1" s="33" t="s">
        <v>434</v>
      </c>
      <c r="P1" s="33" t="s">
        <v>435</v>
      </c>
      <c r="Q1" s="33" t="s">
        <v>71</v>
      </c>
      <c r="R1" s="33" t="s">
        <v>72</v>
      </c>
      <c r="S1" s="33" t="s">
        <v>74</v>
      </c>
      <c r="T1" s="33" t="s">
        <v>73</v>
      </c>
      <c r="U1" s="33" t="s">
        <v>75</v>
      </c>
      <c r="V1" s="110" t="s">
        <v>76</v>
      </c>
      <c r="W1" s="111" t="s">
        <v>77</v>
      </c>
      <c r="X1" s="111" t="s">
        <v>78</v>
      </c>
      <c r="Y1" s="111" t="s">
        <v>436</v>
      </c>
      <c r="Z1" s="11" t="s">
        <v>80</v>
      </c>
    </row>
    <row r="2" ht="22.5" customHeight="1">
      <c r="A2" s="3" t="s">
        <v>352</v>
      </c>
      <c r="B2" s="112" t="str">
        <f>IFERROR(__xludf.DUMMYFUNCTION("IF(COUNT(QUERY(OptionsPositions, ""SELECT 1 WHERE A = '"" &amp; A2  &amp; ""' AND C is not null AND E is null""))&gt;0, QUERY(OptionsPositions, ""SELECT C WHERE A = '"" &amp; A2  &amp; ""' AND E is null ORDER BY C ASC LIMIT 1""), """")"),"")</f>
        <v/>
      </c>
      <c r="C2" s="26">
        <f>IFERROR(__xludf.DUMMYFUNCTION("IF(COUNT(QUERY(OptionsPositions, ""SELECT 1 WHERE A = '"" &amp; A2  &amp; ""' AND C is not null AND E is null""))&gt;0, """", QUERY(OptionsPositions, ""SELECT E WHERE A = '"" &amp; A2  &amp; ""' ORDER BY E DESC LIMIT 1""))"),46087.0)</f>
        <v>46087</v>
      </c>
      <c r="D2" s="113" t="str">
        <f>IF(OptionInstruments[Opened] &lt;&gt; "",IF(OptionInstruments[Closed] = "", TODAY(), OptionInstruments[Closed]) - OptionInstruments[Opened], "")</f>
        <v/>
      </c>
      <c r="E2" s="113">
        <f>IFERROR(__xludf.DUMMYFUNCTION("IFNA(QUERY(OptionsPositions, ""SELECT D WHERE A = '"" &amp; A2 &amp; ""' AND E IS null ORDER BY D LIMIT 1"") - TODAY(), 0)"),0.0)</f>
        <v>0</v>
      </c>
      <c r="F2" s="114" t="str">
        <f t="shared" ref="F2:F77" si="1">If(C2="", "Open", "Closed")</f>
        <v>Closed</v>
      </c>
      <c r="G2" s="115" t="str">
        <f>IFERROR(__xludf.DUMMYFUNCTION("QUERY(TradeLog, ""SELECT G WHERE A = '"" &amp; A2 &amp; ""' ORDER BY G DESC LIMIT 1"")"),"Speculative")</f>
        <v>Speculative</v>
      </c>
      <c r="H2" s="116" t="str">
        <f>IFERROR(__xludf.DUMMYFUNCTION("IFNA(QUERY(TradeLog, ""SELECT C WHERE A = '"" &amp; A2 &amp; ""' ORDER BY B DESC LIMIT 1""), """")"),"Long Call")</f>
        <v>Long Call</v>
      </c>
      <c r="I2" s="14" t="str">
        <f>IFERROR(__xludf.DUMMYFUNCTION("TEXTJOIN("", "", TRUE,IFNA(QUERY(OptionsPositions, ""SELECT H WHERE A = '"" &amp; A2  &amp; ""' AND C is not null AND E is null ORDER BY H""), """"))"),"")</f>
        <v/>
      </c>
      <c r="J2" s="14" t="str">
        <f>IFERROR(__xludf.DUMMYFUNCTION("QUERY(TradeLog, ""SELECT S WHERE A = '"" &amp; A2 &amp; ""' ORDER BY B DESC LIMIT 1"")  "),"5 - 10 EMA")</f>
        <v>5 - 10 EMA</v>
      </c>
      <c r="K2" s="117">
        <f t="shared" ref="K2:K77" si="2">L2+N2</f>
        <v>-26.249</v>
      </c>
      <c r="L2" s="117">
        <f>IFERROR(__xludf.DUMMYFUNCTION("IFNA(QUERY(OptionsPositions, ""SELECT SUM(P) WHERE A = '"" &amp; A2 &amp; ""' LABEL SUM(P) ''""), 0)"),0.0)</f>
        <v>0</v>
      </c>
      <c r="M2" s="118">
        <f>IFERROR(__xludf.DUMMYFUNCTION("IFNA(ROUND(QUERY(OptionsPositions, ""SELECT AVG(Q) WHERE A = '"" &amp; A2 &amp; ""' LABEL AVG(Q) ''""), 2), 0)"),0.0)</f>
        <v>0</v>
      </c>
      <c r="N2" s="117">
        <f>IFERROR(__xludf.DUMMYFUNCTION("IFNA(QUERY(OptionsPositions, ""SELECT SUM(R) WHERE A = '"" &amp; A2 &amp; ""' LABEL SUM(R) ''""), 0)"),-26.249000000000006)</f>
        <v>-26.249</v>
      </c>
      <c r="O2" s="117">
        <f>IFERROR(__xludf.DUMMYFUNCTION("IFNA(QUERY(OptionsPositions, ""SELECT AVG(S) WHERE A = '"" &amp; A2 &amp; ""' LABEL AVG(S) ''""), 0)"),-50.0)</f>
        <v>-50</v>
      </c>
      <c r="P2" s="118">
        <f>IFERROR(__xludf.DUMMYFUNCTION("IFNA(QUERY(OptionsPositions, ""SELECT SUM(T) WHERE A = '"" &amp; A2 &amp; ""' LABEL SUM(T) ''""), 0)"),0.0)</f>
        <v>0</v>
      </c>
      <c r="Q2" s="119">
        <f>IFERROR(__xludf.DUMMYFUNCTION("IFNA(QUERY(OptionsPositions, ""SELECT SUM(U) WHERE A = '"" &amp; A2 &amp; ""' LABEL SUM(U) ''""), 0)"),0.0)</f>
        <v>0</v>
      </c>
      <c r="R2" s="120">
        <f>IFERROR(__xludf.DUMMYFUNCTION("IFNA(QUERY(OptionsPositions, ""SELECT SUM(V) WHERE A = '"" &amp; A2 &amp; ""' LABEL SUM(V) ''""), 0)"),0.0)</f>
        <v>0</v>
      </c>
      <c r="S2" s="120">
        <f>IFERROR(__xludf.DUMMYFUNCTION("IFNA(QUERY(OptionsPositions, ""SELECT SUM(W) WHERE A = '"" &amp; A2 &amp; ""' LABEL SUM(W) ''""), 0)"),0.0)</f>
        <v>0</v>
      </c>
      <c r="T2" s="120">
        <f>IFERROR(__xludf.DUMMYFUNCTION("IFNA(QUERY(OptionsPositions, ""SELECT SUM(X) WHERE A = '"" &amp; A2 &amp; ""' LABEL SUM(X) ''""), 0)"),0.0)</f>
        <v>0</v>
      </c>
      <c r="U2" s="117" t="str">
        <f>IFERROR(__xludf.DUMMYFUNCTION("IFNA(QUERY(OptionsPositions, ""SELECT AVG(Y) WHERE A = '"" &amp; A2 &amp; ""' LABEL AVG(Y) ''""), 0)"),"")</f>
        <v/>
      </c>
      <c r="V2" s="121">
        <f>IFERROR(__xludf.DUMMYFUNCTION("IFNA(QUERY(OptionsPositions, ""SELECT SUM(Z) WHERE A = '"" &amp; A2 &amp; ""' LABEL SUM(Z) ''""), 0)"),56.42)</f>
        <v>56.42</v>
      </c>
      <c r="W2" s="117">
        <f>IFERROR(__xludf.DUMMYFUNCTION("IFNA(QUERY(OptionsPositions, ""SELECT AVG(AA) WHERE A = '"" &amp; A2 &amp; ""' LABEL AVG(AA) ''""), 0)"),60.0)</f>
        <v>60</v>
      </c>
      <c r="X2" s="122" t="str">
        <f>IFERROR(__xludf.DUMMYFUNCTION("IFNA(QUERY(OptionsPositions, ""SELECT AVG(AB) WHERE A = '"" &amp; A2 &amp; ""' LABEL AVG(AB) ''""), 0)"),"")</f>
        <v/>
      </c>
      <c r="Y2" s="123">
        <f t="shared" ref="Y2:Y77" si="3">IF(V2 &lt;&gt; 0, L2/V2*100, "")</f>
        <v>0</v>
      </c>
      <c r="Z2" s="118">
        <f>IFERROR(__xludf.DUMMYFUNCTION("QUERY(OptionsPositions, ""SELECT SUM(L) WHERE A = '"" &amp; A2 &amp; ""' LABEL SUM(L) ''"")"),0.43)</f>
        <v>0.43</v>
      </c>
    </row>
    <row r="3" ht="22.5" customHeight="1">
      <c r="A3" s="3" t="s">
        <v>355</v>
      </c>
      <c r="B3" s="112" t="str">
        <f>IFERROR(__xludf.DUMMYFUNCTION("IF(COUNT(QUERY(OptionsPositions, ""SELECT 1 WHERE A = '"" &amp; A3  &amp; ""' AND C is not null AND E is null""))&gt;0, QUERY(OptionsPositions, ""SELECT C WHERE A = '"" &amp; A3  &amp; ""' AND E is null ORDER BY C ASC LIMIT 1""), """")"),"")</f>
        <v/>
      </c>
      <c r="C3" s="26">
        <f>IFERROR(__xludf.DUMMYFUNCTION("IF(COUNT(QUERY(OptionsPositions, ""SELECT 1 WHERE A = '"" &amp; A3  &amp; ""' AND C is not null AND E is null""))&gt;0, """", QUERY(OptionsPositions, ""SELECT E WHERE A = '"" &amp; A3  &amp; ""' ORDER BY E DESC LIMIT 1""))"),46079.0)</f>
        <v>46079</v>
      </c>
      <c r="D3" s="113" t="str">
        <f>IF(OptionInstruments[Opened] &lt;&gt; "",IF(OptionInstruments[Closed] = "", TODAY(), OptionInstruments[Closed]) - OptionInstruments[Opened], "")</f>
        <v/>
      </c>
      <c r="E3" s="113">
        <f>IFERROR(__xludf.DUMMYFUNCTION("IFNA(QUERY(OptionsPositions, ""SELECT D WHERE A = '"" &amp; A3 &amp; ""' AND E IS null ORDER BY D LIMIT 1"") - TODAY(), 0)"),0.0)</f>
        <v>0</v>
      </c>
      <c r="F3" s="114" t="str">
        <f t="shared" si="1"/>
        <v>Closed</v>
      </c>
      <c r="G3" s="115" t="str">
        <f>IFERROR(__xludf.DUMMYFUNCTION("QUERY(TradeLog, ""SELECT G WHERE A = '"" &amp; A3 &amp; ""' ORDER BY G DESC LIMIT 1"")"),"Speculative")</f>
        <v>Speculative</v>
      </c>
      <c r="H3" s="116" t="str">
        <f>IFERROR(__xludf.DUMMYFUNCTION("IFNA(QUERY(TradeLog, ""SELECT C WHERE A = '"" &amp; A3 &amp; ""' ORDER BY B DESC LIMIT 1""), """")"),"Long Put Vertical")</f>
        <v>Long Put Vertical</v>
      </c>
      <c r="I3" s="14" t="str">
        <f>IFERROR(__xludf.DUMMYFUNCTION("TEXTJOIN("", "", TRUE,IFNA(QUERY(OptionsPositions, ""SELECT H WHERE A = '"" &amp; A3  &amp; ""' AND C is not null AND E is null ORDER BY H""), """"))"),"")</f>
        <v/>
      </c>
      <c r="J3" s="14" t="str">
        <f>IFERROR(__xludf.DUMMYFUNCTION("QUERY(TradeLog, ""SELECT S WHERE A = '"" &amp; A3 &amp; ""' ORDER BY B DESC LIMIT 1"")  "),"Above 126")</f>
        <v>Above 126</v>
      </c>
      <c r="K3" s="117">
        <f t="shared" si="2"/>
        <v>30.499</v>
      </c>
      <c r="L3" s="117">
        <f>IFERROR(__xludf.DUMMYFUNCTION("IFNA(QUERY(OptionsPositions, ""SELECT SUM(P) WHERE A = '"" &amp; A3 &amp; ""' LABEL SUM(P) ''""), 0)"),0.0)</f>
        <v>0</v>
      </c>
      <c r="M3" s="118">
        <f>IFERROR(__xludf.DUMMYFUNCTION("IFNA(ROUND(QUERY(OptionsPositions, ""SELECT AVG(Q) WHERE A = '"" &amp; A3 &amp; ""' LABEL AVG(Q) ''""), 2), 0)"),0.0)</f>
        <v>0</v>
      </c>
      <c r="N3" s="117">
        <f>IFERROR(__xludf.DUMMYFUNCTION("IFNA(QUERY(OptionsPositions, ""SELECT SUM(R) WHERE A = '"" &amp; A3 &amp; ""' LABEL SUM(R) ''""), 0)"),30.49900000000003)</f>
        <v>30.499</v>
      </c>
      <c r="O3" s="117">
        <f>IFERROR(__xludf.DUMMYFUNCTION("IFNA(QUERY(OptionsPositions, ""SELECT AVG(S) WHERE A = '"" &amp; A3 &amp; ""' LABEL AVG(S) ''""), 0)"),0.0)</f>
        <v>0</v>
      </c>
      <c r="P3" s="118">
        <f>IFERROR(__xludf.DUMMYFUNCTION("IFNA(QUERY(OptionsPositions, ""SELECT SUM(T) WHERE A = '"" &amp; A3 &amp; ""' LABEL SUM(T) ''""), 0)"),0.0)</f>
        <v>0</v>
      </c>
      <c r="Q3" s="119">
        <f>IFERROR(__xludf.DUMMYFUNCTION("IFNA(QUERY(OptionsPositions, ""SELECT SUM(U) WHERE A = '"" &amp; A3 &amp; ""' LABEL SUM(U) ''""), 0)"),0.0)</f>
        <v>0</v>
      </c>
      <c r="R3" s="120">
        <f>IFERROR(__xludf.DUMMYFUNCTION("IFNA(QUERY(OptionsPositions, ""SELECT SUM(V) WHERE A = '"" &amp; A3 &amp; ""' LABEL SUM(V) ''""), 0)"),0.0)</f>
        <v>0</v>
      </c>
      <c r="S3" s="120">
        <f>IFERROR(__xludf.DUMMYFUNCTION("IFNA(QUERY(OptionsPositions, ""SELECT SUM(W) WHERE A = '"" &amp; A3 &amp; ""' LABEL SUM(W) ''""), 0)"),0.0)</f>
        <v>0</v>
      </c>
      <c r="T3" s="120">
        <f>IFERROR(__xludf.DUMMYFUNCTION("IFNA(QUERY(OptionsPositions, ""SELECT SUM(X) WHERE A = '"" &amp; A3 &amp; ""' LABEL SUM(X) ''""), 0)"),0.0)</f>
        <v>0</v>
      </c>
      <c r="U3" s="117" t="str">
        <f>IFERROR(__xludf.DUMMYFUNCTION("IFNA(QUERY(OptionsPositions, ""SELECT AVG(Y) WHERE A = '"" &amp; A3 &amp; ""' LABEL AVG(Y) ''""), 0)"),"")</f>
        <v/>
      </c>
      <c r="V3" s="121">
        <f>IFERROR(__xludf.DUMMYFUNCTION("IFNA(QUERY(OptionsPositions, ""SELECT SUM(Z) WHERE A = '"" &amp; A3 &amp; ""' LABEL SUM(Z) ''""), 0)"),1307.39)</f>
        <v>1307.39</v>
      </c>
      <c r="W3" s="117">
        <f>IFERROR(__xludf.DUMMYFUNCTION("IFNA(QUERY(OptionsPositions, ""SELECT AVG(AA) WHERE A = '"" &amp; A3 &amp; ""' LABEL AVG(AA) ''""), 0)"),37.142857142857146)</f>
        <v>37.14285714</v>
      </c>
      <c r="X3" s="122" t="str">
        <f>IFERROR(__xludf.DUMMYFUNCTION("IFNA(QUERY(OptionsPositions, ""SELECT AVG(AB) WHERE A = '"" &amp; A3 &amp; ""' LABEL AVG(AB) ''""), 0)"),"")</f>
        <v/>
      </c>
      <c r="Y3" s="123">
        <f t="shared" si="3"/>
        <v>0</v>
      </c>
      <c r="Z3" s="118">
        <f>IFERROR(__xludf.DUMMYFUNCTION("QUERY(OptionsPositions, ""SELECT SUM(L) WHERE A = '"" &amp; A3 &amp; ""' LABEL SUM(L) ''"")"),9.7)</f>
        <v>9.7</v>
      </c>
    </row>
    <row r="4" ht="22.5" customHeight="1">
      <c r="A4" s="3" t="s">
        <v>130</v>
      </c>
      <c r="B4" s="112" t="str">
        <f>IFERROR(__xludf.DUMMYFUNCTION("IF(COUNT(QUERY(OptionsPositions, ""SELECT 1 WHERE A = '"" &amp; A4  &amp; ""' AND C is not null AND E is null""))&gt;0, QUERY(OptionsPositions, ""SELECT C WHERE A = '"" &amp; A4  &amp; ""' AND E is null ORDER BY C ASC LIMIT 1""), """")"),"")</f>
        <v/>
      </c>
      <c r="C4" s="26">
        <f>IFERROR(__xludf.DUMMYFUNCTION("IF(COUNT(QUERY(OptionsPositions, ""SELECT 1 WHERE A = '"" &amp; A4  &amp; ""' AND C is not null AND E is null""))&gt;0, """", QUERY(OptionsPositions, ""SELECT E WHERE A = '"" &amp; A4  &amp; ""' ORDER BY E DESC LIMIT 1""))"),46064.0)</f>
        <v>46064</v>
      </c>
      <c r="D4" s="113" t="str">
        <f>IF(OptionInstruments[Opened] &lt;&gt; "",IF(OptionInstruments[Closed] = "", TODAY(), OptionInstruments[Closed]) - OptionInstruments[Opened], "")</f>
        <v/>
      </c>
      <c r="E4" s="113">
        <f>IFERROR(__xludf.DUMMYFUNCTION("IFNA(QUERY(OptionsPositions, ""SELECT D WHERE A = '"" &amp; A4 &amp; ""' AND E IS null ORDER BY D LIMIT 1"") - TODAY(), 0)"),0.0)</f>
        <v>0</v>
      </c>
      <c r="F4" s="114" t="str">
        <f t="shared" si="1"/>
        <v>Closed</v>
      </c>
      <c r="G4" s="115" t="str">
        <f>IFERROR(__xludf.DUMMYFUNCTION("QUERY(TradeLog, ""SELECT G WHERE A = '"" &amp; A4 &amp; ""' ORDER BY G DESC LIMIT 1"")"),"Speculative")</f>
        <v>Speculative</v>
      </c>
      <c r="H4" s="116" t="str">
        <f>IFERROR(__xludf.DUMMYFUNCTION("IFNA(QUERY(TradeLog, ""SELECT C WHERE A = '"" &amp; A4 &amp; ""' ORDER BY B DESC LIMIT 1""), """")"),"Long Call")</f>
        <v>Long Call</v>
      </c>
      <c r="I4" s="14" t="str">
        <f>IFERROR(__xludf.DUMMYFUNCTION("TEXTJOIN("", "", TRUE,IFNA(QUERY(OptionsPositions, ""SELECT H WHERE A = '"" &amp; A4  &amp; ""' AND C is not null AND E is null ORDER BY H""), """"))"),"")</f>
        <v/>
      </c>
      <c r="J4" s="14" t="str">
        <f>IFERROR(__xludf.DUMMYFUNCTION("QUERY(TradeLog, ""SELECT S WHERE A = '"" &amp; A4 &amp; ""' ORDER BY B DESC LIMIT 1"")  "),"OTM Call worthless on mean reversion")</f>
        <v>OTM Call worthless on mean reversion</v>
      </c>
      <c r="K4" s="117">
        <f t="shared" si="2"/>
        <v>5.951</v>
      </c>
      <c r="L4" s="117">
        <f>IFERROR(__xludf.DUMMYFUNCTION("IFNA(QUERY(OptionsPositions, ""SELECT SUM(P) WHERE A = '"" &amp; A4 &amp; ""' LABEL SUM(P) ''""), 0)"),0.0)</f>
        <v>0</v>
      </c>
      <c r="M4" s="118">
        <f>IFERROR(__xludf.DUMMYFUNCTION("IFNA(ROUND(QUERY(OptionsPositions, ""SELECT AVG(Q) WHERE A = '"" &amp; A4 &amp; ""' LABEL AVG(Q) ''""), 2), 0)"),0.0)</f>
        <v>0</v>
      </c>
      <c r="N4" s="117">
        <f>IFERROR(__xludf.DUMMYFUNCTION("IFNA(QUERY(OptionsPositions, ""SELECT SUM(R) WHERE A = '"" &amp; A4 &amp; ""' LABEL SUM(R) ''""), 0)"),5.951000000000001)</f>
        <v>5.951</v>
      </c>
      <c r="O4" s="117">
        <f>IFERROR(__xludf.DUMMYFUNCTION("IFNA(QUERY(OptionsPositions, ""SELECT AVG(S) WHERE A = '"" &amp; A4 &amp; ""' LABEL AVG(S) ''""), 0)"),20.0)</f>
        <v>20</v>
      </c>
      <c r="P4" s="118">
        <f>IFERROR(__xludf.DUMMYFUNCTION("IFNA(QUERY(OptionsPositions, ""SELECT SUM(T) WHERE A = '"" &amp; A4 &amp; ""' LABEL SUM(T) ''""), 0)"),0.0)</f>
        <v>0</v>
      </c>
      <c r="Q4" s="119">
        <f>IFERROR(__xludf.DUMMYFUNCTION("IFNA(QUERY(OptionsPositions, ""SELECT SUM(U) WHERE A = '"" &amp; A4 &amp; ""' LABEL SUM(U) ''""), 0)"),0.0)</f>
        <v>0</v>
      </c>
      <c r="R4" s="120">
        <f>IFERROR(__xludf.DUMMYFUNCTION("IFNA(QUERY(OptionsPositions, ""SELECT SUM(V) WHERE A = '"" &amp; A4 &amp; ""' LABEL SUM(V) ''""), 0)"),0.0)</f>
        <v>0</v>
      </c>
      <c r="S4" s="120">
        <f>IFERROR(__xludf.DUMMYFUNCTION("IFNA(QUERY(OptionsPositions, ""SELECT SUM(W) WHERE A = '"" &amp; A4 &amp; ""' LABEL SUM(W) ''""), 0)"),0.0)</f>
        <v>0</v>
      </c>
      <c r="T4" s="120">
        <f>IFERROR(__xludf.DUMMYFUNCTION("IFNA(QUERY(OptionsPositions, ""SELECT SUM(X) WHERE A = '"" &amp; A4 &amp; ""' LABEL SUM(X) ''""), 0)"),0.0)</f>
        <v>0</v>
      </c>
      <c r="U4" s="117" t="str">
        <f>IFERROR(__xludf.DUMMYFUNCTION("IFNA(QUERY(OptionsPositions, ""SELECT AVG(Y) WHERE A = '"" &amp; A4 &amp; ""' LABEL AVG(Y) ''""), 0)"),"")</f>
        <v/>
      </c>
      <c r="V4" s="121">
        <f>IFERROR(__xludf.DUMMYFUNCTION("IFNA(QUERY(OptionsPositions, ""SELECT SUM(Z) WHERE A = '"" &amp; A4 &amp; ""' LABEL SUM(Z) ''""), 0)"),63.46)</f>
        <v>63.46</v>
      </c>
      <c r="W4" s="117">
        <f>IFERROR(__xludf.DUMMYFUNCTION("IFNA(QUERY(OptionsPositions, ""SELECT AVG(AA) WHERE A = '"" &amp; A4 &amp; ""' LABEL AVG(AA) ''""), 0)"),79.06976744186046)</f>
        <v>79.06976744</v>
      </c>
      <c r="X4" s="122" t="str">
        <f>IFERROR(__xludf.DUMMYFUNCTION("IFNA(QUERY(OptionsPositions, ""SELECT AVG(AB) WHERE A = '"" &amp; A4 &amp; ""' LABEL AVG(AB) ''""), 0)"),"")</f>
        <v/>
      </c>
      <c r="Y4" s="123">
        <f t="shared" si="3"/>
        <v>0</v>
      </c>
      <c r="Z4" s="118">
        <f>IFERROR(__xludf.DUMMYFUNCTION("QUERY(OptionsPositions, ""SELECT SUM(L) WHERE A = '"" &amp; A4 &amp; ""' LABEL SUM(L) ''"")"),0.25)</f>
        <v>0.25</v>
      </c>
    </row>
    <row r="5" ht="22.5" customHeight="1">
      <c r="A5" s="3" t="s">
        <v>139</v>
      </c>
      <c r="B5" s="112" t="str">
        <f>IFERROR(__xludf.DUMMYFUNCTION("IF(COUNT(QUERY(OptionsPositions, ""SELECT 1 WHERE A = '"" &amp; A5  &amp; ""' AND C is not null AND E is null""))&gt;0, QUERY(OptionsPositions, ""SELECT C WHERE A = '"" &amp; A5  &amp; ""' AND E is null ORDER BY C ASC LIMIT 1""), """")"),"")</f>
        <v/>
      </c>
      <c r="C5" s="26">
        <f>IFERROR(__xludf.DUMMYFUNCTION("IF(COUNT(QUERY(OptionsPositions, ""SELECT 1 WHERE A = '"" &amp; A5  &amp; ""' AND C is not null AND E is null""))&gt;0, """", QUERY(OptionsPositions, ""SELECT E WHERE A = '"" &amp; A5  &amp; ""' ORDER BY E DESC LIMIT 1""))"),46085.0)</f>
        <v>46085</v>
      </c>
      <c r="D5" s="113" t="str">
        <f>IF(OptionInstruments[Opened] &lt;&gt; "",IF(OptionInstruments[Closed] = "", TODAY(), OptionInstruments[Closed]) - OptionInstruments[Opened], "")</f>
        <v/>
      </c>
      <c r="E5" s="113">
        <f>IFERROR(__xludf.DUMMYFUNCTION("IFNA(QUERY(OptionsPositions, ""SELECT D WHERE A = '"" &amp; A5 &amp; ""' AND E IS null ORDER BY D LIMIT 1"") - TODAY(), 0)"),0.0)</f>
        <v>0</v>
      </c>
      <c r="F5" s="114" t="str">
        <f t="shared" si="1"/>
        <v>Closed</v>
      </c>
      <c r="G5" s="115" t="str">
        <f>IFERROR(__xludf.DUMMYFUNCTION("QUERY(TradeLog, ""SELECT G WHERE A = '"" &amp; A5 &amp; ""' ORDER BY G DESC LIMIT 1"")"),"Speculative")</f>
        <v>Speculative</v>
      </c>
      <c r="H5" s="116" t="str">
        <f>IFERROR(__xludf.DUMMYFUNCTION("IFNA(QUERY(TradeLog, ""SELECT C WHERE A = '"" &amp; A5 &amp; ""' ORDER BY B DESC LIMIT 1""), """")"),"Long Call")</f>
        <v>Long Call</v>
      </c>
      <c r="I5" s="14" t="str">
        <f>IFERROR(__xludf.DUMMYFUNCTION("TEXTJOIN("", "", TRUE,IFNA(QUERY(OptionsPositions, ""SELECT H WHERE A = '"" &amp; A5  &amp; ""' AND C is not null AND E is null ORDER BY H""), """"))"),"")</f>
        <v/>
      </c>
      <c r="J5" s="14" t="str">
        <f>IFERROR(__xludf.DUMMYFUNCTION("QUERY(TradeLog, ""SELECT S WHERE A = '"" &amp; A5 &amp; ""' ORDER BY B DESC LIMIT 1"")  "),"Close below 60")</f>
        <v>Close below 60</v>
      </c>
      <c r="K5" s="117">
        <f t="shared" si="2"/>
        <v>-27.899</v>
      </c>
      <c r="L5" s="117">
        <f>IFERROR(__xludf.DUMMYFUNCTION("IFNA(QUERY(OptionsPositions, ""SELECT SUM(P) WHERE A = '"" &amp; A5 &amp; ""' LABEL SUM(P) ''""), 0)"),0.0)</f>
        <v>0</v>
      </c>
      <c r="M5" s="118">
        <f>IFERROR(__xludf.DUMMYFUNCTION("IFNA(ROUND(QUERY(OptionsPositions, ""SELECT AVG(Q) WHERE A = '"" &amp; A5 &amp; ""' LABEL AVG(Q) ''""), 2), 0)"),0.0)</f>
        <v>0</v>
      </c>
      <c r="N5" s="117">
        <f>IFERROR(__xludf.DUMMYFUNCTION("IFNA(QUERY(OptionsPositions, ""SELECT SUM(R) WHERE A = '"" &amp; A5 &amp; ""' LABEL SUM(R) ''""), 0)"),-27.899)</f>
        <v>-27.899</v>
      </c>
      <c r="O5" s="117">
        <f>IFERROR(__xludf.DUMMYFUNCTION("IFNA(QUERY(OptionsPositions, ""SELECT AVG(S) WHERE A = '"" &amp; A5 &amp; ""' LABEL AVG(S) ''""), 0)"),-70.0)</f>
        <v>-70</v>
      </c>
      <c r="P5" s="118">
        <f>IFERROR(__xludf.DUMMYFUNCTION("IFNA(QUERY(OptionsPositions, ""SELECT SUM(T) WHERE A = '"" &amp; A5 &amp; ""' LABEL SUM(T) ''""), 0)"),0.0)</f>
        <v>0</v>
      </c>
      <c r="Q5" s="119">
        <f>IFERROR(__xludf.DUMMYFUNCTION("IFNA(QUERY(OptionsPositions, ""SELECT SUM(U) WHERE A = '"" &amp; A5 &amp; ""' LABEL SUM(U) ''""), 0)"),0.0)</f>
        <v>0</v>
      </c>
      <c r="R5" s="120">
        <f>IFERROR(__xludf.DUMMYFUNCTION("IFNA(QUERY(OptionsPositions, ""SELECT SUM(V) WHERE A = '"" &amp; A5 &amp; ""' LABEL SUM(V) ''""), 0)"),0.0)</f>
        <v>0</v>
      </c>
      <c r="S5" s="120">
        <f>IFERROR(__xludf.DUMMYFUNCTION("IFNA(QUERY(OptionsPositions, ""SELECT SUM(W) WHERE A = '"" &amp; A5 &amp; ""' LABEL SUM(W) ''""), 0)"),0.0)</f>
        <v>0</v>
      </c>
      <c r="T5" s="120">
        <f>IFERROR(__xludf.DUMMYFUNCTION("IFNA(QUERY(OptionsPositions, ""SELECT SUM(X) WHERE A = '"" &amp; A5 &amp; ""' LABEL SUM(X) ''""), 0)"),0.0)</f>
        <v>0</v>
      </c>
      <c r="U5" s="117" t="str">
        <f>IFERROR(__xludf.DUMMYFUNCTION("IFNA(QUERY(OptionsPositions, ""SELECT AVG(Y) WHERE A = '"" &amp; A5 &amp; ""' LABEL AVG(Y) ''""), 0)"),"")</f>
        <v/>
      </c>
      <c r="V5" s="121">
        <f>IFERROR(__xludf.DUMMYFUNCTION("IFNA(QUERY(OptionsPositions, ""SELECT SUM(Z) WHERE A = '"" &amp; A5 &amp; ""' LABEL SUM(Z) ''""), 0)"),67.96)</f>
        <v>67.96</v>
      </c>
      <c r="W5" s="117">
        <f>IFERROR(__xludf.DUMMYFUNCTION("IFNA(QUERY(OptionsPositions, ""SELECT AVG(AA) WHERE A = '"" &amp; A5 &amp; ""' LABEL AVG(AA) ''""), 0)"),56.75675675675676)</f>
        <v>56.75675676</v>
      </c>
      <c r="X5" s="122" t="str">
        <f>IFERROR(__xludf.DUMMYFUNCTION("IFNA(QUERY(OptionsPositions, ""SELECT AVG(AB) WHERE A = '"" &amp; A5 &amp; ""' LABEL AVG(AB) ''""), 0)"),"")</f>
        <v/>
      </c>
      <c r="Y5" s="123">
        <f t="shared" si="3"/>
        <v>0</v>
      </c>
      <c r="Z5" s="118">
        <f>IFERROR(__xludf.DUMMYFUNCTION("QUERY(OptionsPositions, ""SELECT SUM(L) WHERE A = '"" &amp; A5 &amp; ""' LABEL SUM(L) ''"")"),0.3)</f>
        <v>0.3</v>
      </c>
    </row>
    <row r="6" ht="22.5" customHeight="1">
      <c r="A6" s="3" t="s">
        <v>366</v>
      </c>
      <c r="B6" s="112">
        <f>IFERROR(__xludf.DUMMYFUNCTION("IF(COUNT(QUERY(OptionsPositions, ""SELECT 1 WHERE A = '"" &amp; A6  &amp; ""' AND C is not null AND E is null""))&gt;0, QUERY(OptionsPositions, ""SELECT C WHERE A = '"" &amp; A6  &amp; ""' AND E is null ORDER BY C ASC LIMIT 1""), """")"),46077.0)</f>
        <v>46077</v>
      </c>
      <c r="C6" s="26" t="str">
        <f>IFERROR(__xludf.DUMMYFUNCTION("IF(COUNT(QUERY(OptionsPositions, ""SELECT 1 WHERE A = '"" &amp; A6  &amp; ""' AND C is not null AND E is null""))&gt;0, """", QUERY(OptionsPositions, ""SELECT E WHERE A = '"" &amp; A6  &amp; ""' ORDER BY E DESC LIMIT 1""))"),"")</f>
        <v/>
      </c>
      <c r="D6" s="113">
        <f>IF(OptionInstruments[Opened] &lt;&gt; "",IF(OptionInstruments[Closed] = "", TODAY(), OptionInstruments[Closed]) - OptionInstruments[Opened], "")</f>
        <v>23</v>
      </c>
      <c r="E6" s="113">
        <f>IFERROR(__xludf.DUMMYFUNCTION("IFNA(QUERY(OptionsPositions, ""SELECT D WHERE A = '"" &amp; A6 &amp; ""' AND E IS null ORDER BY D LIMIT 1"") - TODAY(), 0)"),29.0)</f>
        <v>29</v>
      </c>
      <c r="F6" s="114" t="str">
        <f t="shared" si="1"/>
        <v>Open</v>
      </c>
      <c r="G6" s="115" t="str">
        <f>IFERROR(__xludf.DUMMYFUNCTION("QUERY(TradeLog, ""SELECT G WHERE A = '"" &amp; A6 &amp; ""' ORDER BY G DESC LIMIT 1"")"),"Speculative")</f>
        <v>Speculative</v>
      </c>
      <c r="H6" s="116" t="str">
        <f>IFERROR(__xludf.DUMMYFUNCTION("IFNA(QUERY(TradeLog, ""SELECT C WHERE A = '"" &amp; A6 &amp; ""' ORDER BY B DESC LIMIT 1""), """")"),"Long Call")</f>
        <v>Long Call</v>
      </c>
      <c r="I6" s="14" t="str">
        <f>IFERROR(__xludf.DUMMYFUNCTION("TEXTJOIN("", "", TRUE,IFNA(QUERY(OptionsPositions, ""SELECT H WHERE A = '"" &amp; A6  &amp; ""' AND C is not null AND E is null ORDER BY H""), """"))"),"70")</f>
        <v>70</v>
      </c>
      <c r="J6" s="14" t="str">
        <f>IFERROR(__xludf.DUMMYFUNCTION("QUERY(TradeLog, ""SELECT S WHERE A = '"" &amp; A6 &amp; ""' ORDER BY B DESC LIMIT 1"")  "),"")</f>
        <v/>
      </c>
      <c r="K6" s="117">
        <f t="shared" si="2"/>
        <v>-6.799</v>
      </c>
      <c r="L6" s="117">
        <f>IFERROR(__xludf.DUMMYFUNCTION("IFNA(QUERY(OptionsPositions, ""SELECT SUM(P) WHERE A = '"" &amp; A6 &amp; ""' LABEL SUM(P) ''""), 0)"),-6.7989999999999995)</f>
        <v>-6.799</v>
      </c>
      <c r="M6" s="118">
        <f>IFERROR(__xludf.DUMMYFUNCTION("IFNA(ROUND(QUERY(OptionsPositions, ""SELECT AVG(Q) WHERE A = '"" &amp; A6 &amp; ""' LABEL AVG(Q) ''""), 2), 0)"),-30.0)</f>
        <v>-30</v>
      </c>
      <c r="N6" s="117">
        <f>IFERROR(__xludf.DUMMYFUNCTION("IFNA(QUERY(OptionsPositions, ""SELECT SUM(R) WHERE A = '"" &amp; A6 &amp; ""' LABEL SUM(R) ''""), 0)"),0.0)</f>
        <v>0</v>
      </c>
      <c r="O6" s="117">
        <f>IFERROR(__xludf.DUMMYFUNCTION("IFNA(QUERY(OptionsPositions, ""SELECT AVG(S) WHERE A = '"" &amp; A6 &amp; ""' LABEL AVG(S) ''""), 0)"),0.0)</f>
        <v>0</v>
      </c>
      <c r="P6" s="118">
        <f>IFERROR(__xludf.DUMMYFUNCTION("IFNA(QUERY(OptionsPositions, ""SELECT SUM(T) WHERE A = '"" &amp; A6 &amp; ""' LABEL SUM(T) ''""), 0)"),0.16)</f>
        <v>0.16</v>
      </c>
      <c r="Q6" s="119">
        <f>IFERROR(__xludf.DUMMYFUNCTION("IFNA(QUERY(OptionsPositions, ""SELECT SUM(U) WHERE A = '"" &amp; A6 &amp; ""' LABEL SUM(U) ''""), 0)"),0.0564043)</f>
        <v>0.0564043</v>
      </c>
      <c r="R6" s="120">
        <f>IFERROR(__xludf.DUMMYFUNCTION("IFNA(QUERY(OptionsPositions, ""SELECT SUM(V) WHERE A = '"" &amp; A6 &amp; ""' LABEL SUM(V) ''""), 0)"),-0.00823187)</f>
        <v>-0.00823187</v>
      </c>
      <c r="S6" s="120">
        <f>IFERROR(__xludf.DUMMYFUNCTION("IFNA(QUERY(OptionsPositions, ""SELECT SUM(W) WHERE A = '"" &amp; A6 &amp; ""' LABEL SUM(W) ''""), 0)"),0.02065026)</f>
        <v>0.02065026</v>
      </c>
      <c r="T6" s="120">
        <f>IFERROR(__xludf.DUMMYFUNCTION("IFNA(QUERY(OptionsPositions, ""SELECT SUM(X) WHERE A = '"" &amp; A6 &amp; ""' LABEL SUM(X) ''""), 0)"),0.02131758)</f>
        <v>0.02131758</v>
      </c>
      <c r="U6" s="117">
        <f>IFERROR(__xludf.DUMMYFUNCTION("IFNA(QUERY(OptionsPositions, ""SELECT AVG(Y) WHERE A = '"" &amp; A6 &amp; ""' LABEL AVG(Y) ''""), 0)"),27.0)</f>
        <v>27</v>
      </c>
      <c r="V6" s="121">
        <f>IFERROR(__xludf.DUMMYFUNCTION("IFNA(QUERY(OptionsPositions, ""SELECT SUM(Z) WHERE A = '"" &amp; A6 &amp; ""' LABEL SUM(Z) ''""), 0)"),23.32)</f>
        <v>23.32</v>
      </c>
      <c r="W6" s="117">
        <f>IFERROR(__xludf.DUMMYFUNCTION("IFNA(QUERY(OptionsPositions, ""SELECT AVG(AA) WHERE A = '"" &amp; A6 &amp; ""' LABEL AVG(AA) ''""), 0)"),-88609.61538461539)</f>
        <v>-88609.61538</v>
      </c>
      <c r="X6" s="122">
        <f>IFERROR(__xludf.DUMMYFUNCTION("IFNA(QUERY(OptionsPositions, ""SELECT AVG(AB) WHERE A = '"" &amp; A6 &amp; ""' LABEL AVG(AB) ''""), 0)"),2953.653846153846)</f>
        <v>2953.653846</v>
      </c>
      <c r="Y6" s="123">
        <f t="shared" si="3"/>
        <v>-29.15523156</v>
      </c>
      <c r="Z6" s="118">
        <f>IFERROR(__xludf.DUMMYFUNCTION("QUERY(OptionsPositions, ""SELECT SUM(L) WHERE A = '"" &amp; A6 &amp; ""' LABEL SUM(L) ''"")"),0.16)</f>
        <v>0.16</v>
      </c>
    </row>
    <row r="7" ht="22.5" customHeight="1">
      <c r="A7" s="3" t="s">
        <v>145</v>
      </c>
      <c r="B7" s="112" t="str">
        <f>IFERROR(__xludf.DUMMYFUNCTION("IF(COUNT(QUERY(OptionsPositions, ""SELECT 1 WHERE A = '"" &amp; A7  &amp; ""' AND C is not null AND E is null""))&gt;0, QUERY(OptionsPositions, ""SELECT C WHERE A = '"" &amp; A7  &amp; ""' AND E is null ORDER BY C ASC LIMIT 1""), """")"),"")</f>
        <v/>
      </c>
      <c r="C7" s="26">
        <f>IFERROR(__xludf.DUMMYFUNCTION("IF(COUNT(QUERY(OptionsPositions, ""SELECT 1 WHERE A = '"" &amp; A7  &amp; ""' AND C is not null AND E is null""))&gt;0, """", QUERY(OptionsPositions, ""SELECT E WHERE A = '"" &amp; A7  &amp; ""' ORDER BY E DESC LIMIT 1""))"),46058.0)</f>
        <v>46058</v>
      </c>
      <c r="D7" s="113" t="str">
        <f>IF(OptionInstruments[Opened] &lt;&gt; "",IF(OptionInstruments[Closed] = "", TODAY(), OptionInstruments[Closed]) - OptionInstruments[Opened], "")</f>
        <v/>
      </c>
      <c r="E7" s="113">
        <f>IFERROR(__xludf.DUMMYFUNCTION("IFNA(QUERY(OptionsPositions, ""SELECT D WHERE A = '"" &amp; A7 &amp; ""' AND E IS null ORDER BY D LIMIT 1"") - TODAY(), 0)"),0.0)</f>
        <v>0</v>
      </c>
      <c r="F7" s="114" t="str">
        <f t="shared" si="1"/>
        <v>Closed</v>
      </c>
      <c r="G7" s="115" t="str">
        <f>IFERROR(__xludf.DUMMYFUNCTION("QUERY(TradeLog, ""SELECT G WHERE A = '"" &amp; A7 &amp; ""' ORDER BY G DESC LIMIT 1"")"),"Speculative")</f>
        <v>Speculative</v>
      </c>
      <c r="H7" s="116" t="str">
        <f>IFERROR(__xludf.DUMMYFUNCTION("IFNA(QUERY(TradeLog, ""SELECT C WHERE A = '"" &amp; A7 &amp; ""' ORDER BY B DESC LIMIT 1""), """")"),"Long Stock")</f>
        <v>Long Stock</v>
      </c>
      <c r="I7" s="14" t="str">
        <f>IFERROR(__xludf.DUMMYFUNCTION("TEXTJOIN("", "", TRUE,IFNA(QUERY(OptionsPositions, ""SELECT H WHERE A = '"" &amp; A7  &amp; ""' AND C is not null AND E is null ORDER BY H""), """"))"),"")</f>
        <v/>
      </c>
      <c r="J7" s="14" t="str">
        <f>IFERROR(__xludf.DUMMYFUNCTION("QUERY(TradeLog, ""SELECT S WHERE A = '"" &amp; A7 &amp; ""' ORDER BY B DESC LIMIT 1"")  "),"")</f>
        <v/>
      </c>
      <c r="K7" s="117">
        <f t="shared" si="2"/>
        <v>-33.049</v>
      </c>
      <c r="L7" s="117">
        <f>IFERROR(__xludf.DUMMYFUNCTION("IFNA(QUERY(OptionsPositions, ""SELECT SUM(P) WHERE A = '"" &amp; A7 &amp; ""' LABEL SUM(P) ''""), 0)"),0.0)</f>
        <v>0</v>
      </c>
      <c r="M7" s="118">
        <f>IFERROR(__xludf.DUMMYFUNCTION("IFNA(ROUND(QUERY(OptionsPositions, ""SELECT AVG(Q) WHERE A = '"" &amp; A7 &amp; ""' LABEL AVG(Q) ''""), 2), 0)"),0.0)</f>
        <v>0</v>
      </c>
      <c r="N7" s="117">
        <f>IFERROR(__xludf.DUMMYFUNCTION("IFNA(QUERY(OptionsPositions, ""SELECT SUM(R) WHERE A = '"" &amp; A7 &amp; ""' LABEL SUM(R) ''""), 0)"),-33.049)</f>
        <v>-33.049</v>
      </c>
      <c r="O7" s="117">
        <f>IFERROR(__xludf.DUMMYFUNCTION("IFNA(QUERY(OptionsPositions, ""SELECT AVG(S) WHERE A = '"" &amp; A7 &amp; ""' LABEL AVG(S) ''""), 0)"),-50.0)</f>
        <v>-50</v>
      </c>
      <c r="P7" s="118">
        <f>IFERROR(__xludf.DUMMYFUNCTION("IFNA(QUERY(OptionsPositions, ""SELECT SUM(T) WHERE A = '"" &amp; A7 &amp; ""' LABEL SUM(T) ''""), 0)"),0.0)</f>
        <v>0</v>
      </c>
      <c r="Q7" s="119">
        <f>IFERROR(__xludf.DUMMYFUNCTION("IFNA(QUERY(OptionsPositions, ""SELECT SUM(U) WHERE A = '"" &amp; A7 &amp; ""' LABEL SUM(U) ''""), 0)"),0.0)</f>
        <v>0</v>
      </c>
      <c r="R7" s="120">
        <f>IFERROR(__xludf.DUMMYFUNCTION("IFNA(QUERY(OptionsPositions, ""SELECT SUM(V) WHERE A = '"" &amp; A7 &amp; ""' LABEL SUM(V) ''""), 0)"),0.0)</f>
        <v>0</v>
      </c>
      <c r="S7" s="120">
        <f>IFERROR(__xludf.DUMMYFUNCTION("IFNA(QUERY(OptionsPositions, ""SELECT SUM(W) WHERE A = '"" &amp; A7 &amp; ""' LABEL SUM(W) ''""), 0)"),0.0)</f>
        <v>0</v>
      </c>
      <c r="T7" s="120">
        <f>IFERROR(__xludf.DUMMYFUNCTION("IFNA(QUERY(OptionsPositions, ""SELECT SUM(X) WHERE A = '"" &amp; A7 &amp; ""' LABEL SUM(X) ''""), 0)"),0.0)</f>
        <v>0</v>
      </c>
      <c r="U7" s="117" t="str">
        <f>IFERROR(__xludf.DUMMYFUNCTION("IFNA(QUERY(OptionsPositions, ""SELECT AVG(Y) WHERE A = '"" &amp; A7 &amp; ""' LABEL AVG(Y) ''""), 0)"),"")</f>
        <v/>
      </c>
      <c r="V7" s="121">
        <f>IFERROR(__xludf.DUMMYFUNCTION("IFNA(QUERY(OptionsPositions, ""SELECT SUM(Z) WHERE A = '"" &amp; A7 &amp; ""' LABEL SUM(Z) ''""), 0)"),155.6)</f>
        <v>155.6</v>
      </c>
      <c r="W7" s="117">
        <f>IFERROR(__xludf.DUMMYFUNCTION("IFNA(QUERY(OptionsPositions, ""SELECT AVG(AA) WHERE A = '"" &amp; A7 &amp; ""' LABEL AVG(AA) ''""), 0)"),65.11627906976744)</f>
        <v>65.11627907</v>
      </c>
      <c r="X7" s="122" t="str">
        <f>IFERROR(__xludf.DUMMYFUNCTION("IFNA(QUERY(OptionsPositions, ""SELECT AVG(AB) WHERE A = '"" &amp; A7 &amp; ""' LABEL AVG(AB) ''""), 0)"),"")</f>
        <v/>
      </c>
      <c r="Y7" s="123">
        <f t="shared" si="3"/>
        <v>0</v>
      </c>
      <c r="Z7" s="118">
        <f>IFERROR(__xludf.DUMMYFUNCTION("QUERY(OptionsPositions, ""SELECT SUM(L) WHERE A = '"" &amp; A7 &amp; ""' LABEL SUM(L) ''"")"),1.39)</f>
        <v>1.39</v>
      </c>
    </row>
    <row r="8" ht="22.5" customHeight="1">
      <c r="A8" s="3" t="s">
        <v>150</v>
      </c>
      <c r="B8" s="112" t="str">
        <f>IFERROR(__xludf.DUMMYFUNCTION("IF(COUNT(QUERY(OptionsPositions, ""SELECT 1 WHERE A = '"" &amp; A8  &amp; ""' AND C is not null AND E is null""))&gt;0, QUERY(OptionsPositions, ""SELECT C WHERE A = '"" &amp; A8  &amp; ""' AND E is null ORDER BY C ASC LIMIT 1""), """")"),"")</f>
        <v/>
      </c>
      <c r="C8" s="26">
        <f>IFERROR(__xludf.DUMMYFUNCTION("IF(COUNT(QUERY(OptionsPositions, ""SELECT 1 WHERE A = '"" &amp; A8  &amp; ""' AND C is not null AND E is null""))&gt;0, """", QUERY(OptionsPositions, ""SELECT E WHERE A = '"" &amp; A8  &amp; ""' ORDER BY E DESC LIMIT 1""))"),46067.0)</f>
        <v>46067</v>
      </c>
      <c r="D8" s="113" t="str">
        <f>IF(OptionInstruments[Opened] &lt;&gt; "",IF(OptionInstruments[Closed] = "", TODAY(), OptionInstruments[Closed]) - OptionInstruments[Opened], "")</f>
        <v/>
      </c>
      <c r="E8" s="113">
        <f>IFERROR(__xludf.DUMMYFUNCTION("IFNA(QUERY(OptionsPositions, ""SELECT D WHERE A = '"" &amp; A8 &amp; ""' AND E IS null ORDER BY D LIMIT 1"") - TODAY(), 0)"),0.0)</f>
        <v>0</v>
      </c>
      <c r="F8" s="114" t="str">
        <f t="shared" si="1"/>
        <v>Closed</v>
      </c>
      <c r="G8" s="115" t="str">
        <f>IFERROR(__xludf.DUMMYFUNCTION("QUERY(TradeLog, ""SELECT G WHERE A = '"" &amp; A8 &amp; ""' ORDER BY G DESC LIMIT 1"")"),"Speculative")</f>
        <v>Speculative</v>
      </c>
      <c r="H8" s="116" t="str">
        <f>IFERROR(__xludf.DUMMYFUNCTION("IFNA(QUERY(TradeLog, ""SELECT C WHERE A = '"" &amp; A8 &amp; ""' ORDER BY B DESC LIMIT 1""), """")"),"Long Call")</f>
        <v>Long Call</v>
      </c>
      <c r="I8" s="14" t="str">
        <f>IFERROR(__xludf.DUMMYFUNCTION("TEXTJOIN("", "", TRUE,IFNA(QUERY(OptionsPositions, ""SELECT H WHERE A = '"" &amp; A8  &amp; ""' AND C is not null AND E is null ORDER BY H""), """"))"),"")</f>
        <v/>
      </c>
      <c r="J8" s="14" t="str">
        <f>IFERROR(__xludf.DUMMYFUNCTION("QUERY(TradeLog, ""SELECT S WHERE A = '"" &amp; A8 &amp; ""' ORDER BY B DESC LIMIT 1"")  "),"")</f>
        <v/>
      </c>
      <c r="K8" s="117">
        <f t="shared" si="2"/>
        <v>-5.539</v>
      </c>
      <c r="L8" s="117">
        <f>IFERROR(__xludf.DUMMYFUNCTION("IFNA(QUERY(OptionsPositions, ""SELECT SUM(P) WHERE A = '"" &amp; A8 &amp; ""' LABEL SUM(P) ''""), 0)"),0.0)</f>
        <v>0</v>
      </c>
      <c r="M8" s="118">
        <f>IFERROR(__xludf.DUMMYFUNCTION("IFNA(ROUND(QUERY(OptionsPositions, ""SELECT AVG(Q) WHERE A = '"" &amp; A8 &amp; ""' LABEL AVG(Q) ''""), 2), 0)"),0.0)</f>
        <v>0</v>
      </c>
      <c r="N8" s="117">
        <f>IFERROR(__xludf.DUMMYFUNCTION("IFNA(QUERY(OptionsPositions, ""SELECT SUM(R) WHERE A = '"" &amp; A8 &amp; ""' LABEL SUM(R) ''""), 0)"),-5.538999999999999)</f>
        <v>-5.539</v>
      </c>
      <c r="O8" s="117">
        <f>IFERROR(__xludf.DUMMYFUNCTION("IFNA(QUERY(OptionsPositions, ""SELECT AVG(S) WHERE A = '"" &amp; A8 &amp; ""' LABEL AVG(S) ''""), 0)"),-30.0)</f>
        <v>-30</v>
      </c>
      <c r="P8" s="118">
        <f>IFERROR(__xludf.DUMMYFUNCTION("IFNA(QUERY(OptionsPositions, ""SELECT SUM(T) WHERE A = '"" &amp; A8 &amp; ""' LABEL SUM(T) ''""), 0)"),0.0)</f>
        <v>0</v>
      </c>
      <c r="Q8" s="119">
        <f>IFERROR(__xludf.DUMMYFUNCTION("IFNA(QUERY(OptionsPositions, ""SELECT SUM(U) WHERE A = '"" &amp; A8 &amp; ""' LABEL SUM(U) ''""), 0)"),0.0)</f>
        <v>0</v>
      </c>
      <c r="R8" s="120">
        <f>IFERROR(__xludf.DUMMYFUNCTION("IFNA(QUERY(OptionsPositions, ""SELECT SUM(V) WHERE A = '"" &amp; A8 &amp; ""' LABEL SUM(V) ''""), 0)"),0.0)</f>
        <v>0</v>
      </c>
      <c r="S8" s="120">
        <f>IFERROR(__xludf.DUMMYFUNCTION("IFNA(QUERY(OptionsPositions, ""SELECT SUM(W) WHERE A = '"" &amp; A8 &amp; ""' LABEL SUM(W) ''""), 0)"),0.0)</f>
        <v>0</v>
      </c>
      <c r="T8" s="120">
        <f>IFERROR(__xludf.DUMMYFUNCTION("IFNA(QUERY(OptionsPositions, ""SELECT SUM(X) WHERE A = '"" &amp; A8 &amp; ""' LABEL SUM(X) ''""), 0)"),0.0)</f>
        <v>0</v>
      </c>
      <c r="U8" s="117" t="str">
        <f>IFERROR(__xludf.DUMMYFUNCTION("IFNA(QUERY(OptionsPositions, ""SELECT AVG(Y) WHERE A = '"" &amp; A8 &amp; ""' LABEL AVG(Y) ''""), 0)"),"")</f>
        <v/>
      </c>
      <c r="V8" s="121">
        <f>IFERROR(__xludf.DUMMYFUNCTION("IFNA(QUERY(OptionsPositions, ""SELECT SUM(Z) WHERE A = '"" &amp; A8 &amp; ""' LABEL SUM(Z) ''""), 0)"),31.15)</f>
        <v>31.15</v>
      </c>
      <c r="W8" s="117">
        <f>IFERROR(__xludf.DUMMYFUNCTION("IFNA(QUERY(OptionsPositions, ""SELECT AVG(AA) WHERE A = '"" &amp; A8 &amp; ""' LABEL AVG(AA) ''""), 0)"),26.08695652173913)</f>
        <v>26.08695652</v>
      </c>
      <c r="X8" s="122" t="str">
        <f>IFERROR(__xludf.DUMMYFUNCTION("IFNA(QUERY(OptionsPositions, ""SELECT AVG(AB) WHERE A = '"" &amp; A8 &amp; ""' LABEL AVG(AB) ''""), 0)"),"")</f>
        <v/>
      </c>
      <c r="Y8" s="123">
        <f t="shared" si="3"/>
        <v>0</v>
      </c>
      <c r="Z8" s="118">
        <f>IFERROR(__xludf.DUMMYFUNCTION("QUERY(OptionsPositions, ""SELECT SUM(L) WHERE A = '"" &amp; A8 &amp; ""' LABEL SUM(L) ''"")"),0.25)</f>
        <v>0.25</v>
      </c>
    </row>
    <row r="9" ht="22.5" customHeight="1">
      <c r="A9" s="3" t="s">
        <v>155</v>
      </c>
      <c r="B9" s="112" t="str">
        <f>IFERROR(__xludf.DUMMYFUNCTION("IF(COUNT(QUERY(OptionsPositions, ""SELECT 1 WHERE A = '"" &amp; A9  &amp; ""' AND C is not null AND E is null""))&gt;0, QUERY(OptionsPositions, ""SELECT C WHERE A = '"" &amp; A9  &amp; ""' AND E is null ORDER BY C ASC LIMIT 1""), """")"),"")</f>
        <v/>
      </c>
      <c r="C9" s="26">
        <f>IFERROR(__xludf.DUMMYFUNCTION("IF(COUNT(QUERY(OptionsPositions, ""SELECT 1 WHERE A = '"" &amp; A9  &amp; ""' AND C is not null AND E is null""))&gt;0, """", QUERY(OptionsPositions, ""SELECT E WHERE A = '"" &amp; A9  &amp; ""' ORDER BY E DESC LIMIT 1""))"),46057.0)</f>
        <v>46057</v>
      </c>
      <c r="D9" s="113" t="str">
        <f>IF(OptionInstruments[Opened] &lt;&gt; "",IF(OptionInstruments[Closed] = "", TODAY(), OptionInstruments[Closed]) - OptionInstruments[Opened], "")</f>
        <v/>
      </c>
      <c r="E9" s="113">
        <f>IFERROR(__xludf.DUMMYFUNCTION("IFNA(QUERY(OptionsPositions, ""SELECT D WHERE A = '"" &amp; A9 &amp; ""' AND E IS null ORDER BY D LIMIT 1"") - TODAY(), 0)"),0.0)</f>
        <v>0</v>
      </c>
      <c r="F9" s="114" t="str">
        <f t="shared" si="1"/>
        <v>Closed</v>
      </c>
      <c r="G9" s="115" t="str">
        <f>IFERROR(__xludf.DUMMYFUNCTION("QUERY(TradeLog, ""SELECT G WHERE A = '"" &amp; A9 &amp; ""' ORDER BY G DESC LIMIT 1"")"),"Speculative")</f>
        <v>Speculative</v>
      </c>
      <c r="H9" s="116" t="str">
        <f>IFERROR(__xludf.DUMMYFUNCTION("IFNA(QUERY(TradeLog, ""SELECT C WHERE A = '"" &amp; A9 &amp; ""' ORDER BY B DESC LIMIT 1""), """")"),"Long Put Vertical")</f>
        <v>Long Put Vertical</v>
      </c>
      <c r="I9" s="14" t="str">
        <f>IFERROR(__xludf.DUMMYFUNCTION("TEXTJOIN("", "", TRUE,IFNA(QUERY(OptionsPositions, ""SELECT H WHERE A = '"" &amp; A9  &amp; ""' AND C is not null AND E is null ORDER BY H""), """"))"),"")</f>
        <v/>
      </c>
      <c r="J9" s="14" t="str">
        <f>IFERROR(__xludf.DUMMYFUNCTION("QUERY(TradeLog, ""SELECT S WHERE A = '"" &amp; A9 &amp; ""' ORDER BY B DESC LIMIT 1"")  "),"Break back above 300")</f>
        <v>Break back above 300</v>
      </c>
      <c r="K9" s="117">
        <f t="shared" si="2"/>
        <v>250.499</v>
      </c>
      <c r="L9" s="117">
        <f>IFERROR(__xludf.DUMMYFUNCTION("IFNA(QUERY(OptionsPositions, ""SELECT SUM(P) WHERE A = '"" &amp; A9 &amp; ""' LABEL SUM(P) ''""), 0)"),0.0)</f>
        <v>0</v>
      </c>
      <c r="M9" s="118">
        <f>IFERROR(__xludf.DUMMYFUNCTION("IFNA(ROUND(QUERY(OptionsPositions, ""SELECT AVG(Q) WHERE A = '"" &amp; A9 &amp; ""' LABEL AVG(Q) ''""), 2), 0)"),0.0)</f>
        <v>0</v>
      </c>
      <c r="N9" s="117">
        <f>IFERROR(__xludf.DUMMYFUNCTION("IFNA(QUERY(OptionsPositions, ""SELECT SUM(R) WHERE A = '"" &amp; A9 &amp; ""' LABEL SUM(R) ''""), 0)"),250.49900000000014)</f>
        <v>250.499</v>
      </c>
      <c r="O9" s="117">
        <f>IFERROR(__xludf.DUMMYFUNCTION("IFNA(QUERY(OptionsPositions, ""SELECT AVG(S) WHERE A = '"" &amp; A9 &amp; ""' LABEL AVG(S) ''""), 0)"),-5.000000000000014)</f>
        <v>-5</v>
      </c>
      <c r="P9" s="118">
        <f>IFERROR(__xludf.DUMMYFUNCTION("IFNA(QUERY(OptionsPositions, ""SELECT SUM(T) WHERE A = '"" &amp; A9 &amp; ""' LABEL SUM(T) ''""), 0)"),0.0)</f>
        <v>0</v>
      </c>
      <c r="Q9" s="119">
        <f>IFERROR(__xludf.DUMMYFUNCTION("IFNA(QUERY(OptionsPositions, ""SELECT SUM(U) WHERE A = '"" &amp; A9 &amp; ""' LABEL SUM(U) ''""), 0)"),0.0)</f>
        <v>0</v>
      </c>
      <c r="R9" s="120">
        <f>IFERROR(__xludf.DUMMYFUNCTION("IFNA(QUERY(OptionsPositions, ""SELECT SUM(V) WHERE A = '"" &amp; A9 &amp; ""' LABEL SUM(V) ''""), 0)"),0.0)</f>
        <v>0</v>
      </c>
      <c r="S9" s="120">
        <f>IFERROR(__xludf.DUMMYFUNCTION("IFNA(QUERY(OptionsPositions, ""SELECT SUM(W) WHERE A = '"" &amp; A9 &amp; ""' LABEL SUM(W) ''""), 0)"),0.0)</f>
        <v>0</v>
      </c>
      <c r="T9" s="120">
        <f>IFERROR(__xludf.DUMMYFUNCTION("IFNA(QUERY(OptionsPositions, ""SELECT SUM(X) WHERE A = '"" &amp; A9 &amp; ""' LABEL SUM(X) ''""), 0)"),0.0)</f>
        <v>0</v>
      </c>
      <c r="U9" s="117" t="str">
        <f>IFERROR(__xludf.DUMMYFUNCTION("IFNA(QUERY(OptionsPositions, ""SELECT AVG(Y) WHERE A = '"" &amp; A9 &amp; ""' LABEL AVG(Y) ''""), 0)"),"")</f>
        <v/>
      </c>
      <c r="V9" s="121">
        <f>IFERROR(__xludf.DUMMYFUNCTION("IFNA(QUERY(OptionsPositions, ""SELECT SUM(Z) WHERE A = '"" &amp; A9 &amp; ""' LABEL SUM(Z) ''""), 0)"),2415.65)</f>
        <v>2415.65</v>
      </c>
      <c r="W9" s="117" t="str">
        <f>IFERROR(__xludf.DUMMYFUNCTION("IFNA(QUERY(OptionsPositions, ""SELECT AVG(AA) WHERE A = '"" &amp; A9 &amp; ""' LABEL AVG(AA) ''""), 0)"),"")</f>
        <v/>
      </c>
      <c r="X9" s="122" t="str">
        <f>IFERROR(__xludf.DUMMYFUNCTION("IFNA(QUERY(OptionsPositions, ""SELECT AVG(AB) WHERE A = '"" &amp; A9 &amp; ""' LABEL AVG(AB) ''""), 0)"),"")</f>
        <v/>
      </c>
      <c r="Y9" s="123">
        <f t="shared" si="3"/>
        <v>0</v>
      </c>
      <c r="Z9" s="118">
        <f>IFERROR(__xludf.DUMMYFUNCTION("QUERY(OptionsPositions, ""SELECT SUM(L) WHERE A = '"" &amp; A9 &amp; ""' LABEL SUM(L) ''"")"),14.7)</f>
        <v>14.7</v>
      </c>
    </row>
    <row r="10" ht="22.5" customHeight="1">
      <c r="A10" s="3" t="s">
        <v>161</v>
      </c>
      <c r="B10" s="112">
        <f>IFERROR(__xludf.DUMMYFUNCTION("IF(COUNT(QUERY(OptionsPositions, ""SELECT 1 WHERE A = '"" &amp; A10  &amp; ""' AND C is not null AND E is null""))&gt;0, QUERY(OptionsPositions, ""SELECT C WHERE A = '"" &amp; A10  &amp; ""' AND E is null ORDER BY C ASC LIMIT 1""), """")"),46059.0)</f>
        <v>46059</v>
      </c>
      <c r="C10" s="26" t="str">
        <f>IFERROR(__xludf.DUMMYFUNCTION("IF(COUNT(QUERY(OptionsPositions, ""SELECT 1 WHERE A = '"" &amp; A10  &amp; ""' AND C is not null AND E is null""))&gt;0, """", QUERY(OptionsPositions, ""SELECT E WHERE A = '"" &amp; A10  &amp; ""' ORDER BY E DESC LIMIT 1""))"),"")</f>
        <v/>
      </c>
      <c r="D10" s="113">
        <f>IF(OptionInstruments[Opened] &lt;&gt; "",IF(OptionInstruments[Closed] = "", TODAY(), OptionInstruments[Closed]) - OptionInstruments[Opened], "")</f>
        <v>41</v>
      </c>
      <c r="E10" s="113">
        <f>IFERROR(__xludf.DUMMYFUNCTION("IFNA(QUERY(OptionsPositions, ""SELECT D WHERE A = '"" &amp; A10 &amp; ""' AND E IS null ORDER BY D LIMIT 1"") - TODAY(), 0)"),1.0)</f>
        <v>1</v>
      </c>
      <c r="F10" s="114" t="str">
        <f t="shared" si="1"/>
        <v>Open</v>
      </c>
      <c r="G10" s="115" t="str">
        <f>IFERROR(__xludf.DUMMYFUNCTION("QUERY(TradeLog, ""SELECT G WHERE A = '"" &amp; A10 &amp; ""' ORDER BY G DESC LIMIT 1"")"),"Speculative")</f>
        <v>Speculative</v>
      </c>
      <c r="H10" s="116" t="str">
        <f>IFERROR(__xludf.DUMMYFUNCTION("IFNA(QUERY(TradeLog, ""SELECT C WHERE A = '"" &amp; A10 &amp; ""' ORDER BY B DESC LIMIT 1""), """")"),"Long Call")</f>
        <v>Long Call</v>
      </c>
      <c r="I10" s="14" t="str">
        <f>IFERROR(__xludf.DUMMYFUNCTION("TEXTJOIN("", "", TRUE,IFNA(QUERY(OptionsPositions, ""SELECT H WHERE A = '"" &amp; A10  &amp; ""' AND C is not null AND E is null ORDER BY H""), """"))"),"75")</f>
        <v>75</v>
      </c>
      <c r="J10" s="14" t="str">
        <f>IFERROR(__xludf.DUMMYFUNCTION("QUERY(TradeLog, ""SELECT S WHERE A = '"" &amp; A10 &amp; ""' ORDER BY B DESC LIMIT 1"")  "),"10 EMA")</f>
        <v>10 EMA</v>
      </c>
      <c r="K10" s="117">
        <f t="shared" si="2"/>
        <v>-33.049</v>
      </c>
      <c r="L10" s="117">
        <f>IFERROR(__xludf.DUMMYFUNCTION("IFNA(QUERY(OptionsPositions, ""SELECT SUM(P) WHERE A = '"" &amp; A10 &amp; ""' LABEL SUM(P) ''""), 0)"),-33.049)</f>
        <v>-33.049</v>
      </c>
      <c r="M10" s="118">
        <f>IFERROR(__xludf.DUMMYFUNCTION("IFNA(ROUND(QUERY(OptionsPositions, ""SELECT AVG(Q) WHERE A = '"" &amp; A10 &amp; ""' LABEL AVG(Q) ''""), 2), 0)"),-100.0)</f>
        <v>-100</v>
      </c>
      <c r="N10" s="117">
        <f>IFERROR(__xludf.DUMMYFUNCTION("IFNA(QUERY(OptionsPositions, ""SELECT SUM(R) WHERE A = '"" &amp; A10 &amp; ""' LABEL SUM(R) ''""), 0)"),0.0)</f>
        <v>0</v>
      </c>
      <c r="O10" s="117">
        <f>IFERROR(__xludf.DUMMYFUNCTION("IFNA(QUERY(OptionsPositions, ""SELECT AVG(S) WHERE A = '"" &amp; A10 &amp; ""' LABEL AVG(S) ''""), 0)"),0.0)</f>
        <v>0</v>
      </c>
      <c r="P10" s="118">
        <f>IFERROR(__xludf.DUMMYFUNCTION("IFNA(QUERY(OptionsPositions, ""SELECT SUM(T) WHERE A = '"" &amp; A10 &amp; ""' LABEL SUM(T) ''""), 0)"),0.0)</f>
        <v>0</v>
      </c>
      <c r="Q10" s="119">
        <f>IFERROR(__xludf.DUMMYFUNCTION("IFNA(QUERY(OptionsPositions, ""SELECT SUM(U) WHERE A = '"" &amp; A10 &amp; ""' LABEL SUM(U) ''""), 0)"),0.00818801)</f>
        <v>0.00818801</v>
      </c>
      <c r="R10" s="120">
        <f>IFERROR(__xludf.DUMMYFUNCTION("IFNA(QUERY(OptionsPositions, ""SELECT SUM(V) WHERE A = '"" &amp; A10 &amp; ""' LABEL SUM(V) ''""), 0)"),-0.00559754)</f>
        <v>-0.00559754</v>
      </c>
      <c r="S10" s="120">
        <f>IFERROR(__xludf.DUMMYFUNCTION("IFNA(QUERY(OptionsPositions, ""SELECT SUM(W) WHERE A = '"" &amp; A10 &amp; ""' LABEL SUM(W) ''""), 0)"),0.00370735)</f>
        <v>0.00370735</v>
      </c>
      <c r="T10" s="120">
        <f>IFERROR(__xludf.DUMMYFUNCTION("IFNA(QUERY(OptionsPositions, ""SELECT SUM(X) WHERE A = '"" &amp; A10 &amp; ""' LABEL SUM(X) ''""), 0)"),0.00199954)</f>
        <v>0.00199954</v>
      </c>
      <c r="U10" s="117">
        <f>IFERROR(__xludf.DUMMYFUNCTION("IFNA(QUERY(OptionsPositions, ""SELECT AVG(Y) WHERE A = '"" &amp; A10 &amp; ""' LABEL AVG(Y) ''""), 0)"),49.0)</f>
        <v>49</v>
      </c>
      <c r="V10" s="121">
        <f>IFERROR(__xludf.DUMMYFUNCTION("IFNA(QUERY(OptionsPositions, ""SELECT SUM(Z) WHERE A = '"" &amp; A10 &amp; ""' LABEL SUM(Z) ''""), 0)"),28.7)</f>
        <v>28.7</v>
      </c>
      <c r="W10" s="117">
        <f>IFERROR(__xludf.DUMMYFUNCTION("IFNA(QUERY(OptionsPositions, ""SELECT AVG(AA) WHERE A = '"" &amp; A10 &amp; ""' LABEL AVG(AA) ''""), 0)"),-109664.28571428571)</f>
        <v>-109664.2857</v>
      </c>
      <c r="X10" s="122">
        <f>IFERROR(__xludf.DUMMYFUNCTION("IFNA(QUERY(OptionsPositions, ""SELECT AVG(AB) WHERE A = '"" &amp; A10 &amp; ""' LABEL AVG(AB) ''""), 0)"),1096.642857142857)</f>
        <v>1096.642857</v>
      </c>
      <c r="Y10" s="123">
        <f t="shared" si="3"/>
        <v>-115.1533101</v>
      </c>
      <c r="Z10" s="118">
        <f>IFERROR(__xludf.DUMMYFUNCTION("QUERY(OptionsPositions, ""SELECT SUM(L) WHERE A = '"" &amp; A10 &amp; ""' LABEL SUM(L) ''"")"),0.0)</f>
        <v>0</v>
      </c>
    </row>
    <row r="11" ht="22.5" customHeight="1">
      <c r="A11" s="3" t="s">
        <v>141</v>
      </c>
      <c r="B11" s="112" t="str">
        <f>IFERROR(__xludf.DUMMYFUNCTION("IF(COUNT(QUERY(OptionsPositions, ""SELECT 1 WHERE A = '"" &amp; A11  &amp; ""' AND C is not null AND E is null""))&gt;0, QUERY(OptionsPositions, ""SELECT C WHERE A = '"" &amp; A11  &amp; ""' AND E is null ORDER BY C ASC LIMIT 1""), """")"),"")</f>
        <v/>
      </c>
      <c r="C11" s="26">
        <f>IFERROR(__xludf.DUMMYFUNCTION("IF(COUNT(QUERY(OptionsPositions, ""SELECT 1 WHERE A = '"" &amp; A11  &amp; ""' AND C is not null AND E is null""))&gt;0, """", QUERY(OptionsPositions, ""SELECT E WHERE A = '"" &amp; A11  &amp; ""' ORDER BY E DESC LIMIT 1""))"),46048.0)</f>
        <v>46048</v>
      </c>
      <c r="D11" s="113" t="str">
        <f>IF(OptionInstruments[Opened] &lt;&gt; "",IF(OptionInstruments[Closed] = "", TODAY(), OptionInstruments[Closed]) - OptionInstruments[Opened], "")</f>
        <v/>
      </c>
      <c r="E11" s="113">
        <f>IFERROR(__xludf.DUMMYFUNCTION("IFNA(QUERY(OptionsPositions, ""SELECT D WHERE A = '"" &amp; A11 &amp; ""' AND E IS null ORDER BY D LIMIT 1"") - TODAY(), 0)"),0.0)</f>
        <v>0</v>
      </c>
      <c r="F11" s="114" t="str">
        <f t="shared" si="1"/>
        <v>Closed</v>
      </c>
      <c r="G11" s="115" t="str">
        <f>IFERROR(__xludf.DUMMYFUNCTION("QUERY(TradeLog, ""SELECT G WHERE A = '"" &amp; A11 &amp; ""' ORDER BY G DESC LIMIT 1"")"),"Core")</f>
        <v>Core</v>
      </c>
      <c r="H11" s="116" t="str">
        <f>IFERROR(__xludf.DUMMYFUNCTION("IFNA(QUERY(TradeLog, ""SELECT C WHERE A = '"" &amp; A11 &amp; ""' ORDER BY B DESC LIMIT 1""), """")"),"Short Strangle")</f>
        <v>Short Strangle</v>
      </c>
      <c r="I11" s="14" t="str">
        <f>IFERROR(__xludf.DUMMYFUNCTION("TEXTJOIN("", "", TRUE,IFNA(QUERY(OptionsPositions, ""SELECT H WHERE A = '"" &amp; A11  &amp; ""' AND C is not null AND E is null ORDER BY H""), """"))"),"")</f>
        <v/>
      </c>
      <c r="J11" s="14" t="str">
        <f>IFERROR(__xludf.DUMMYFUNCTION("QUERY(TradeLog, ""SELECT S WHERE A = '"" &amp; A11 &amp; ""' ORDER BY B DESC LIMIT 1"")  "),"")</f>
        <v/>
      </c>
      <c r="K11" s="117">
        <f t="shared" si="2"/>
        <v>-509.347</v>
      </c>
      <c r="L11" s="117">
        <f>IFERROR(__xludf.DUMMYFUNCTION("IFNA(QUERY(OptionsPositions, ""SELECT SUM(P) WHERE A = '"" &amp; A11 &amp; ""' LABEL SUM(P) ''""), 0)"),0.0)</f>
        <v>0</v>
      </c>
      <c r="M11" s="118">
        <f>IFERROR(__xludf.DUMMYFUNCTION("IFNA(ROUND(QUERY(OptionsPositions, ""SELECT AVG(Q) WHERE A = '"" &amp; A11 &amp; ""' LABEL AVG(Q) ''""), 2), 0)"),0.0)</f>
        <v>0</v>
      </c>
      <c r="N11" s="117">
        <f>IFERROR(__xludf.DUMMYFUNCTION("IFNA(QUERY(OptionsPositions, ""SELECT SUM(R) WHERE A = '"" &amp; A11 &amp; ""' LABEL SUM(R) ''""), 0)"),-509.3469999999999)</f>
        <v>-509.347</v>
      </c>
      <c r="O11" s="117">
        <f>IFERROR(__xludf.DUMMYFUNCTION("IFNA(QUERY(OptionsPositions, ""SELECT AVG(S) WHERE A = '"" &amp; A11 &amp; ""' LABEL AVG(S) ''""), 0)"),-42.5)</f>
        <v>-42.5</v>
      </c>
      <c r="P11" s="118">
        <f>IFERROR(__xludf.DUMMYFUNCTION("IFNA(QUERY(OptionsPositions, ""SELECT SUM(T) WHERE A = '"" &amp; A11 &amp; ""' LABEL SUM(T) ''""), 0)"),0.0)</f>
        <v>0</v>
      </c>
      <c r="Q11" s="119">
        <f>IFERROR(__xludf.DUMMYFUNCTION("IFNA(QUERY(OptionsPositions, ""SELECT SUM(U) WHERE A = '"" &amp; A11 &amp; ""' LABEL SUM(U) ''""), 0)"),0.0)</f>
        <v>0</v>
      </c>
      <c r="R11" s="120">
        <f>IFERROR(__xludf.DUMMYFUNCTION("IFNA(QUERY(OptionsPositions, ""SELECT SUM(V) WHERE A = '"" &amp; A11 &amp; ""' LABEL SUM(V) ''""), 0)"),0.0)</f>
        <v>0</v>
      </c>
      <c r="S11" s="120">
        <f>IFERROR(__xludf.DUMMYFUNCTION("IFNA(QUERY(OptionsPositions, ""SELECT SUM(W) WHERE A = '"" &amp; A11 &amp; ""' LABEL SUM(W) ''""), 0)"),0.0)</f>
        <v>0</v>
      </c>
      <c r="T11" s="120">
        <f>IFERROR(__xludf.DUMMYFUNCTION("IFNA(QUERY(OptionsPositions, ""SELECT SUM(X) WHERE A = '"" &amp; A11 &amp; ""' LABEL SUM(X) ''""), 0)"),0.0)</f>
        <v>0</v>
      </c>
      <c r="U11" s="117" t="str">
        <f>IFERROR(__xludf.DUMMYFUNCTION("IFNA(QUERY(OptionsPositions, ""SELECT AVG(Y) WHERE A = '"" &amp; A11 &amp; ""' LABEL AVG(Y) ''""), 0)"),"")</f>
        <v/>
      </c>
      <c r="V11" s="121">
        <f>IFERROR(__xludf.DUMMYFUNCTION("IFNA(QUERY(OptionsPositions, ""SELECT SUM(Z) WHERE A = '"" &amp; A11 &amp; ""' LABEL SUM(Z) ''""), 0)"),4328.7)</f>
        <v>4328.7</v>
      </c>
      <c r="W11" s="117">
        <f>IFERROR(__xludf.DUMMYFUNCTION("IFNA(QUERY(OptionsPositions, ""SELECT AVG(AA) WHERE A = '"" &amp; A11 &amp; ""' LABEL AVG(AA) ''""), 0)"),39.91671937592241)</f>
        <v>39.91671938</v>
      </c>
      <c r="X11" s="122" t="str">
        <f>IFERROR(__xludf.DUMMYFUNCTION("IFNA(QUERY(OptionsPositions, ""SELECT AVG(AB) WHERE A = '"" &amp; A11 &amp; ""' LABEL AVG(AB) ''""), 0)"),"")</f>
        <v/>
      </c>
      <c r="Y11" s="123">
        <f t="shared" si="3"/>
        <v>0</v>
      </c>
      <c r="Z11" s="118">
        <f>IFERROR(__xludf.DUMMYFUNCTION("QUERY(OptionsPositions, ""SELECT SUM(L) WHERE A = '"" &amp; A11 &amp; ""' LABEL SUM(L) ''"")"),1.24)</f>
        <v>1.24</v>
      </c>
    </row>
    <row r="12" ht="22.5" customHeight="1">
      <c r="A12" s="3" t="s">
        <v>132</v>
      </c>
      <c r="B12" s="112" t="str">
        <f>IFERROR(__xludf.DUMMYFUNCTION("IF(COUNT(QUERY(OptionsPositions, ""SELECT 1 WHERE A = '"" &amp; A12  &amp; ""' AND C is not null AND E is null""))&gt;0, QUERY(OptionsPositions, ""SELECT C WHERE A = '"" &amp; A12  &amp; ""' AND E is null ORDER BY C ASC LIMIT 1""), """")"),"")</f>
        <v/>
      </c>
      <c r="C12" s="26">
        <f>IFERROR(__xludf.DUMMYFUNCTION("IF(COUNT(QUERY(OptionsPositions, ""SELECT 1 WHERE A = '"" &amp; A12  &amp; ""' AND C is not null AND E is null""))&gt;0, """", QUERY(OptionsPositions, ""SELECT E WHERE A = '"" &amp; A12  &amp; ""' ORDER BY E DESC LIMIT 1""))"),46050.0)</f>
        <v>46050</v>
      </c>
      <c r="D12" s="113" t="str">
        <f>IF(OptionInstruments[Opened] &lt;&gt; "",IF(OptionInstruments[Closed] = "", TODAY(), OptionInstruments[Closed]) - OptionInstruments[Opened], "")</f>
        <v/>
      </c>
      <c r="E12" s="113">
        <f>IFERROR(__xludf.DUMMYFUNCTION("IFNA(QUERY(OptionsPositions, ""SELECT D WHERE A = '"" &amp; A12 &amp; ""' AND E IS null ORDER BY D LIMIT 1"") - TODAY(), 0)"),0.0)</f>
        <v>0</v>
      </c>
      <c r="F12" s="114" t="str">
        <f t="shared" si="1"/>
        <v>Closed</v>
      </c>
      <c r="G12" s="115" t="str">
        <f>IFERROR(__xludf.DUMMYFUNCTION("QUERY(TradeLog, ""SELECT G WHERE A = '"" &amp; A12 &amp; ""' ORDER BY G DESC LIMIT 1"")"),"Speculative")</f>
        <v>Speculative</v>
      </c>
      <c r="H12" s="116" t="str">
        <f>IFERROR(__xludf.DUMMYFUNCTION("IFNA(QUERY(TradeLog, ""SELECT C WHERE A = '"" &amp; A12 &amp; ""' ORDER BY B DESC LIMIT 1""), """")"),"Long Call")</f>
        <v>Long Call</v>
      </c>
      <c r="I12" s="14" t="str">
        <f>IFERROR(__xludf.DUMMYFUNCTION("TEXTJOIN("", "", TRUE,IFNA(QUERY(OptionsPositions, ""SELECT H WHERE A = '"" &amp; A12  &amp; ""' AND C is not null AND E is null ORDER BY H""), """"))"),"")</f>
        <v/>
      </c>
      <c r="J12" s="14" t="str">
        <f>IFERROR(__xludf.DUMMYFUNCTION("QUERY(TradeLog, ""SELECT S WHERE A = '"" &amp; A12 &amp; ""' ORDER BY B DESC LIMIT 1"")  "),"")</f>
        <v/>
      </c>
      <c r="K12" s="117">
        <f t="shared" si="2"/>
        <v>-47.014</v>
      </c>
      <c r="L12" s="117">
        <f>IFERROR(__xludf.DUMMYFUNCTION("IFNA(QUERY(OptionsPositions, ""SELECT SUM(P) WHERE A = '"" &amp; A12 &amp; ""' LABEL SUM(P) ''""), 0)"),0.0)</f>
        <v>0</v>
      </c>
      <c r="M12" s="118">
        <f>IFERROR(__xludf.DUMMYFUNCTION("IFNA(ROUND(QUERY(OptionsPositions, ""SELECT AVG(Q) WHERE A = '"" &amp; A12 &amp; ""' LABEL AVG(Q) ''""), 2), 0)"),0.0)</f>
        <v>0</v>
      </c>
      <c r="N12" s="117">
        <f>IFERROR(__xludf.DUMMYFUNCTION("IFNA(QUERY(OptionsPositions, ""SELECT SUM(R) WHERE A = '"" &amp; A12 &amp; ""' LABEL SUM(R) ''""), 0)"),-47.014)</f>
        <v>-47.014</v>
      </c>
      <c r="O12" s="117">
        <f>IFERROR(__xludf.DUMMYFUNCTION("IFNA(QUERY(OptionsPositions, ""SELECT AVG(S) WHERE A = '"" &amp; A12 &amp; ""' LABEL AVG(S) ''""), 0)"),-60.0)</f>
        <v>-60</v>
      </c>
      <c r="P12" s="118">
        <f>IFERROR(__xludf.DUMMYFUNCTION("IFNA(QUERY(OptionsPositions, ""SELECT SUM(T) WHERE A = '"" &amp; A12 &amp; ""' LABEL SUM(T) ''""), 0)"),0.0)</f>
        <v>0</v>
      </c>
      <c r="Q12" s="119">
        <f>IFERROR(__xludf.DUMMYFUNCTION("IFNA(QUERY(OptionsPositions, ""SELECT SUM(U) WHERE A = '"" &amp; A12 &amp; ""' LABEL SUM(U) ''""), 0)"),0.0)</f>
        <v>0</v>
      </c>
      <c r="R12" s="120">
        <f>IFERROR(__xludf.DUMMYFUNCTION("IFNA(QUERY(OptionsPositions, ""SELECT SUM(V) WHERE A = '"" &amp; A12 &amp; ""' LABEL SUM(V) ''""), 0)"),0.0)</f>
        <v>0</v>
      </c>
      <c r="S12" s="120">
        <f>IFERROR(__xludf.DUMMYFUNCTION("IFNA(QUERY(OptionsPositions, ""SELECT SUM(W) WHERE A = '"" &amp; A12 &amp; ""' LABEL SUM(W) ''""), 0)"),0.0)</f>
        <v>0</v>
      </c>
      <c r="T12" s="120">
        <f>IFERROR(__xludf.DUMMYFUNCTION("IFNA(QUERY(OptionsPositions, ""SELECT SUM(X) WHERE A = '"" &amp; A12 &amp; ""' LABEL SUM(X) ''""), 0)"),0.0)</f>
        <v>0</v>
      </c>
      <c r="U12" s="117" t="str">
        <f>IFERROR(__xludf.DUMMYFUNCTION("IFNA(QUERY(OptionsPositions, ""SELECT AVG(Y) WHERE A = '"" &amp; A12 &amp; ""' LABEL AVG(Y) ''""), 0)"),"")</f>
        <v/>
      </c>
      <c r="V12" s="121">
        <f>IFERROR(__xludf.DUMMYFUNCTION("IFNA(QUERY(OptionsPositions, ""SELECT SUM(Z) WHERE A = '"" &amp; A12 &amp; ""' LABEL SUM(Z) ''""), 0)"),50.45)</f>
        <v>50.45</v>
      </c>
      <c r="W12" s="117">
        <f>IFERROR(__xludf.DUMMYFUNCTION("IFNA(QUERY(OptionsPositions, ""SELECT AVG(AA) WHERE A = '"" &amp; A12 &amp; ""' LABEL AVG(AA) ''""), 0)"),65.15151515151516)</f>
        <v>65.15151515</v>
      </c>
      <c r="X12" s="122" t="str">
        <f>IFERROR(__xludf.DUMMYFUNCTION("IFNA(QUERY(OptionsPositions, ""SELECT AVG(AB) WHERE A = '"" &amp; A12 &amp; ""' LABEL AVG(AB) ''""), 0)"),"")</f>
        <v/>
      </c>
      <c r="Y12" s="123">
        <f t="shared" si="3"/>
        <v>0</v>
      </c>
      <c r="Z12" s="118">
        <f>IFERROR(__xludf.DUMMYFUNCTION("QUERY(OptionsPositions, ""SELECT SUM(L) WHERE A = '"" &amp; A12 &amp; ""' LABEL SUM(L) ''"")"),0.525)</f>
        <v>0.525</v>
      </c>
    </row>
    <row r="13" ht="22.5" customHeight="1">
      <c r="A13" s="3" t="s">
        <v>173</v>
      </c>
      <c r="B13" s="112" t="str">
        <f>IFERROR(__xludf.DUMMYFUNCTION("IF(COUNT(QUERY(OptionsPositions, ""SELECT 1 WHERE A = '"" &amp; A13  &amp; ""' AND C is not null AND E is null""))&gt;0, QUERY(OptionsPositions, ""SELECT C WHERE A = '"" &amp; A13  &amp; ""' AND E is null ORDER BY C ASC LIMIT 1""), """")"),"")</f>
        <v/>
      </c>
      <c r="C13" s="26">
        <f>IFERROR(__xludf.DUMMYFUNCTION("IF(COUNT(QUERY(OptionsPositions, ""SELECT 1 WHERE A = '"" &amp; A13  &amp; ""' AND C is not null AND E is null""))&gt;0, """", QUERY(OptionsPositions, ""SELECT E WHERE A = '"" &amp; A13  &amp; ""' ORDER BY E DESC LIMIT 1""))"),46073.0)</f>
        <v>46073</v>
      </c>
      <c r="D13" s="113" t="str">
        <f>IF(OptionInstruments[Opened] &lt;&gt; "",IF(OptionInstruments[Closed] = "", TODAY(), OptionInstruments[Closed]) - OptionInstruments[Opened], "")</f>
        <v/>
      </c>
      <c r="E13" s="113">
        <f>IFERROR(__xludf.DUMMYFUNCTION("IFNA(QUERY(OptionsPositions, ""SELECT D WHERE A = '"" &amp; A13 &amp; ""' AND E IS null ORDER BY D LIMIT 1"") - TODAY(), 0)"),0.0)</f>
        <v>0</v>
      </c>
      <c r="F13" s="114" t="str">
        <f t="shared" si="1"/>
        <v>Closed</v>
      </c>
      <c r="G13" s="115" t="str">
        <f>IFERROR(__xludf.DUMMYFUNCTION("QUERY(TradeLog, ""SELECT G WHERE A = '"" &amp; A13 &amp; ""' ORDER BY G DESC LIMIT 1"")"),"Speculative")</f>
        <v>Speculative</v>
      </c>
      <c r="H13" s="116" t="str">
        <f>IFERROR(__xludf.DUMMYFUNCTION("IFNA(QUERY(TradeLog, ""SELECT C WHERE A = '"" &amp; A13 &amp; ""' ORDER BY B DESC LIMIT 1""), """")"),"Long Call")</f>
        <v>Long Call</v>
      </c>
      <c r="I13" s="14" t="str">
        <f>IFERROR(__xludf.DUMMYFUNCTION("TEXTJOIN("", "", TRUE,IFNA(QUERY(OptionsPositions, ""SELECT H WHERE A = '"" &amp; A13  &amp; ""' AND C is not null AND E is null ORDER BY H""), """"))"),"")</f>
        <v/>
      </c>
      <c r="J13" s="14" t="str">
        <f>IFERROR(__xludf.DUMMYFUNCTION("QUERY(TradeLog, ""SELECT S WHERE A = '"" &amp; A13 &amp; ""' ORDER BY B DESC LIMIT 1"")  "),"Will be worthless around breakout point so no mgmt")</f>
        <v>Will be worthless around breakout point so no mgmt</v>
      </c>
      <c r="K13" s="117">
        <f t="shared" si="2"/>
        <v>-60.049</v>
      </c>
      <c r="L13" s="117">
        <f>IFERROR(__xludf.DUMMYFUNCTION("IFNA(QUERY(OptionsPositions, ""SELECT SUM(P) WHERE A = '"" &amp; A13 &amp; ""' LABEL SUM(P) ''""), 0)"),0.0)</f>
        <v>0</v>
      </c>
      <c r="M13" s="118">
        <f>IFERROR(__xludf.DUMMYFUNCTION("IFNA(ROUND(QUERY(OptionsPositions, ""SELECT AVG(Q) WHERE A = '"" &amp; A13 &amp; ""' LABEL AVG(Q) ''""), 2), 0)"),0.0)</f>
        <v>0</v>
      </c>
      <c r="N13" s="117">
        <f>IFERROR(__xludf.DUMMYFUNCTION("IFNA(QUERY(OptionsPositions, ""SELECT SUM(R) WHERE A = '"" &amp; A13 &amp; ""' LABEL SUM(R) ''""), 0)"),-60.04899999999999)</f>
        <v>-60.049</v>
      </c>
      <c r="O13" s="117">
        <f>IFERROR(__xludf.DUMMYFUNCTION("IFNA(QUERY(OptionsPositions, ""SELECT AVG(S) WHERE A = '"" &amp; A13 &amp; ""' LABEL AVG(S) ''""), 0)"),-100.0)</f>
        <v>-100</v>
      </c>
      <c r="P13" s="118">
        <f>IFERROR(__xludf.DUMMYFUNCTION("IFNA(QUERY(OptionsPositions, ""SELECT SUM(T) WHERE A = '"" &amp; A13 &amp; ""' LABEL SUM(T) ''""), 0)"),0.0)</f>
        <v>0</v>
      </c>
      <c r="Q13" s="119">
        <f>IFERROR(__xludf.DUMMYFUNCTION("IFNA(QUERY(OptionsPositions, ""SELECT SUM(U) WHERE A = '"" &amp; A13 &amp; ""' LABEL SUM(U) ''""), 0)"),0.0)</f>
        <v>0</v>
      </c>
      <c r="R13" s="120">
        <f>IFERROR(__xludf.DUMMYFUNCTION("IFNA(QUERY(OptionsPositions, ""SELECT SUM(V) WHERE A = '"" &amp; A13 &amp; ""' LABEL SUM(V) ''""), 0)"),0.0)</f>
        <v>0</v>
      </c>
      <c r="S13" s="120">
        <f>IFERROR(__xludf.DUMMYFUNCTION("IFNA(QUERY(OptionsPositions, ""SELECT SUM(W) WHERE A = '"" &amp; A13 &amp; ""' LABEL SUM(W) ''""), 0)"),0.0)</f>
        <v>0</v>
      </c>
      <c r="T13" s="120">
        <f>IFERROR(__xludf.DUMMYFUNCTION("IFNA(QUERY(OptionsPositions, ""SELECT SUM(X) WHERE A = '"" &amp; A13 &amp; ""' LABEL SUM(X) ''""), 0)"),0.0)</f>
        <v>0</v>
      </c>
      <c r="U13" s="117" t="str">
        <f>IFERROR(__xludf.DUMMYFUNCTION("IFNA(QUERY(OptionsPositions, ""SELECT AVG(Y) WHERE A = '"" &amp; A13 &amp; ""' LABEL AVG(Y) ''""), 0)"),"")</f>
        <v/>
      </c>
      <c r="V13" s="121">
        <f>IFERROR(__xludf.DUMMYFUNCTION("IFNA(QUERY(OptionsPositions, ""SELECT SUM(Z) WHERE A = '"" &amp; A13 &amp; ""' LABEL SUM(Z) ''""), 0)"),60.16)</f>
        <v>60.16</v>
      </c>
      <c r="W13" s="117">
        <f>IFERROR(__xludf.DUMMYFUNCTION("IFNA(QUERY(OptionsPositions, ""SELECT AVG(AA) WHERE A = '"" &amp; A13 &amp; ""' LABEL AVG(AA) ''""), 0)"),100.0)</f>
        <v>100</v>
      </c>
      <c r="X13" s="122" t="str">
        <f>IFERROR(__xludf.DUMMYFUNCTION("IFNA(QUERY(OptionsPositions, ""SELECT AVG(AB) WHERE A = '"" &amp; A13 &amp; ""' LABEL AVG(AB) ''""), 0)"),"")</f>
        <v/>
      </c>
      <c r="Y13" s="123">
        <f t="shared" si="3"/>
        <v>0</v>
      </c>
      <c r="Z13" s="118">
        <f>IFERROR(__xludf.DUMMYFUNCTION("QUERY(OptionsPositions, ""SELECT SUM(L) WHERE A = '"" &amp; A13 &amp; ""' LABEL SUM(L) ''"")"),0.55)</f>
        <v>0.55</v>
      </c>
    </row>
    <row r="14" ht="22.5" customHeight="1">
      <c r="A14" s="3" t="s">
        <v>190</v>
      </c>
      <c r="B14" s="112" t="str">
        <f>IFERROR(__xludf.DUMMYFUNCTION("IF(COUNT(QUERY(OptionsPositions, ""SELECT 1 WHERE A = '"" &amp; A14  &amp; ""' AND C is not null AND E is null""))&gt;0, QUERY(OptionsPositions, ""SELECT C WHERE A = '"" &amp; A14  &amp; ""' AND E is null ORDER BY C ASC LIMIT 1""), """")"),"")</f>
        <v/>
      </c>
      <c r="C14" s="26">
        <f>IFERROR(__xludf.DUMMYFUNCTION("IF(COUNT(QUERY(OptionsPositions, ""SELECT 1 WHERE A = '"" &amp; A14  &amp; ""' AND C is not null AND E is null""))&gt;0, """", QUERY(OptionsPositions, ""SELECT E WHERE A = '"" &amp; A14  &amp; ""' ORDER BY E DESC LIMIT 1""))"),46073.0)</f>
        <v>46073</v>
      </c>
      <c r="D14" s="113" t="str">
        <f>IF(OptionInstruments[Opened] &lt;&gt; "",IF(OptionInstruments[Closed] = "", TODAY(), OptionInstruments[Closed]) - OptionInstruments[Opened], "")</f>
        <v/>
      </c>
      <c r="E14" s="113">
        <f>IFERROR(__xludf.DUMMYFUNCTION("IFNA(QUERY(OptionsPositions, ""SELECT D WHERE A = '"" &amp; A14 &amp; ""' AND E IS null ORDER BY D LIMIT 1"") - TODAY(), 0)"),0.0)</f>
        <v>0</v>
      </c>
      <c r="F14" s="114" t="str">
        <f t="shared" si="1"/>
        <v>Closed</v>
      </c>
      <c r="G14" s="115" t="str">
        <f>IFERROR(__xludf.DUMMYFUNCTION("QUERY(TradeLog, ""SELECT G WHERE A = '"" &amp; A14 &amp; ""' ORDER BY G DESC LIMIT 1"")"),"Speculative")</f>
        <v>Speculative</v>
      </c>
      <c r="H14" s="116" t="str">
        <f>IFERROR(__xludf.DUMMYFUNCTION("IFNA(QUERY(TradeLog, ""SELECT C WHERE A = '"" &amp; A14 &amp; ""' ORDER BY B DESC LIMIT 1""), """")"),"Long Put Vertical")</f>
        <v>Long Put Vertical</v>
      </c>
      <c r="I14" s="14" t="str">
        <f>IFERROR(__xludf.DUMMYFUNCTION("TEXTJOIN("", "", TRUE,IFNA(QUERY(OptionsPositions, ""SELECT H WHERE A = '"" &amp; A14  &amp; ""' AND C is not null AND E is null ORDER BY H""), """"))"),"")</f>
        <v/>
      </c>
      <c r="J14" s="14" t="str">
        <f>IFERROR(__xludf.DUMMYFUNCTION("QUERY(TradeLog, ""SELECT S WHERE A = '"" &amp; A14 &amp; ""' ORDER BY B DESC LIMIT 1"")  "),"Close above 31")</f>
        <v>Close above 31</v>
      </c>
      <c r="K14" s="117">
        <f t="shared" si="2"/>
        <v>-43.049</v>
      </c>
      <c r="L14" s="117">
        <f>IFERROR(__xludf.DUMMYFUNCTION("IFNA(QUERY(OptionsPositions, ""SELECT SUM(P) WHERE A = '"" &amp; A14 &amp; ""' LABEL SUM(P) ''""), 0)"),0.0)</f>
        <v>0</v>
      </c>
      <c r="M14" s="118">
        <f>IFERROR(__xludf.DUMMYFUNCTION("IFNA(ROUND(QUERY(OptionsPositions, ""SELECT AVG(Q) WHERE A = '"" &amp; A14 &amp; ""' LABEL AVG(Q) ''""), 2), 0)"),0.0)</f>
        <v>0</v>
      </c>
      <c r="N14" s="117">
        <f>IFERROR(__xludf.DUMMYFUNCTION("IFNA(QUERY(OptionsPositions, ""SELECT SUM(R) WHERE A = '"" &amp; A14 &amp; ""' LABEL SUM(R) ''""), 0)"),-43.049)</f>
        <v>-43.049</v>
      </c>
      <c r="O14" s="117">
        <f>IFERROR(__xludf.DUMMYFUNCTION("IFNA(QUERY(OptionsPositions, ""SELECT AVG(S) WHERE A = '"" &amp; A14 &amp; ""' LABEL AVG(S) ''""), 0)"),-100.0)</f>
        <v>-100</v>
      </c>
      <c r="P14" s="118">
        <f>IFERROR(__xludf.DUMMYFUNCTION("IFNA(QUERY(OptionsPositions, ""SELECT SUM(T) WHERE A = '"" &amp; A14 &amp; ""' LABEL SUM(T) ''""), 0)"),0.0)</f>
        <v>0</v>
      </c>
      <c r="Q14" s="119">
        <f>IFERROR(__xludf.DUMMYFUNCTION("IFNA(QUERY(OptionsPositions, ""SELECT SUM(U) WHERE A = '"" &amp; A14 &amp; ""' LABEL SUM(U) ''""), 0)"),0.0)</f>
        <v>0</v>
      </c>
      <c r="R14" s="120">
        <f>IFERROR(__xludf.DUMMYFUNCTION("IFNA(QUERY(OptionsPositions, ""SELECT SUM(V) WHERE A = '"" &amp; A14 &amp; ""' LABEL SUM(V) ''""), 0)"),0.0)</f>
        <v>0</v>
      </c>
      <c r="S14" s="120">
        <f>IFERROR(__xludf.DUMMYFUNCTION("IFNA(QUERY(OptionsPositions, ""SELECT SUM(W) WHERE A = '"" &amp; A14 &amp; ""' LABEL SUM(W) ''""), 0)"),0.0)</f>
        <v>0</v>
      </c>
      <c r="T14" s="120">
        <f>IFERROR(__xludf.DUMMYFUNCTION("IFNA(QUERY(OptionsPositions, ""SELECT SUM(X) WHERE A = '"" &amp; A14 &amp; ""' LABEL SUM(X) ''""), 0)"),0.0)</f>
        <v>0</v>
      </c>
      <c r="U14" s="117" t="str">
        <f>IFERROR(__xludf.DUMMYFUNCTION("IFNA(QUERY(OptionsPositions, ""SELECT AVG(Y) WHERE A = '"" &amp; A14 &amp; ""' LABEL AVG(Y) ''""), 0)"),"")</f>
        <v/>
      </c>
      <c r="V14" s="121">
        <f>IFERROR(__xludf.DUMMYFUNCTION("IFNA(QUERY(OptionsPositions, ""SELECT SUM(Z) WHERE A = '"" &amp; A14 &amp; ""' LABEL SUM(Z) ''""), 0)"),31.45)</f>
        <v>31.45</v>
      </c>
      <c r="W14" s="117">
        <f>IFERROR(__xludf.DUMMYFUNCTION("IFNA(QUERY(OptionsPositions, ""SELECT AVG(AA) WHERE A = '"" &amp; A14 &amp; ""' LABEL AVG(AA) ''""), 0)"),100.0)</f>
        <v>100</v>
      </c>
      <c r="X14" s="122" t="str">
        <f>IFERROR(__xludf.DUMMYFUNCTION("IFNA(QUERY(OptionsPositions, ""SELECT AVG(AB) WHERE A = '"" &amp; A14 &amp; ""' LABEL AVG(AB) ''""), 0)"),"")</f>
        <v/>
      </c>
      <c r="Y14" s="123">
        <f t="shared" si="3"/>
        <v>0</v>
      </c>
      <c r="Z14" s="118">
        <f>IFERROR(__xludf.DUMMYFUNCTION("QUERY(OptionsPositions, ""SELECT SUM(L) WHERE A = '"" &amp; A14 &amp; ""' LABEL SUM(L) ''"")"),0.0)</f>
        <v>0</v>
      </c>
    </row>
    <row r="15" ht="22.5" customHeight="1">
      <c r="A15" s="3" t="s">
        <v>167</v>
      </c>
      <c r="B15" s="112">
        <f>IFERROR(__xludf.DUMMYFUNCTION("IF(COUNT(QUERY(OptionsPositions, ""SELECT 1 WHERE A = '"" &amp; A15  &amp; ""' AND C is not null AND E is null""))&gt;0, QUERY(OptionsPositions, ""SELECT C WHERE A = '"" &amp; A15  &amp; ""' AND E is null ORDER BY C ASC LIMIT 1""), """")"),46045.0)</f>
        <v>46045</v>
      </c>
      <c r="C15" s="26" t="str">
        <f>IFERROR(__xludf.DUMMYFUNCTION("IF(COUNT(QUERY(OptionsPositions, ""SELECT 1 WHERE A = '"" &amp; A15  &amp; ""' AND C is not null AND E is null""))&gt;0, """", QUERY(OptionsPositions, ""SELECT E WHERE A = '"" &amp; A15  &amp; ""' ORDER BY E DESC LIMIT 1""))"),"")</f>
        <v/>
      </c>
      <c r="D15" s="113">
        <f>IF(OptionInstruments[Opened] &lt;&gt; "",IF(OptionInstruments[Closed] = "", TODAY(), OptionInstruments[Closed]) - OptionInstruments[Opened], "")</f>
        <v>55</v>
      </c>
      <c r="E15" s="113">
        <f>IFERROR(__xludf.DUMMYFUNCTION("IFNA(QUERY(OptionsPositions, ""SELECT D WHERE A = '"" &amp; A15 &amp; ""' AND E IS null ORDER BY D LIMIT 1"") - TODAY(), 0)"),1.0)</f>
        <v>1</v>
      </c>
      <c r="F15" s="114" t="str">
        <f t="shared" si="1"/>
        <v>Open</v>
      </c>
      <c r="G15" s="115" t="str">
        <f>IFERROR(__xludf.DUMMYFUNCTION("QUERY(TradeLog, ""SELECT G WHERE A = '"" &amp; A15 &amp; ""' ORDER BY G DESC LIMIT 1"")"),"Speculative")</f>
        <v>Speculative</v>
      </c>
      <c r="H15" s="116" t="str">
        <f>IFERROR(__xludf.DUMMYFUNCTION("IFNA(QUERY(TradeLog, ""SELECT C WHERE A = '"" &amp; A15 &amp; ""' ORDER BY B DESC LIMIT 1""), """")"),"Long Call Vertical")</f>
        <v>Long Call Vertical</v>
      </c>
      <c r="I15" s="14" t="str">
        <f>IFERROR(__xludf.DUMMYFUNCTION("TEXTJOIN("", "", TRUE,IFNA(QUERY(OptionsPositions, ""SELECT H WHERE A = '"" &amp; A15  &amp; ""' AND C is not null AND E is null ORDER BY H""), """"))"),"25, 30")</f>
        <v>25, 30</v>
      </c>
      <c r="J15" s="14" t="str">
        <f>IFERROR(__xludf.DUMMYFUNCTION("QUERY(TradeLog, ""SELECT S WHERE A = '"" &amp; A15 &amp; ""' ORDER BY B DESC LIMIT 1"")  "),"")</f>
        <v/>
      </c>
      <c r="K15" s="117">
        <f t="shared" si="2"/>
        <v>31.788</v>
      </c>
      <c r="L15" s="117">
        <f>IFERROR(__xludf.DUMMYFUNCTION("IFNA(QUERY(OptionsPositions, ""SELECT SUM(P) WHERE A = '"" &amp; A15 &amp; ""' LABEL SUM(P) ''""), 0)"),-147.10600000000005)</f>
        <v>-147.106</v>
      </c>
      <c r="M15" s="118">
        <f>IFERROR(__xludf.DUMMYFUNCTION("IFNA(ROUND(QUERY(OptionsPositions, ""SELECT AVG(Q) WHERE A = '"" &amp; A15 &amp; ""' LABEL AVG(Q) ''""), 2), 0)"),-14.0)</f>
        <v>-14</v>
      </c>
      <c r="N15" s="117">
        <f>IFERROR(__xludf.DUMMYFUNCTION("IFNA(QUERY(OptionsPositions, ""SELECT SUM(R) WHERE A = '"" &amp; A15 &amp; ""' LABEL SUM(R) ''""), 0)"),178.894)</f>
        <v>178.894</v>
      </c>
      <c r="O15" s="117">
        <f>IFERROR(__xludf.DUMMYFUNCTION("IFNA(QUERY(OptionsPositions, ""SELECT AVG(S) WHERE A = '"" &amp; A15 &amp; ""' LABEL AVG(S) ''""), 0)"),-7.5)</f>
        <v>-7.5</v>
      </c>
      <c r="P15" s="118">
        <f>IFERROR(__xludf.DUMMYFUNCTION("IFNA(QUERY(OptionsPositions, ""SELECT SUM(T) WHERE A = '"" &amp; A15 &amp; ""' LABEL SUM(T) ''""), 0)"),0.55)</f>
        <v>0.55</v>
      </c>
      <c r="Q15" s="119">
        <f>IFERROR(__xludf.DUMMYFUNCTION("IFNA(QUERY(OptionsPositions, ""SELECT SUM(U) WHERE A = '"" &amp; A15 &amp; ""' LABEL SUM(U) ''""), 0)"),-0.13034582)</f>
        <v>-0.13034582</v>
      </c>
      <c r="R15" s="120">
        <f>IFERROR(__xludf.DUMMYFUNCTION("IFNA(QUERY(OptionsPositions, ""SELECT SUM(V) WHERE A = '"" &amp; A15 &amp; ""' LABEL SUM(V) ''""), 0)"),0.01432408)</f>
        <v>0.01432408</v>
      </c>
      <c r="S15" s="120">
        <f>IFERROR(__xludf.DUMMYFUNCTION("IFNA(QUERY(OptionsPositions, ""SELECT SUM(W) WHERE A = '"" &amp; A15 &amp; ""' LABEL SUM(W) ''""), 0)"),0.03638193)</f>
        <v>0.03638193</v>
      </c>
      <c r="T15" s="120">
        <f>IFERROR(__xludf.DUMMYFUNCTION("IFNA(QUERY(OptionsPositions, ""SELECT SUM(X) WHERE A = '"" &amp; A15 &amp; ""' LABEL SUM(X) ''""), 0)"),0.01298393)</f>
        <v>0.01298393</v>
      </c>
      <c r="U15" s="117">
        <f>IFERROR(__xludf.DUMMYFUNCTION("IFNA(QUERY(OptionsPositions, ""SELECT AVG(Y) WHERE A = '"" &amp; A15 &amp; ""' LABEL AVG(Y) ''""), 0)"),183.0)</f>
        <v>183</v>
      </c>
      <c r="V15" s="121">
        <f>IFERROR(__xludf.DUMMYFUNCTION("IFNA(QUERY(OptionsPositions, ""SELECT SUM(Z) WHERE A = '"" &amp; A15 &amp; ""' LABEL SUM(Z) ''""), 0)"),1472.44)</f>
        <v>1472.44</v>
      </c>
      <c r="W15" s="117">
        <f>IFERROR(__xludf.DUMMYFUNCTION("IFNA(QUERY(OptionsPositions, ""SELECT AVG(AA) WHERE A = '"" &amp; A15 &amp; ""' LABEL AVG(AA) ''""), 0)"),-41093.42532467532)</f>
        <v>-41093.42532</v>
      </c>
      <c r="X15" s="122">
        <f>IFERROR(__xludf.DUMMYFUNCTION("IFNA(QUERY(OptionsPositions, ""SELECT AVG(AB) WHERE A = '"" &amp; A15 &amp; ""' LABEL AVG(AB) ''""), 0)"),-159.87847222222229)</f>
        <v>-159.8784722</v>
      </c>
      <c r="Y15" s="123">
        <f t="shared" si="3"/>
        <v>-9.990627801</v>
      </c>
      <c r="Z15" s="118">
        <f>IFERROR(__xludf.DUMMYFUNCTION("QUERY(OptionsPositions, ""SELECT SUM(L) WHERE A = '"" &amp; A15 &amp; ""' LABEL SUM(L) ''"")"),7.5)</f>
        <v>7.5</v>
      </c>
    </row>
    <row r="16" ht="22.5" customHeight="1">
      <c r="A16" s="3" t="s">
        <v>196</v>
      </c>
      <c r="B16" s="112" t="str">
        <f>IFERROR(__xludf.DUMMYFUNCTION("IF(COUNT(QUERY(OptionsPositions, ""SELECT 1 WHERE A = '"" &amp; A16  &amp; ""' AND C is not null AND E is null""))&gt;0, QUERY(OptionsPositions, ""SELECT C WHERE A = '"" &amp; A16  &amp; ""' AND E is null ORDER BY C ASC LIMIT 1""), """")"),"")</f>
        <v/>
      </c>
      <c r="C16" s="26">
        <f>IFERROR(__xludf.DUMMYFUNCTION("IF(COUNT(QUERY(OptionsPositions, ""SELECT 1 WHERE A = '"" &amp; A16  &amp; ""' AND C is not null AND E is null""))&gt;0, """", QUERY(OptionsPositions, ""SELECT E WHERE A = '"" &amp; A16  &amp; ""' ORDER BY E DESC LIMIT 1""))"),46065.0)</f>
        <v>46065</v>
      </c>
      <c r="D16" s="113" t="str">
        <f>IF(OptionInstruments[Opened] &lt;&gt; "",IF(OptionInstruments[Closed] = "", TODAY(), OptionInstruments[Closed]) - OptionInstruments[Opened], "")</f>
        <v/>
      </c>
      <c r="E16" s="113">
        <f>IFERROR(__xludf.DUMMYFUNCTION("IFNA(QUERY(OptionsPositions, ""SELECT D WHERE A = '"" &amp; A16 &amp; ""' AND E IS null ORDER BY D LIMIT 1"") - TODAY(), 0)"),0.0)</f>
        <v>0</v>
      </c>
      <c r="F16" s="114" t="str">
        <f t="shared" si="1"/>
        <v>Closed</v>
      </c>
      <c r="G16" s="115" t="str">
        <f>IFERROR(__xludf.DUMMYFUNCTION("QUERY(TradeLog, ""SELECT G WHERE A = '"" &amp; A16 &amp; ""' ORDER BY G DESC LIMIT 1"")"),"Speculative")</f>
        <v>Speculative</v>
      </c>
      <c r="H16" s="116" t="str">
        <f>IFERROR(__xludf.DUMMYFUNCTION("IFNA(QUERY(TradeLog, ""SELECT C WHERE A = '"" &amp; A16 &amp; ""' ORDER BY B DESC LIMIT 1""), """")"),"Long Call")</f>
        <v>Long Call</v>
      </c>
      <c r="I16" s="14" t="str">
        <f>IFERROR(__xludf.DUMMYFUNCTION("TEXTJOIN("", "", TRUE,IFNA(QUERY(OptionsPositions, ""SELECT H WHERE A = '"" &amp; A16  &amp; ""' AND C is not null AND E is null ORDER BY H""), """"))"),"")</f>
        <v/>
      </c>
      <c r="J16" s="14" t="str">
        <f>IFERROR(__xludf.DUMMYFUNCTION("QUERY(TradeLog, ""SELECT S WHERE A = '"" &amp; A16 &amp; ""' ORDER BY B DESC LIMIT 1"")  "),"")</f>
        <v/>
      </c>
      <c r="K16" s="117">
        <f t="shared" si="2"/>
        <v>-14.051</v>
      </c>
      <c r="L16" s="117">
        <f>IFERROR(__xludf.DUMMYFUNCTION("IFNA(QUERY(OptionsPositions, ""SELECT SUM(P) WHERE A = '"" &amp; A16 &amp; ""' LABEL SUM(P) ''""), 0)"),0.0)</f>
        <v>0</v>
      </c>
      <c r="M16" s="118">
        <f>IFERROR(__xludf.DUMMYFUNCTION("IFNA(ROUND(QUERY(OptionsPositions, ""SELECT AVG(Q) WHERE A = '"" &amp; A16 &amp; ""' LABEL AVG(Q) ''""), 2), 0)"),0.0)</f>
        <v>0</v>
      </c>
      <c r="N16" s="117">
        <f>IFERROR(__xludf.DUMMYFUNCTION("IFNA(QUERY(OptionsPositions, ""SELECT SUM(R) WHERE A = '"" &amp; A16 &amp; ""' LABEL SUM(R) ''""), 0)"),-14.051000000000002)</f>
        <v>-14.051</v>
      </c>
      <c r="O16" s="117">
        <f>IFERROR(__xludf.DUMMYFUNCTION("IFNA(QUERY(OptionsPositions, ""SELECT AVG(S) WHERE A = '"" &amp; A16 &amp; ""' LABEL AVG(S) ''""), 0)"),-20.0)</f>
        <v>-20</v>
      </c>
      <c r="P16" s="118">
        <f>IFERROR(__xludf.DUMMYFUNCTION("IFNA(QUERY(OptionsPositions, ""SELECT SUM(T) WHERE A = '"" &amp; A16 &amp; ""' LABEL SUM(T) ''""), 0)"),0.0)</f>
        <v>0</v>
      </c>
      <c r="Q16" s="119">
        <f>IFERROR(__xludf.DUMMYFUNCTION("IFNA(QUERY(OptionsPositions, ""SELECT SUM(U) WHERE A = '"" &amp; A16 &amp; ""' LABEL SUM(U) ''""), 0)"),0.0)</f>
        <v>0</v>
      </c>
      <c r="R16" s="120">
        <f>IFERROR(__xludf.DUMMYFUNCTION("IFNA(QUERY(OptionsPositions, ""SELECT SUM(V) WHERE A = '"" &amp; A16 &amp; ""' LABEL SUM(V) ''""), 0)"),0.0)</f>
        <v>0</v>
      </c>
      <c r="S16" s="120">
        <f>IFERROR(__xludf.DUMMYFUNCTION("IFNA(QUERY(OptionsPositions, ""SELECT SUM(W) WHERE A = '"" &amp; A16 &amp; ""' LABEL SUM(W) ''""), 0)"),0.0)</f>
        <v>0</v>
      </c>
      <c r="T16" s="120">
        <f>IFERROR(__xludf.DUMMYFUNCTION("IFNA(QUERY(OptionsPositions, ""SELECT SUM(X) WHERE A = '"" &amp; A16 &amp; ""' LABEL SUM(X) ''""), 0)"),0.0)</f>
        <v>0</v>
      </c>
      <c r="U16" s="117" t="str">
        <f>IFERROR(__xludf.DUMMYFUNCTION("IFNA(QUERY(OptionsPositions, ""SELECT AVG(Y) WHERE A = '"" &amp; A16 &amp; ""' LABEL AVG(Y) ''""), 0)"),"")</f>
        <v/>
      </c>
      <c r="V16" s="121">
        <f>IFERROR(__xludf.DUMMYFUNCTION("IFNA(QUERY(OptionsPositions, ""SELECT SUM(Z) WHERE A = '"" &amp; A16 &amp; ""' LABEL SUM(Z) ''""), 0)"),74.75)</f>
        <v>74.75</v>
      </c>
      <c r="W16" s="117">
        <f>IFERROR(__xludf.DUMMYFUNCTION("IFNA(QUERY(OptionsPositions, ""SELECT AVG(AA) WHERE A = '"" &amp; A16 &amp; ""' LABEL AVG(AA) ''""), 0)"),61.904761904761905)</f>
        <v>61.9047619</v>
      </c>
      <c r="X16" s="122" t="str">
        <f>IFERROR(__xludf.DUMMYFUNCTION("IFNA(QUERY(OptionsPositions, ""SELECT AVG(AB) WHERE A = '"" &amp; A16 &amp; ""' LABEL AVG(AB) ''""), 0)"),"")</f>
        <v/>
      </c>
      <c r="Y16" s="123">
        <f t="shared" si="3"/>
        <v>0</v>
      </c>
      <c r="Z16" s="118">
        <f>IFERROR(__xludf.DUMMYFUNCTION("QUERY(OptionsPositions, ""SELECT SUM(L) WHERE A = '"" &amp; A16 &amp; ""' LABEL SUM(L) ''"")"),0.86)</f>
        <v>0.86</v>
      </c>
    </row>
    <row r="17" ht="22.5" customHeight="1">
      <c r="A17" s="3" t="s">
        <v>198</v>
      </c>
      <c r="B17" s="112">
        <f>IFERROR(__xludf.DUMMYFUNCTION("IF(COUNT(QUERY(OptionsPositions, ""SELECT 1 WHERE A = '"" &amp; A17  &amp; ""' AND C is not null AND E is null""))&gt;0, QUERY(OptionsPositions, ""SELECT C WHERE A = '"" &amp; A17  &amp; ""' AND E is null ORDER BY C ASC LIMIT 1""), """")"),46064.0)</f>
        <v>46064</v>
      </c>
      <c r="C17" s="26" t="str">
        <f>IFERROR(__xludf.DUMMYFUNCTION("IF(COUNT(QUERY(OptionsPositions, ""SELECT 1 WHERE A = '"" &amp; A17  &amp; ""' AND C is not null AND E is null""))&gt;0, """", QUERY(OptionsPositions, ""SELECT E WHERE A = '"" &amp; A17  &amp; ""' ORDER BY E DESC LIMIT 1""))"),"")</f>
        <v/>
      </c>
      <c r="D17" s="113">
        <f>IF(OptionInstruments[Opened] &lt;&gt; "",IF(OptionInstruments[Closed] = "", TODAY(), OptionInstruments[Closed]) - OptionInstruments[Opened], "")</f>
        <v>36</v>
      </c>
      <c r="E17" s="113">
        <f>IFERROR(__xludf.DUMMYFUNCTION("IFNA(QUERY(OptionsPositions, ""SELECT D WHERE A = '"" &amp; A17 &amp; ""' AND E IS null ORDER BY D LIMIT 1"") - TODAY(), 0)"),1.0)</f>
        <v>1</v>
      </c>
      <c r="F17" s="114" t="str">
        <f t="shared" si="1"/>
        <v>Open</v>
      </c>
      <c r="G17" s="115" t="str">
        <f>IFERROR(__xludf.DUMMYFUNCTION("QUERY(TradeLog, ""SELECT G WHERE A = '"" &amp; A17 &amp; ""' ORDER BY G DESC LIMIT 1"")"),"Speculative")</f>
        <v>Speculative</v>
      </c>
      <c r="H17" s="116" t="str">
        <f>IFERROR(__xludf.DUMMYFUNCTION("IFNA(QUERY(TradeLog, ""SELECT C WHERE A = '"" &amp; A17 &amp; ""' ORDER BY B DESC LIMIT 1""), """")"),"Long Call")</f>
        <v>Long Call</v>
      </c>
      <c r="I17" s="14" t="str">
        <f>IFERROR(__xludf.DUMMYFUNCTION("TEXTJOIN("", "", TRUE,IFNA(QUERY(OptionsPositions, ""SELECT H WHERE A = '"" &amp; A17  &amp; ""' AND C is not null AND E is null ORDER BY H""), """"))"),"60")</f>
        <v>60</v>
      </c>
      <c r="J17" s="14" t="str">
        <f>IFERROR(__xludf.DUMMYFUNCTION("QUERY(TradeLog, ""SELECT S WHERE A = '"" &amp; A17 &amp; ""' ORDER BY B DESC LIMIT 1"")  "),"Close below 49")</f>
        <v>Close below 49</v>
      </c>
      <c r="K17" s="117">
        <f t="shared" si="2"/>
        <v>-18.051</v>
      </c>
      <c r="L17" s="117">
        <f>IFERROR(__xludf.DUMMYFUNCTION("IFNA(QUERY(OptionsPositions, ""SELECT SUM(P) WHERE A = '"" &amp; A17 &amp; ""' LABEL SUM(P) ''""), 0)"),-18.051000000000002)</f>
        <v>-18.051</v>
      </c>
      <c r="M17" s="118">
        <f>IFERROR(__xludf.DUMMYFUNCTION("IFNA(ROUND(QUERY(OptionsPositions, ""SELECT AVG(Q) WHERE A = '"" &amp; A17 &amp; ""' LABEL AVG(Q) ''""), 2), 0)"),-100.0)</f>
        <v>-100</v>
      </c>
      <c r="N17" s="117">
        <f>IFERROR(__xludf.DUMMYFUNCTION("IFNA(QUERY(OptionsPositions, ""SELECT SUM(R) WHERE A = '"" &amp; A17 &amp; ""' LABEL SUM(R) ''""), 0)"),0.0)</f>
        <v>0</v>
      </c>
      <c r="O17" s="117">
        <f>IFERROR(__xludf.DUMMYFUNCTION("IFNA(QUERY(OptionsPositions, ""SELECT AVG(S) WHERE A = '"" &amp; A17 &amp; ""' LABEL AVG(S) ''""), 0)"),0.0)</f>
        <v>0</v>
      </c>
      <c r="P17" s="118">
        <f>IFERROR(__xludf.DUMMYFUNCTION("IFNA(QUERY(OptionsPositions, ""SELECT SUM(T) WHERE A = '"" &amp; A17 &amp; ""' LABEL SUM(T) ''""), 0)"),0.0)</f>
        <v>0</v>
      </c>
      <c r="Q17" s="119">
        <f>IFERROR(__xludf.DUMMYFUNCTION("IFNA(QUERY(OptionsPositions, ""SELECT SUM(U) WHERE A = '"" &amp; A17 &amp; ""' LABEL SUM(U) ''""), 0)"),0.0018117)</f>
        <v>0.0018117</v>
      </c>
      <c r="R17" s="120">
        <f>IFERROR(__xludf.DUMMYFUNCTION("IFNA(QUERY(OptionsPositions, ""SELECT SUM(V) WHERE A = '"" &amp; A17 &amp; ""' LABEL SUM(V) ''""), 0)"),-9.7108E-4)</f>
        <v>-0.00097108</v>
      </c>
      <c r="S17" s="120">
        <f>IFERROR(__xludf.DUMMYFUNCTION("IFNA(QUERY(OptionsPositions, ""SELECT SUM(W) WHERE A = '"" &amp; A17 &amp; ""' LABEL SUM(W) ''""), 0)"),0.00132821)</f>
        <v>0.00132821</v>
      </c>
      <c r="T17" s="120">
        <f>IFERROR(__xludf.DUMMYFUNCTION("IFNA(QUERY(OptionsPositions, ""SELECT SUM(X) WHERE A = '"" &amp; A17 &amp; ""' LABEL SUM(X) ''""), 0)"),5.2509E-4)</f>
        <v>0.00052509</v>
      </c>
      <c r="U17" s="117">
        <f>IFERROR(__xludf.DUMMYFUNCTION("IFNA(QUERY(OptionsPositions, ""SELECT AVG(Y) WHERE A = '"" &amp; A17 &amp; ""' LABEL AVG(Y) ''""), 0)"),53.0)</f>
        <v>53</v>
      </c>
      <c r="V17" s="121">
        <f>IFERROR(__xludf.DUMMYFUNCTION("IFNA(QUERY(OptionsPositions, ""SELECT SUM(Z) WHERE A = '"" &amp; A17 &amp; ""' LABEL SUM(Z) ''""), 0)"),15.51)</f>
        <v>15.51</v>
      </c>
      <c r="W17" s="117">
        <f>IFERROR(__xludf.DUMMYFUNCTION("IFNA(QUERY(OptionsPositions, ""SELECT AVG(AA) WHERE A = '"" &amp; A17 &amp; ""' LABEL AVG(AA) ''""), 0)"),-124497.2972972973)</f>
        <v>-124497.2973</v>
      </c>
      <c r="X17" s="122">
        <f>IFERROR(__xludf.DUMMYFUNCTION("IFNA(QUERY(OptionsPositions, ""SELECT AVG(AB) WHERE A = '"" &amp; A17 &amp; ""' LABEL AVG(AB) ''""), 0)"),1244.972972972973)</f>
        <v>1244.972973</v>
      </c>
      <c r="Y17" s="123">
        <f t="shared" si="3"/>
        <v>-116.3829787</v>
      </c>
      <c r="Z17" s="118">
        <f>IFERROR(__xludf.DUMMYFUNCTION("QUERY(OptionsPositions, ""SELECT SUM(L) WHERE A = '"" &amp; A17 &amp; ""' LABEL SUM(L) ''"")"),0.0)</f>
        <v>0</v>
      </c>
    </row>
    <row r="18" ht="22.5" customHeight="1">
      <c r="A18" s="3" t="s">
        <v>208</v>
      </c>
      <c r="B18" s="112" t="str">
        <f>IFERROR(__xludf.DUMMYFUNCTION("IF(COUNT(QUERY(OptionsPositions, ""SELECT 1 WHERE A = '"" &amp; A18  &amp; ""' AND C is not null AND E is null""))&gt;0, QUERY(OptionsPositions, ""SELECT C WHERE A = '"" &amp; A18  &amp; ""' AND E is null ORDER BY C ASC LIMIT 1""), """")"),"")</f>
        <v/>
      </c>
      <c r="C18" s="26">
        <f>IFERROR(__xludf.DUMMYFUNCTION("IF(COUNT(QUERY(OptionsPositions, ""SELECT 1 WHERE A = '"" &amp; A18  &amp; ""' AND C is not null AND E is null""))&gt;0, """", QUERY(OptionsPositions, ""SELECT E WHERE A = '"" &amp; A18  &amp; ""' ORDER BY E DESC LIMIT 1""))"),46070.0)</f>
        <v>46070</v>
      </c>
      <c r="D18" s="113" t="str">
        <f>IF(OptionInstruments[Opened] &lt;&gt; "",IF(OptionInstruments[Closed] = "", TODAY(), OptionInstruments[Closed]) - OptionInstruments[Opened], "")</f>
        <v/>
      </c>
      <c r="E18" s="113">
        <f>IFERROR(__xludf.DUMMYFUNCTION("IFNA(QUERY(OptionsPositions, ""SELECT D WHERE A = '"" &amp; A18 &amp; ""' AND E IS null ORDER BY D LIMIT 1"") - TODAY(), 0)"),0.0)</f>
        <v>0</v>
      </c>
      <c r="F18" s="114" t="str">
        <f t="shared" si="1"/>
        <v>Closed</v>
      </c>
      <c r="G18" s="115" t="str">
        <f>IFERROR(__xludf.DUMMYFUNCTION("QUERY(TradeLog, ""SELECT G WHERE A = '"" &amp; A18 &amp; ""' ORDER BY G DESC LIMIT 1"")"),"Speculative")</f>
        <v>Speculative</v>
      </c>
      <c r="H18" s="116" t="str">
        <f>IFERROR(__xludf.DUMMYFUNCTION("IFNA(QUERY(TradeLog, ""SELECT C WHERE A = '"" &amp; A18 &amp; ""' ORDER BY B DESC LIMIT 1""), """")"),"Short Put Vertical")</f>
        <v>Short Put Vertical</v>
      </c>
      <c r="I18" s="14" t="str">
        <f>IFERROR(__xludf.DUMMYFUNCTION("TEXTJOIN("", "", TRUE,IFNA(QUERY(OptionsPositions, ""SELECT H WHERE A = '"" &amp; A18  &amp; ""' AND C is not null AND E is null ORDER BY H""), """"))"),"")</f>
        <v/>
      </c>
      <c r="J18" s="14" t="str">
        <f>IFERROR(__xludf.DUMMYFUNCTION("QUERY(TradeLog, ""SELECT S WHERE A = '"" &amp; A18 &amp; ""' ORDER BY B DESC LIMIT 1"")  "),"10 EMA")</f>
        <v>10 EMA</v>
      </c>
      <c r="K18" s="117">
        <f t="shared" si="2"/>
        <v>-39.501</v>
      </c>
      <c r="L18" s="117">
        <f>IFERROR(__xludf.DUMMYFUNCTION("IFNA(QUERY(OptionsPositions, ""SELECT SUM(P) WHERE A = '"" &amp; A18 &amp; ""' LABEL SUM(P) ''""), 0)"),0.0)</f>
        <v>0</v>
      </c>
      <c r="M18" s="118">
        <f>IFERROR(__xludf.DUMMYFUNCTION("IFNA(ROUND(QUERY(OptionsPositions, ""SELECT AVG(Q) WHERE A = '"" &amp; A18 &amp; ""' LABEL AVG(Q) ''""), 2), 0)"),0.0)</f>
        <v>0</v>
      </c>
      <c r="N18" s="117">
        <f>IFERROR(__xludf.DUMMYFUNCTION("IFNA(QUERY(OptionsPositions, ""SELECT SUM(R) WHERE A = '"" &amp; A18 &amp; ""' LABEL SUM(R) ''""), 0)"),-39.50099999999999)</f>
        <v>-39.501</v>
      </c>
      <c r="O18" s="117">
        <f>IFERROR(__xludf.DUMMYFUNCTION("IFNA(QUERY(OptionsPositions, ""SELECT AVG(S) WHERE A = '"" &amp; A18 &amp; ""' LABEL AVG(S) ''""), 0)"),5.0)</f>
        <v>5</v>
      </c>
      <c r="P18" s="118">
        <f>IFERROR(__xludf.DUMMYFUNCTION("IFNA(QUERY(OptionsPositions, ""SELECT SUM(T) WHERE A = '"" &amp; A18 &amp; ""' LABEL SUM(T) ''""), 0)"),0.0)</f>
        <v>0</v>
      </c>
      <c r="Q18" s="119">
        <f>IFERROR(__xludf.DUMMYFUNCTION("IFNA(QUERY(OptionsPositions, ""SELECT SUM(U) WHERE A = '"" &amp; A18 &amp; ""' LABEL SUM(U) ''""), 0)"),0.0)</f>
        <v>0</v>
      </c>
      <c r="R18" s="120">
        <f>IFERROR(__xludf.DUMMYFUNCTION("IFNA(QUERY(OptionsPositions, ""SELECT SUM(V) WHERE A = '"" &amp; A18 &amp; ""' LABEL SUM(V) ''""), 0)"),0.0)</f>
        <v>0</v>
      </c>
      <c r="S18" s="120">
        <f>IFERROR(__xludf.DUMMYFUNCTION("IFNA(QUERY(OptionsPositions, ""SELECT SUM(W) WHERE A = '"" &amp; A18 &amp; ""' LABEL SUM(W) ''""), 0)"),0.0)</f>
        <v>0</v>
      </c>
      <c r="T18" s="120">
        <f>IFERROR(__xludf.DUMMYFUNCTION("IFNA(QUERY(OptionsPositions, ""SELECT SUM(X) WHERE A = '"" &amp; A18 &amp; ""' LABEL SUM(X) ''""), 0)"),0.0)</f>
        <v>0</v>
      </c>
      <c r="U18" s="117" t="str">
        <f>IFERROR(__xludf.DUMMYFUNCTION("IFNA(QUERY(OptionsPositions, ""SELECT AVG(Y) WHERE A = '"" &amp; A18 &amp; ""' LABEL AVG(Y) ''""), 0)"),"")</f>
        <v/>
      </c>
      <c r="V18" s="121">
        <f>IFERROR(__xludf.DUMMYFUNCTION("IFNA(QUERY(OptionsPositions, ""SELECT SUM(Z) WHERE A = '"" &amp; A18 &amp; ""' LABEL SUM(Z) ''""), 0)"),1356.1100000000001)</f>
        <v>1356.11</v>
      </c>
      <c r="W18" s="117">
        <f>IFERROR(__xludf.DUMMYFUNCTION("IFNA(QUERY(OptionsPositions, ""SELECT AVG(AA) WHERE A = '"" &amp; A18 &amp; ""' LABEL AVG(AA) ''""), 0)"),78.57142857142857)</f>
        <v>78.57142857</v>
      </c>
      <c r="X18" s="122" t="str">
        <f>IFERROR(__xludf.DUMMYFUNCTION("IFNA(QUERY(OptionsPositions, ""SELECT AVG(AB) WHERE A = '"" &amp; A18 &amp; ""' LABEL AVG(AB) ''""), 0)"),"")</f>
        <v/>
      </c>
      <c r="Y18" s="123">
        <f t="shared" si="3"/>
        <v>0</v>
      </c>
      <c r="Z18" s="118">
        <f>IFERROR(__xludf.DUMMYFUNCTION("QUERY(OptionsPositions, ""SELECT SUM(L) WHERE A = '"" &amp; A18 &amp; ""' LABEL SUM(L) ''"")"),2.3899999999999997)</f>
        <v>2.39</v>
      </c>
    </row>
    <row r="19" ht="22.5" customHeight="1">
      <c r="A19" s="3" t="s">
        <v>217</v>
      </c>
      <c r="B19" s="112">
        <f>IFERROR(__xludf.DUMMYFUNCTION("IF(COUNT(QUERY(OptionsPositions, ""SELECT 1 WHERE A = '"" &amp; A19  &amp; ""' AND C is not null AND E is null""))&gt;0, QUERY(OptionsPositions, ""SELECT C WHERE A = '"" &amp; A19  &amp; ""' AND E is null ORDER BY C ASC LIMIT 1""), """")"),46045.0)</f>
        <v>46045</v>
      </c>
      <c r="C19" s="26" t="str">
        <f>IFERROR(__xludf.DUMMYFUNCTION("IF(COUNT(QUERY(OptionsPositions, ""SELECT 1 WHERE A = '"" &amp; A19  &amp; ""' AND C is not null AND E is null""))&gt;0, """", QUERY(OptionsPositions, ""SELECT E WHERE A = '"" &amp; A19  &amp; ""' ORDER BY E DESC LIMIT 1""))"),"")</f>
        <v/>
      </c>
      <c r="D19" s="113">
        <f>IF(OptionInstruments[Opened] &lt;&gt; "",IF(OptionInstruments[Closed] = "", TODAY(), OptionInstruments[Closed]) - OptionInstruments[Opened], "")</f>
        <v>55</v>
      </c>
      <c r="E19" s="113">
        <f>IFERROR(__xludf.DUMMYFUNCTION("IFNA(QUERY(OptionsPositions, ""SELECT D WHERE A = '"" &amp; A19 &amp; ""' AND E IS null ORDER BY D LIMIT 1"") - TODAY(), 0)"),1.0)</f>
        <v>1</v>
      </c>
      <c r="F19" s="114" t="str">
        <f t="shared" si="1"/>
        <v>Open</v>
      </c>
      <c r="G19" s="115" t="str">
        <f>IFERROR(__xludf.DUMMYFUNCTION("QUERY(TradeLog, ""SELECT G WHERE A = '"" &amp; A19 &amp; ""' ORDER BY G DESC LIMIT 1"")"),"Speculative")</f>
        <v>Speculative</v>
      </c>
      <c r="H19" s="116" t="str">
        <f>IFERROR(__xludf.DUMMYFUNCTION("IFNA(QUERY(TradeLog, ""SELECT C WHERE A = '"" &amp; A19 &amp; ""' ORDER BY B DESC LIMIT 1""), """")"),"Long Call")</f>
        <v>Long Call</v>
      </c>
      <c r="I19" s="14" t="str">
        <f>IFERROR(__xludf.DUMMYFUNCTION("TEXTJOIN("", "", TRUE,IFNA(QUERY(OptionsPositions, ""SELECT H WHERE A = '"" &amp; A19  &amp; ""' AND C is not null AND E is null ORDER BY H""), """"))"),"12")</f>
        <v>12</v>
      </c>
      <c r="J19" s="14" t="str">
        <f>IFERROR(__xludf.DUMMYFUNCTION("QUERY(TradeLog, ""SELECT S WHERE A = '"" &amp; A19 &amp; ""' ORDER BY B DESC LIMIT 1"")  "),"")</f>
        <v/>
      </c>
      <c r="K19" s="117">
        <f t="shared" si="2"/>
        <v>0.951</v>
      </c>
      <c r="L19" s="117">
        <f>IFERROR(__xludf.DUMMYFUNCTION("IFNA(QUERY(OptionsPositions, ""SELECT SUM(P) WHERE A = '"" &amp; A19 &amp; ""' LABEL SUM(P) ''""), 0)"),0.9509999999999991)</f>
        <v>0.951</v>
      </c>
      <c r="M19" s="118">
        <f>IFERROR(__xludf.DUMMYFUNCTION("IFNA(ROUND(QUERY(OptionsPositions, ""SELECT AVG(Q) WHERE A = '"" &amp; A19 &amp; ""' LABEL AVG(Q) ''""), 2), 0)"),9.0)</f>
        <v>9</v>
      </c>
      <c r="N19" s="117">
        <f>IFERROR(__xludf.DUMMYFUNCTION("IFNA(QUERY(OptionsPositions, ""SELECT SUM(R) WHERE A = '"" &amp; A19 &amp; ""' LABEL SUM(R) ''""), 0)"),0.0)</f>
        <v>0</v>
      </c>
      <c r="O19" s="117">
        <f>IFERROR(__xludf.DUMMYFUNCTION("IFNA(QUERY(OptionsPositions, ""SELECT AVG(S) WHERE A = '"" &amp; A19 &amp; ""' LABEL AVG(S) ''""), 0)"),0.0)</f>
        <v>0</v>
      </c>
      <c r="P19" s="118">
        <f>IFERROR(__xludf.DUMMYFUNCTION("IFNA(QUERY(OptionsPositions, ""SELECT SUM(T) WHERE A = '"" &amp; A19 &amp; ""' LABEL SUM(T) ''""), 0)"),0.12)</f>
        <v>0.12</v>
      </c>
      <c r="Q19" s="119">
        <f>IFERROR(__xludf.DUMMYFUNCTION("IFNA(QUERY(OptionsPositions, ""SELECT SUM(U) WHERE A = '"" &amp; A19 &amp; ""' LABEL SUM(U) ''""), 0)"),0.21701075)</f>
        <v>0.21701075</v>
      </c>
      <c r="R19" s="120">
        <f>IFERROR(__xludf.DUMMYFUNCTION("IFNA(QUERY(OptionsPositions, ""SELECT SUM(V) WHERE A = '"" &amp; A19 &amp; ""' LABEL SUM(V) ''""), 0)"),-0.01238985)</f>
        <v>-0.01238985</v>
      </c>
      <c r="S19" s="120">
        <f>IFERROR(__xludf.DUMMYFUNCTION("IFNA(QUERY(OptionsPositions, ""SELECT SUM(W) WHERE A = '"" &amp; A19 &amp; ""' LABEL SUM(W) ''""), 0)"),0.35888029)</f>
        <v>0.35888029</v>
      </c>
      <c r="T19" s="120">
        <f>IFERROR(__xludf.DUMMYFUNCTION("IFNA(QUERY(OptionsPositions, ""SELECT SUM(X) WHERE A = '"" &amp; A19 &amp; ""' LABEL SUM(X) ''""), 0)"),0.00519203)</f>
        <v>0.00519203</v>
      </c>
      <c r="U19" s="117">
        <f>IFERROR(__xludf.DUMMYFUNCTION("IFNA(QUERY(OptionsPositions, ""SELECT AVG(Y) WHERE A = '"" &amp; A19 &amp; ""' LABEL AVG(Y) ''""), 0)"),44.0)</f>
        <v>44</v>
      </c>
      <c r="V19" s="121">
        <f>IFERROR(__xludf.DUMMYFUNCTION("IFNA(QUERY(OptionsPositions, ""SELECT SUM(Z) WHERE A = '"" &amp; A19 &amp; ""' LABEL SUM(Z) ''""), 0)"),14.2)</f>
        <v>14.2</v>
      </c>
      <c r="W19" s="117">
        <f>IFERROR(__xludf.DUMMYFUNCTION("IFNA(QUERY(OptionsPositions, ""SELECT AVG(AA) WHERE A = '"" &amp; A19 &amp; ""' LABEL AVG(AA) ''""), 0)"),-82223.21428571429)</f>
        <v>-82223.21429</v>
      </c>
      <c r="X19" s="122">
        <f>IFERROR(__xludf.DUMMYFUNCTION("IFNA(QUERY(OptionsPositions, ""SELECT AVG(AB) WHERE A = '"" &amp; A19 &amp; ""' LABEL AVG(AB) ''""), 0)"),-9135.9126984127)</f>
        <v>-9135.912698</v>
      </c>
      <c r="Y19" s="123">
        <f t="shared" si="3"/>
        <v>6.697183099</v>
      </c>
      <c r="Z19" s="118">
        <f>IFERROR(__xludf.DUMMYFUNCTION("QUERY(OptionsPositions, ""SELECT SUM(L) WHERE A = '"" &amp; A19 &amp; ""' LABEL SUM(L) ''"")"),0.12)</f>
        <v>0.12</v>
      </c>
    </row>
    <row r="20" ht="22.5" customHeight="1">
      <c r="A20" s="3" t="s">
        <v>221</v>
      </c>
      <c r="B20" s="112">
        <f>IFERROR(__xludf.DUMMYFUNCTION("IF(COUNT(QUERY(OptionsPositions, ""SELECT 1 WHERE A = '"" &amp; A20  &amp; ""' AND C is not null AND E is null""))&gt;0, QUERY(OptionsPositions, ""SELECT C WHERE A = '"" &amp; A20  &amp; ""' AND E is null ORDER BY C ASC LIMIT 1""), """")"),46050.0)</f>
        <v>46050</v>
      </c>
      <c r="C20" s="26" t="str">
        <f>IFERROR(__xludf.DUMMYFUNCTION("IF(COUNT(QUERY(OptionsPositions, ""SELECT 1 WHERE A = '"" &amp; A20  &amp; ""' AND C is not null AND E is null""))&gt;0, """", QUERY(OptionsPositions, ""SELECT E WHERE A = '"" &amp; A20  &amp; ""' ORDER BY E DESC LIMIT 1""))"),"")</f>
        <v/>
      </c>
      <c r="D20" s="113">
        <f>IF(OptionInstruments[Opened] &lt;&gt; "",IF(OptionInstruments[Closed] = "", TODAY(), OptionInstruments[Closed]) - OptionInstruments[Opened], "")</f>
        <v>50</v>
      </c>
      <c r="E20" s="113">
        <f>IFERROR(__xludf.DUMMYFUNCTION("IFNA(QUERY(OptionsPositions, ""SELECT D WHERE A = '"" &amp; A20 &amp; ""' AND E IS null ORDER BY D LIMIT 1"") - TODAY(), 0)"),1.0)</f>
        <v>1</v>
      </c>
      <c r="F20" s="114" t="str">
        <f t="shared" si="1"/>
        <v>Open</v>
      </c>
      <c r="G20" s="115" t="str">
        <f>IFERROR(__xludf.DUMMYFUNCTION("QUERY(TradeLog, ""SELECT G WHERE A = '"" &amp; A20 &amp; ""' ORDER BY G DESC LIMIT 1"")"),"Core")</f>
        <v>Core</v>
      </c>
      <c r="H20" s="116" t="str">
        <f>IFERROR(__xludf.DUMMYFUNCTION("IFNA(QUERY(TradeLog, ""SELECT C WHERE A = '"" &amp; A20 &amp; ""' ORDER BY B DESC LIMIT 1""), """")"),"Syntetic Long")</f>
        <v>Syntetic Long</v>
      </c>
      <c r="I20" s="14" t="str">
        <f>IFERROR(__xludf.DUMMYFUNCTION("TEXTJOIN("", "", TRUE,IFNA(QUERY(OptionsPositions, ""SELECT H WHERE A = '"" &amp; A20  &amp; ""' AND C is not null AND E is null ORDER BY H""), """"))"),"5075, 5200, 5250, 5850, 5925, 6275, 6275")</f>
        <v>5075, 5200, 5250, 5850, 5925, 6275, 6275</v>
      </c>
      <c r="J20" s="14" t="str">
        <f>IFERROR(__xludf.DUMMYFUNCTION("QUERY(TradeLog, ""SELECT S WHERE A = '"" &amp; A20 &amp; ""' ORDER BY B DESC LIMIT 1"")  "),"")</f>
        <v/>
      </c>
      <c r="K20" s="117">
        <f t="shared" si="2"/>
        <v>-924.5</v>
      </c>
      <c r="L20" s="117">
        <f>IFERROR(__xludf.DUMMYFUNCTION("IFNA(QUERY(OptionsPositions, ""SELECT SUM(P) WHERE A = '"" &amp; A20 &amp; ""' LABEL SUM(P) ''""), 0)"),213.5)</f>
        <v>213.5</v>
      </c>
      <c r="M20" s="118">
        <f>IFERROR(__xludf.DUMMYFUNCTION("IFNA(ROUND(QUERY(OptionsPositions, ""SELECT AVG(Q) WHERE A = '"" &amp; A20 &amp; ""' LABEL AVG(Q) ''""), 2), 0)"),-20.14)</f>
        <v>-20.14</v>
      </c>
      <c r="N20" s="117">
        <f>IFERROR(__xludf.DUMMYFUNCTION("IFNA(QUERY(OptionsPositions, ""SELECT SUM(R) WHERE A = '"" &amp; A20 &amp; ""' LABEL SUM(R) ''""), 0)"),-1138.0)</f>
        <v>-1138</v>
      </c>
      <c r="O20" s="117">
        <f>IFERROR(__xludf.DUMMYFUNCTION("IFNA(QUERY(OptionsPositions, ""SELECT AVG(S) WHERE A = '"" &amp; A20 &amp; ""' LABEL AVG(S) ''""), 0)"),-20.0)</f>
        <v>-20</v>
      </c>
      <c r="P20" s="118">
        <f>IFERROR(__xludf.DUMMYFUNCTION("IFNA(QUERY(OptionsPositions, ""SELECT SUM(T) WHERE A = '"" &amp; A20 &amp; ""' LABEL SUM(T) ''""), 0)"),380.00000000000006)</f>
        <v>380</v>
      </c>
      <c r="Q20" s="119">
        <f>IFERROR(__xludf.DUMMYFUNCTION("IFNA(QUERY(OptionsPositions, ""SELECT SUM(U) WHERE A = '"" &amp; A20 &amp; ""' LABEL SUM(U) ''""), 0)"),0.14871527)</f>
        <v>0.14871527</v>
      </c>
      <c r="R20" s="120">
        <f>IFERROR(__xludf.DUMMYFUNCTION("IFNA(QUERY(OptionsPositions, ""SELECT SUM(V) WHERE A = '"" &amp; A20 &amp; ""' LABEL SUM(V) ''""), 0)"),1.7613029499999993)</f>
        <v>1.76130295</v>
      </c>
      <c r="S20" s="120">
        <f>IFERROR(__xludf.DUMMYFUNCTION("IFNA(QUERY(OptionsPositions, ""SELECT SUM(W) WHERE A = '"" &amp; A20 &amp; ""' LABEL SUM(W) ''""), 0)"),0.00311979)</f>
        <v>0.00311979</v>
      </c>
      <c r="T20" s="120">
        <f>IFERROR(__xludf.DUMMYFUNCTION("IFNA(QUERY(OptionsPositions, ""SELECT SUM(X) WHERE A = '"" &amp; A20 &amp; ""' LABEL SUM(X) ''""), 0)"),27.0138106)</f>
        <v>27.0138106</v>
      </c>
      <c r="U20" s="117">
        <f>IFERROR(__xludf.DUMMYFUNCTION("IFNA(QUERY(OptionsPositions, ""SELECT AVG(Y) WHERE A = '"" &amp; A20 &amp; ""' LABEL AVG(Y) ''""), 0)"),26.142857142857142)</f>
        <v>26.14285714</v>
      </c>
      <c r="V20" s="121">
        <f>IFERROR(__xludf.DUMMYFUNCTION("IFNA(QUERY(OptionsPositions, ""SELECT SUM(Z) WHERE A = '"" &amp; A20 &amp; ""' LABEL SUM(Z) ''""), 0)"),16219.560000000001)</f>
        <v>16219.56</v>
      </c>
      <c r="W20" s="117">
        <f>IFERROR(__xludf.DUMMYFUNCTION("IFNA(QUERY(OptionsPositions, ""SELECT AVG(AA) WHERE A = '"" &amp; A20 &amp; ""' LABEL AVG(AA) ''""), 0)"),-122226.07675548852)</f>
        <v>-122226.0768</v>
      </c>
      <c r="X20" s="122">
        <f>IFERROR(__xludf.DUMMYFUNCTION("IFNA(QUERY(OptionsPositions, ""SELECT AVG(AB) WHERE A = '"" &amp; A20 &amp; ""' LABEL AVG(AB) ''""), 0)"),508.02568120409603)</f>
        <v>508.0256812</v>
      </c>
      <c r="Y20" s="123">
        <f t="shared" si="3"/>
        <v>1.31631191</v>
      </c>
      <c r="Z20" s="118">
        <f>IFERROR(__xludf.DUMMYFUNCTION("QUERY(OptionsPositions, ""SELECT SUM(L) WHERE A = '"" &amp; A20 &amp; ""' LABEL SUM(L) ''"")"),473.2)</f>
        <v>473.2</v>
      </c>
    </row>
    <row r="21" ht="22.5" customHeight="1">
      <c r="A21" s="3" t="s">
        <v>372</v>
      </c>
      <c r="B21" s="112">
        <f>IFERROR(__xludf.DUMMYFUNCTION("IF(COUNT(QUERY(OptionsPositions, ""SELECT 1 WHERE A = '"" &amp; A21  &amp; ""' AND C is not null AND E is null""))&gt;0, QUERY(OptionsPositions, ""SELECT C WHERE A = '"" &amp; A21  &amp; ""' AND E is null ORDER BY C ASC LIMIT 1""), """")"),46079.0)</f>
        <v>46079</v>
      </c>
      <c r="C21" s="26" t="str">
        <f>IFERROR(__xludf.DUMMYFUNCTION("IF(COUNT(QUERY(OptionsPositions, ""SELECT 1 WHERE A = '"" &amp; A21  &amp; ""' AND C is not null AND E is null""))&gt;0, """", QUERY(OptionsPositions, ""SELECT E WHERE A = '"" &amp; A21  &amp; ""' ORDER BY E DESC LIMIT 1""))"),"")</f>
        <v/>
      </c>
      <c r="D21" s="113">
        <f>IF(OptionInstruments[Opened] &lt;&gt; "",IF(OptionInstruments[Closed] = "", TODAY(), OptionInstruments[Closed]) - OptionInstruments[Opened], "")</f>
        <v>21</v>
      </c>
      <c r="E21" s="113">
        <f>IFERROR(__xludf.DUMMYFUNCTION("IFNA(QUERY(OptionsPositions, ""SELECT D WHERE A = '"" &amp; A21 &amp; ""' AND E IS null ORDER BY D LIMIT 1"") - TODAY(), 0)"),29.0)</f>
        <v>29</v>
      </c>
      <c r="F21" s="114" t="str">
        <f t="shared" si="1"/>
        <v>Open</v>
      </c>
      <c r="G21" s="115" t="str">
        <f>IFERROR(__xludf.DUMMYFUNCTION("QUERY(TradeLog, ""SELECT G WHERE A = '"" &amp; A21 &amp; ""' ORDER BY G DESC LIMIT 1"")"),"Speculative")</f>
        <v>Speculative</v>
      </c>
      <c r="H21" s="116" t="str">
        <f>IFERROR(__xludf.DUMMYFUNCTION("IFNA(QUERY(TradeLog, ""SELECT C WHERE A = '"" &amp; A21 &amp; ""' ORDER BY B DESC LIMIT 1""), """")"),"Long Call")</f>
        <v>Long Call</v>
      </c>
      <c r="I21" s="14" t="str">
        <f>IFERROR(__xludf.DUMMYFUNCTION("TEXTJOIN("", "", TRUE,IFNA(QUERY(OptionsPositions, ""SELECT H WHERE A = '"" &amp; A21  &amp; ""' AND C is not null AND E is null ORDER BY H""), """"))"),"45")</f>
        <v>45</v>
      </c>
      <c r="J21" s="14" t="str">
        <f>IFERROR(__xludf.DUMMYFUNCTION("QUERY(TradeLog, ""SELECT S WHERE A = '"" &amp; A21 &amp; ""' ORDER BY B DESC LIMIT 1"")  "),"")</f>
        <v/>
      </c>
      <c r="K21" s="117">
        <f t="shared" si="2"/>
        <v>-33.529</v>
      </c>
      <c r="L21" s="117">
        <f>IFERROR(__xludf.DUMMYFUNCTION("IFNA(QUERY(OptionsPositions, ""SELECT SUM(P) WHERE A = '"" &amp; A21 &amp; ""' LABEL SUM(P) ''""), 0)"),-33.529)</f>
        <v>-33.529</v>
      </c>
      <c r="M21" s="118">
        <f>IFERROR(__xludf.DUMMYFUNCTION("IFNA(ROUND(QUERY(OptionsPositions, ""SELECT AVG(Q) WHERE A = '"" &amp; A21 &amp; ""' LABEL AVG(Q) ''""), 2), 0)"),-65.0)</f>
        <v>-65</v>
      </c>
      <c r="N21" s="117">
        <f>IFERROR(__xludf.DUMMYFUNCTION("IFNA(QUERY(OptionsPositions, ""SELECT SUM(R) WHERE A = '"" &amp; A21 &amp; ""' LABEL SUM(R) ''""), 0)"),0.0)</f>
        <v>0</v>
      </c>
      <c r="O21" s="117">
        <f>IFERROR(__xludf.DUMMYFUNCTION("IFNA(QUERY(OptionsPositions, ""SELECT AVG(S) WHERE A = '"" &amp; A21 &amp; ""' LABEL AVG(S) ''""), 0)"),0.0)</f>
        <v>0</v>
      </c>
      <c r="P21" s="118">
        <f>IFERROR(__xludf.DUMMYFUNCTION("IFNA(QUERY(OptionsPositions, ""SELECT SUM(T) WHERE A = '"" &amp; A21 &amp; ""' LABEL SUM(T) ''""), 0)"),0.18)</f>
        <v>0.18</v>
      </c>
      <c r="Q21" s="119">
        <f>IFERROR(__xludf.DUMMYFUNCTION("IFNA(QUERY(OptionsPositions, ""SELECT SUM(U) WHERE A = '"" &amp; A21 &amp; ""' LABEL SUM(U) ''""), 0)"),0.05199314)</f>
        <v>0.05199314</v>
      </c>
      <c r="R21" s="120">
        <f>IFERROR(__xludf.DUMMYFUNCTION("IFNA(QUERY(OptionsPositions, ""SELECT SUM(V) WHERE A = '"" &amp; A21 &amp; ""' LABEL SUM(V) ''""), 0)"),-0.01055183)</f>
        <v>-0.01055183</v>
      </c>
      <c r="S21" s="120">
        <f>IFERROR(__xludf.DUMMYFUNCTION("IFNA(QUERY(OptionsPositions, ""SELECT SUM(W) WHERE A = '"" &amp; A21 &amp; ""' LABEL SUM(W) ''""), 0)"),0.01433943)</f>
        <v>0.01433943</v>
      </c>
      <c r="T21" s="120">
        <f>IFERROR(__xludf.DUMMYFUNCTION("IFNA(QUERY(OptionsPositions, ""SELECT SUM(X) WHERE A = '"" &amp; A21 &amp; ""' LABEL SUM(X) ''""), 0)"),0.01096454)</f>
        <v>0.01096454</v>
      </c>
      <c r="U21" s="117">
        <f>IFERROR(__xludf.DUMMYFUNCTION("IFNA(QUERY(OptionsPositions, ""SELECT AVG(Y) WHERE A = '"" &amp; A21 &amp; ""' LABEL AVG(Y) ''""), 0)"),81.0)</f>
        <v>81</v>
      </c>
      <c r="V21" s="121">
        <f>IFERROR(__xludf.DUMMYFUNCTION("IFNA(QUERY(OptionsPositions, ""SELECT SUM(Z) WHERE A = '"" &amp; A21 &amp; ""' LABEL SUM(Z) ''""), 0)"),41.24)</f>
        <v>41.24</v>
      </c>
      <c r="W21" s="117">
        <f>IFERROR(__xludf.DUMMYFUNCTION("IFNA(QUERY(OptionsPositions, ""SELECT AVG(AA) WHERE A = '"" &amp; A21 &amp; ""' LABEL AVG(AA) ''""), 0)"),-92158.0)</f>
        <v>-92158</v>
      </c>
      <c r="X21" s="122">
        <f>IFERROR(__xludf.DUMMYFUNCTION("IFNA(QUERY(OptionsPositions, ""SELECT AVG(AB) WHERE A = '"" &amp; A21 &amp; ""' LABEL AVG(AB) ''""), 0)"),1417.8153846153846)</f>
        <v>1417.815385</v>
      </c>
      <c r="Y21" s="123">
        <f t="shared" si="3"/>
        <v>-81.30213385</v>
      </c>
      <c r="Z21" s="118">
        <f>IFERROR(__xludf.DUMMYFUNCTION("QUERY(OptionsPositions, ""SELECT SUM(L) WHERE A = '"" &amp; A21 &amp; ""' LABEL SUM(L) ''"")"),0.18)</f>
        <v>0.18</v>
      </c>
    </row>
    <row r="22" ht="22.5" customHeight="1">
      <c r="A22" s="3" t="s">
        <v>152</v>
      </c>
      <c r="B22" s="112">
        <f>IFERROR(__xludf.DUMMYFUNCTION("IF(COUNT(QUERY(OptionsPositions, ""SELECT 1 WHERE A = '"" &amp; A22  &amp; ""' AND C is not null AND E is null""))&gt;0, QUERY(OptionsPositions, ""SELECT C WHERE A = '"" &amp; A22  &amp; ""' AND E is null ORDER BY C ASC LIMIT 1""), """")"),46083.0)</f>
        <v>46083</v>
      </c>
      <c r="C22" s="26" t="str">
        <f>IFERROR(__xludf.DUMMYFUNCTION("IF(COUNT(QUERY(OptionsPositions, ""SELECT 1 WHERE A = '"" &amp; A22  &amp; ""' AND C is not null AND E is null""))&gt;0, """", QUERY(OptionsPositions, ""SELECT E WHERE A = '"" &amp; A22  &amp; ""' ORDER BY E DESC LIMIT 1""))"),"")</f>
        <v/>
      </c>
      <c r="D22" s="113">
        <f>IF(OptionInstruments[Opened] &lt;&gt; "",IF(OptionInstruments[Closed] = "", TODAY(), OptionInstruments[Closed]) - OptionInstruments[Opened], "")</f>
        <v>17</v>
      </c>
      <c r="E22" s="113">
        <f>IFERROR(__xludf.DUMMYFUNCTION("IFNA(QUERY(OptionsPositions, ""SELECT D WHERE A = '"" &amp; A22 &amp; ""' AND E IS null ORDER BY D LIMIT 1"") - TODAY(), 0)"),29.0)</f>
        <v>29</v>
      </c>
      <c r="F22" s="114" t="str">
        <f t="shared" si="1"/>
        <v>Open</v>
      </c>
      <c r="G22" s="115" t="str">
        <f>IFERROR(__xludf.DUMMYFUNCTION("QUERY(TradeLog, ""SELECT G WHERE A = '"" &amp; A22 &amp; ""' ORDER BY G DESC LIMIT 1"")"),"Core")</f>
        <v>Core</v>
      </c>
      <c r="H22" s="116" t="str">
        <f>IFERROR(__xludf.DUMMYFUNCTION("IFNA(QUERY(TradeLog, ""SELECT C WHERE A = '"" &amp; A22 &amp; ""' ORDER BY B DESC LIMIT 1""), """")"),"111")</f>
        <v>111</v>
      </c>
      <c r="I22" s="14" t="str">
        <f>IFERROR(__xludf.DUMMYFUNCTION("TEXTJOIN("", "", TRUE,IFNA(QUERY(OptionsPositions, ""SELECT H WHERE A = '"" &amp; A22  &amp; ""' AND C is not null AND E is null ORDER BY H""), """"))"),"450, 460, 465")</f>
        <v>450, 460, 465</v>
      </c>
      <c r="J22" s="14" t="str">
        <f>IFERROR(__xludf.DUMMYFUNCTION("QUERY(TradeLog, ""SELECT S WHERE A = '"" &amp; A22 &amp; ""' ORDER BY B DESC LIMIT 1"")  "),"")</f>
        <v/>
      </c>
      <c r="K22" s="117">
        <f t="shared" si="2"/>
        <v>463.895</v>
      </c>
      <c r="L22" s="117">
        <f>IFERROR(__xludf.DUMMYFUNCTION("IFNA(QUERY(OptionsPositions, ""SELECT SUM(P) WHERE A = '"" &amp; A22 &amp; ""' LABEL SUM(P) ''""), 0)"),-50.10000000000002)</f>
        <v>-50.1</v>
      </c>
      <c r="M22" s="118">
        <f>IFERROR(__xludf.DUMMYFUNCTION("IFNA(ROUND(QUERY(OptionsPositions, ""SELECT AVG(Q) WHERE A = '"" &amp; A22 &amp; ""' LABEL AVG(Q) ''""), 2), 0)"),-6.0)</f>
        <v>-6</v>
      </c>
      <c r="N22" s="117">
        <f>IFERROR(__xludf.DUMMYFUNCTION("IFNA(QUERY(OptionsPositions, ""SELECT SUM(R) WHERE A = '"" &amp; A22 &amp; ""' LABEL SUM(R) ''""), 0)"),513.9949999999999)</f>
        <v>513.995</v>
      </c>
      <c r="O22" s="117">
        <f>IFERROR(__xludf.DUMMYFUNCTION("IFNA(QUERY(OptionsPositions, ""SELECT AVG(S) WHERE A = '"" &amp; A22 &amp; ""' LABEL AVG(S) ''""), 0)"),-1.4285714285714286)</f>
        <v>-1.428571429</v>
      </c>
      <c r="P22" s="118">
        <f>IFERROR(__xludf.DUMMYFUNCTION("IFNA(QUERY(OptionsPositions, ""SELECT SUM(T) WHERE A = '"" &amp; A22 &amp; ""' LABEL SUM(T) ''""), 0)"),27.72)</f>
        <v>27.72</v>
      </c>
      <c r="Q22" s="119">
        <f>IFERROR(__xludf.DUMMYFUNCTION("IFNA(QUERY(OptionsPositions, ""SELECT SUM(U) WHERE A = '"" &amp; A22 &amp; ""' LABEL SUM(U) ''""), 0)"),0.19902081000000005)</f>
        <v>0.19902081</v>
      </c>
      <c r="R22" s="120">
        <f>IFERROR(__xludf.DUMMYFUNCTION("IFNA(QUERY(OptionsPositions, ""SELECT SUM(V) WHERE A = '"" &amp; A22 &amp; ""' LABEL SUM(V) ''""), 0)"),0.16640421000000002)</f>
        <v>0.16640421</v>
      </c>
      <c r="S22" s="120">
        <f>IFERROR(__xludf.DUMMYFUNCTION("IFNA(QUERY(OptionsPositions, ""SELECT SUM(W) WHERE A = '"" &amp; A22 &amp; ""' LABEL SUM(W) ''""), 0)"),0.02335222)</f>
        <v>0.02335222</v>
      </c>
      <c r="T22" s="120">
        <f>IFERROR(__xludf.DUMMYFUNCTION("IFNA(QUERY(OptionsPositions, ""SELECT SUM(X) WHERE A = '"" &amp; A22 &amp; ""' LABEL SUM(X) ''""), 0)"),1.60095477)</f>
        <v>1.60095477</v>
      </c>
      <c r="U22" s="117">
        <f>IFERROR(__xludf.DUMMYFUNCTION("IFNA(QUERY(OptionsPositions, ""SELECT AVG(Y) WHERE A = '"" &amp; A22 &amp; ""' LABEL AVG(Y) ''""), 0)"),29.333333333333332)</f>
        <v>29.33333333</v>
      </c>
      <c r="V22" s="121">
        <f>IFERROR(__xludf.DUMMYFUNCTION("IFNA(QUERY(OptionsPositions, ""SELECT SUM(Z) WHERE A = '"" &amp; A22 &amp; ""' LABEL SUM(Z) ''""), 0)"),16950.02)</f>
        <v>16950.02</v>
      </c>
      <c r="W22" s="117">
        <f>IFERROR(__xludf.DUMMYFUNCTION("IFNA(QUERY(OptionsPositions, ""SELECT AVG(AA) WHERE A = '"" &amp; A22 &amp; ""' LABEL AVG(AA) ''""), 0)"),-21448.446696451272)</f>
        <v>-21448.4467</v>
      </c>
      <c r="X22" s="122">
        <f>IFERROR(__xludf.DUMMYFUNCTION("IFNA(QUERY(OptionsPositions, ""SELECT AVG(AB) WHERE A = '"" &amp; A22 &amp; ""' LABEL AVG(AB) ''""), 0)"),1796.1643610013177)</f>
        <v>1796.164361</v>
      </c>
      <c r="Y22" s="123">
        <f t="shared" si="3"/>
        <v>-0.2955748725</v>
      </c>
      <c r="Z22" s="118">
        <f>IFERROR(__xludf.DUMMYFUNCTION("QUERY(OptionsPositions, ""SELECT SUM(L) WHERE A = '"" &amp; A22 &amp; ""' LABEL SUM(L) ''"")"),56.95)</f>
        <v>56.95</v>
      </c>
    </row>
    <row r="23" ht="22.5" customHeight="1">
      <c r="A23" s="3" t="s">
        <v>237</v>
      </c>
      <c r="B23" s="112" t="str">
        <f>IFERROR(__xludf.DUMMYFUNCTION("IF(COUNT(QUERY(OptionsPositions, ""SELECT 1 WHERE A = '"" &amp; A23  &amp; ""' AND C is not null AND E is null""))&gt;0, QUERY(OptionsPositions, ""SELECT C WHERE A = '"" &amp; A23  &amp; ""' AND E is null ORDER BY C ASC LIMIT 1""), """")"),"")</f>
        <v/>
      </c>
      <c r="C23" s="26">
        <f>IFERROR(__xludf.DUMMYFUNCTION("IF(COUNT(QUERY(OptionsPositions, ""SELECT 1 WHERE A = '"" &amp; A23  &amp; ""' AND C is not null AND E is null""))&gt;0, """", QUERY(OptionsPositions, ""SELECT E WHERE A = '"" &amp; A23  &amp; ""' ORDER BY E DESC LIMIT 1""))"),46085.0)</f>
        <v>46085</v>
      </c>
      <c r="D23" s="113" t="str">
        <f>IF(OptionInstruments[Opened] &lt;&gt; "",IF(OptionInstruments[Closed] = "", TODAY(), OptionInstruments[Closed]) - OptionInstruments[Opened], "")</f>
        <v/>
      </c>
      <c r="E23" s="113">
        <f>IFERROR(__xludf.DUMMYFUNCTION("IFNA(QUERY(OptionsPositions, ""SELECT D WHERE A = '"" &amp; A23 &amp; ""' AND E IS null ORDER BY D LIMIT 1"") - TODAY(), 0)"),0.0)</f>
        <v>0</v>
      </c>
      <c r="F23" s="114" t="str">
        <f t="shared" si="1"/>
        <v>Closed</v>
      </c>
      <c r="G23" s="115" t="str">
        <f>IFERROR(__xludf.DUMMYFUNCTION("QUERY(TradeLog, ""SELECT G WHERE A = '"" &amp; A23 &amp; ""' ORDER BY G DESC LIMIT 1"")"),"Speculative")</f>
        <v>Speculative</v>
      </c>
      <c r="H23" s="116" t="str">
        <f>IFERROR(__xludf.DUMMYFUNCTION("IFNA(QUERY(TradeLog, ""SELECT C WHERE A = '"" &amp; A23 &amp; ""' ORDER BY B DESC LIMIT 1""), """")"),"Long Call")</f>
        <v>Long Call</v>
      </c>
      <c r="I23" s="14" t="str">
        <f>IFERROR(__xludf.DUMMYFUNCTION("TEXTJOIN("", "", TRUE,IFNA(QUERY(OptionsPositions, ""SELECT H WHERE A = '"" &amp; A23  &amp; ""' AND C is not null AND E is null ORDER BY H""), """"))"),"")</f>
        <v/>
      </c>
      <c r="J23" s="14" t="str">
        <f>IFERROR(__xludf.DUMMYFUNCTION("QUERY(TradeLog, ""SELECT S WHERE A = '"" &amp; A23 &amp; ""' ORDER BY B DESC LIMIT 1"")  "),"Close below 32")</f>
        <v>Close below 32</v>
      </c>
      <c r="K23" s="117">
        <f t="shared" si="2"/>
        <v>-26.049</v>
      </c>
      <c r="L23" s="117">
        <f>IFERROR(__xludf.DUMMYFUNCTION("IFNA(QUERY(OptionsPositions, ""SELECT SUM(P) WHERE A = '"" &amp; A23 &amp; ""' LABEL SUM(P) ''""), 0)"),0.0)</f>
        <v>0</v>
      </c>
      <c r="M23" s="118">
        <f>IFERROR(__xludf.DUMMYFUNCTION("IFNA(ROUND(QUERY(OptionsPositions, ""SELECT AVG(Q) WHERE A = '"" &amp; A23 &amp; ""' LABEL AVG(Q) ''""), 2), 0)"),0.0)</f>
        <v>0</v>
      </c>
      <c r="N23" s="117">
        <f>IFERROR(__xludf.DUMMYFUNCTION("IFNA(QUERY(OptionsPositions, ""SELECT SUM(R) WHERE A = '"" &amp; A23 &amp; ""' LABEL SUM(R) ''""), 0)"),-26.049)</f>
        <v>-26.049</v>
      </c>
      <c r="O23" s="117">
        <f>IFERROR(__xludf.DUMMYFUNCTION("IFNA(QUERY(OptionsPositions, ""SELECT AVG(S) WHERE A = '"" &amp; A23 &amp; ""' LABEL AVG(S) ''""), 0)"),-70.0)</f>
        <v>-70</v>
      </c>
      <c r="P23" s="118">
        <f>IFERROR(__xludf.DUMMYFUNCTION("IFNA(QUERY(OptionsPositions, ""SELECT SUM(T) WHERE A = '"" &amp; A23 &amp; ""' LABEL SUM(T) ''""), 0)"),0.0)</f>
        <v>0</v>
      </c>
      <c r="Q23" s="119">
        <f>IFERROR(__xludf.DUMMYFUNCTION("IFNA(QUERY(OptionsPositions, ""SELECT SUM(U) WHERE A = '"" &amp; A23 &amp; ""' LABEL SUM(U) ''""), 0)"),0.0)</f>
        <v>0</v>
      </c>
      <c r="R23" s="120">
        <f>IFERROR(__xludf.DUMMYFUNCTION("IFNA(QUERY(OptionsPositions, ""SELECT SUM(V) WHERE A = '"" &amp; A23 &amp; ""' LABEL SUM(V) ''""), 0)"),0.0)</f>
        <v>0</v>
      </c>
      <c r="S23" s="120">
        <f>IFERROR(__xludf.DUMMYFUNCTION("IFNA(QUERY(OptionsPositions, ""SELECT SUM(W) WHERE A = '"" &amp; A23 &amp; ""' LABEL SUM(W) ''""), 0)"),0.0)</f>
        <v>0</v>
      </c>
      <c r="T23" s="120">
        <f>IFERROR(__xludf.DUMMYFUNCTION("IFNA(QUERY(OptionsPositions, ""SELECT SUM(X) WHERE A = '"" &amp; A23 &amp; ""' LABEL SUM(X) ''""), 0)"),0.0)</f>
        <v>0</v>
      </c>
      <c r="U23" s="117" t="str">
        <f>IFERROR(__xludf.DUMMYFUNCTION("IFNA(QUERY(OptionsPositions, ""SELECT AVG(Y) WHERE A = '"" &amp; A23 &amp; ""' LABEL AVG(Y) ''""), 0)"),"")</f>
        <v/>
      </c>
      <c r="V23" s="121">
        <f>IFERROR(__xludf.DUMMYFUNCTION("IFNA(QUERY(OptionsPositions, ""SELECT SUM(Z) WHERE A = '"" &amp; A23 &amp; ""' LABEL SUM(Z) ''""), 0)"),33.44)</f>
        <v>33.44</v>
      </c>
      <c r="W23" s="117">
        <f>IFERROR(__xludf.DUMMYFUNCTION("IFNA(QUERY(OptionsPositions, ""SELECT AVG(AA) WHERE A = '"" &amp; A23 &amp; ""' LABEL AVG(AA) ''""), 0)"),71.9298245614035)</f>
        <v>71.92982456</v>
      </c>
      <c r="X23" s="122" t="str">
        <f>IFERROR(__xludf.DUMMYFUNCTION("IFNA(QUERY(OptionsPositions, ""SELECT AVG(AB) WHERE A = '"" &amp; A23 &amp; ""' LABEL AVG(AB) ''""), 0)"),"")</f>
        <v/>
      </c>
      <c r="Y23" s="123">
        <f t="shared" si="3"/>
        <v>0</v>
      </c>
      <c r="Z23" s="118">
        <f>IFERROR(__xludf.DUMMYFUNCTION("QUERY(OptionsPositions, ""SELECT SUM(L) WHERE A = '"" &amp; A23 &amp; ""' LABEL SUM(L) ''"")"),0.18)</f>
        <v>0.18</v>
      </c>
    </row>
    <row r="24" ht="22.5" customHeight="1">
      <c r="A24" s="3" t="s">
        <v>244</v>
      </c>
      <c r="B24" s="112" t="str">
        <f>IFERROR(__xludf.DUMMYFUNCTION("IF(COUNT(QUERY(OptionsPositions, ""SELECT 1 WHERE A = '"" &amp; A24  &amp; ""' AND C is not null AND E is null""))&gt;0, QUERY(OptionsPositions, ""SELECT C WHERE A = '"" &amp; A24  &amp; ""' AND E is null ORDER BY C ASC LIMIT 1""), """")"),"")</f>
        <v/>
      </c>
      <c r="C24" s="26">
        <f>IFERROR(__xludf.DUMMYFUNCTION("IF(COUNT(QUERY(OptionsPositions, ""SELECT 1 WHERE A = '"" &amp; A24  &amp; ""' AND C is not null AND E is null""))&gt;0, """", QUERY(OptionsPositions, ""SELECT E WHERE A = '"" &amp; A24  &amp; ""' ORDER BY E DESC LIMIT 1""))"),46087.0)</f>
        <v>46087</v>
      </c>
      <c r="D24" s="113" t="str">
        <f>IF(OptionInstruments[Opened] &lt;&gt; "",IF(OptionInstruments[Closed] = "", TODAY(), OptionInstruments[Closed]) - OptionInstruments[Opened], "")</f>
        <v/>
      </c>
      <c r="E24" s="113">
        <f>IFERROR(__xludf.DUMMYFUNCTION("IFNA(QUERY(OptionsPositions, ""SELECT D WHERE A = '"" &amp; A24 &amp; ""' AND E IS null ORDER BY D LIMIT 1"") - TODAY(), 0)"),0.0)</f>
        <v>0</v>
      </c>
      <c r="F24" s="114" t="str">
        <f t="shared" si="1"/>
        <v>Closed</v>
      </c>
      <c r="G24" s="115" t="str">
        <f>IFERROR(__xludf.DUMMYFUNCTION("QUERY(TradeLog, ""SELECT G WHERE A = '"" &amp; A24 &amp; ""' ORDER BY G DESC LIMIT 1"")"),"Speculative")</f>
        <v>Speculative</v>
      </c>
      <c r="H24" s="116" t="str">
        <f>IFERROR(__xludf.DUMMYFUNCTION("IFNA(QUERY(TradeLog, ""SELECT C WHERE A = '"" &amp; A24 &amp; ""' ORDER BY B DESC LIMIT 1""), """")"),"Long Call Vertical")</f>
        <v>Long Call Vertical</v>
      </c>
      <c r="I24" s="14" t="str">
        <f>IFERROR(__xludf.DUMMYFUNCTION("TEXTJOIN("", "", TRUE,IFNA(QUERY(OptionsPositions, ""SELECT H WHERE A = '"" &amp; A24  &amp; ""' AND C is not null AND E is null ORDER BY H""), """"))"),"")</f>
        <v/>
      </c>
      <c r="J24" s="14" t="str">
        <f>IFERROR(__xludf.DUMMYFUNCTION("QUERY(TradeLog, ""SELECT S WHERE A = '"" &amp; A24 &amp; ""' ORDER BY B DESC LIMIT 1"")  "),"10 EMA")</f>
        <v>10 EMA</v>
      </c>
      <c r="K24" s="117">
        <f t="shared" si="2"/>
        <v>-73.501</v>
      </c>
      <c r="L24" s="117">
        <f>IFERROR(__xludf.DUMMYFUNCTION("IFNA(QUERY(OptionsPositions, ""SELECT SUM(P) WHERE A = '"" &amp; A24 &amp; ""' LABEL SUM(P) ''""), 0)"),0.0)</f>
        <v>0</v>
      </c>
      <c r="M24" s="118">
        <f>IFERROR(__xludf.DUMMYFUNCTION("IFNA(ROUND(QUERY(OptionsPositions, ""SELECT AVG(Q) WHERE A = '"" &amp; A24 &amp; ""' LABEL AVG(Q) ''""), 2), 0)"),0.0)</f>
        <v>0</v>
      </c>
      <c r="N24" s="117">
        <f>IFERROR(__xludf.DUMMYFUNCTION("IFNA(QUERY(OptionsPositions, ""SELECT SUM(R) WHERE A = '"" &amp; A24 &amp; ""' LABEL SUM(R) ''""), 0)"),-73.50099999999999)</f>
        <v>-73.501</v>
      </c>
      <c r="O24" s="117">
        <f>IFERROR(__xludf.DUMMYFUNCTION("IFNA(QUERY(OptionsPositions, ""SELECT AVG(S) WHERE A = '"" &amp; A24 &amp; ""' LABEL AVG(S) ''""), 0)"),-5.0)</f>
        <v>-5</v>
      </c>
      <c r="P24" s="118">
        <f>IFERROR(__xludf.DUMMYFUNCTION("IFNA(QUERY(OptionsPositions, ""SELECT SUM(T) WHERE A = '"" &amp; A24 &amp; ""' LABEL SUM(T) ''""), 0)"),0.0)</f>
        <v>0</v>
      </c>
      <c r="Q24" s="119">
        <f>IFERROR(__xludf.DUMMYFUNCTION("IFNA(QUERY(OptionsPositions, ""SELECT SUM(U) WHERE A = '"" &amp; A24 &amp; ""' LABEL SUM(U) ''""), 0)"),0.0)</f>
        <v>0</v>
      </c>
      <c r="R24" s="120">
        <f>IFERROR(__xludf.DUMMYFUNCTION("IFNA(QUERY(OptionsPositions, ""SELECT SUM(V) WHERE A = '"" &amp; A24 &amp; ""' LABEL SUM(V) ''""), 0)"),0.0)</f>
        <v>0</v>
      </c>
      <c r="S24" s="120">
        <f>IFERROR(__xludf.DUMMYFUNCTION("IFNA(QUERY(OptionsPositions, ""SELECT SUM(W) WHERE A = '"" &amp; A24 &amp; ""' LABEL SUM(W) ''""), 0)"),0.0)</f>
        <v>0</v>
      </c>
      <c r="T24" s="120">
        <f>IFERROR(__xludf.DUMMYFUNCTION("IFNA(QUERY(OptionsPositions, ""SELECT SUM(X) WHERE A = '"" &amp; A24 &amp; ""' LABEL SUM(X) ''""), 0)"),0.0)</f>
        <v>0</v>
      </c>
      <c r="U24" s="117" t="str">
        <f>IFERROR(__xludf.DUMMYFUNCTION("IFNA(QUERY(OptionsPositions, ""SELECT AVG(Y) WHERE A = '"" &amp; A24 &amp; ""' LABEL AVG(Y) ''""), 0)"),"")</f>
        <v/>
      </c>
      <c r="V24" s="121">
        <f>IFERROR(__xludf.DUMMYFUNCTION("IFNA(QUERY(OptionsPositions, ""SELECT SUM(Z) WHERE A = '"" &amp; A24 &amp; ""' LABEL SUM(Z) ''""), 0)"),1815.4299999999998)</f>
        <v>1815.43</v>
      </c>
      <c r="W24" s="117">
        <f>IFERROR(__xludf.DUMMYFUNCTION("IFNA(QUERY(OptionsPositions, ""SELECT AVG(AA) WHERE A = '"" &amp; A24 &amp; ""' LABEL AVG(AA) ''""), 0)"),66.66666666666667)</f>
        <v>66.66666667</v>
      </c>
      <c r="X24" s="122" t="str">
        <f>IFERROR(__xludf.DUMMYFUNCTION("IFNA(QUERY(OptionsPositions, ""SELECT AVG(AB) WHERE A = '"" &amp; A24 &amp; ""' LABEL AVG(AB) ''""), 0)"),"")</f>
        <v/>
      </c>
      <c r="Y24" s="123">
        <f t="shared" si="3"/>
        <v>0</v>
      </c>
      <c r="Z24" s="118">
        <f>IFERROR(__xludf.DUMMYFUNCTION("QUERY(OptionsPositions, ""SELECT SUM(L) WHERE A = '"" &amp; A24 &amp; ""' LABEL SUM(L) ''"")"),1.6500000000000001)</f>
        <v>1.65</v>
      </c>
    </row>
    <row r="25" ht="22.5" customHeight="1">
      <c r="A25" s="3" t="s">
        <v>249</v>
      </c>
      <c r="B25" s="112">
        <f>IFERROR(__xludf.DUMMYFUNCTION("IF(COUNT(QUERY(OptionsPositions, ""SELECT 1 WHERE A = '"" &amp; A25  &amp; ""' AND C is not null AND E is null""))&gt;0, QUERY(OptionsPositions, ""SELECT C WHERE A = '"" &amp; A25  &amp; ""' AND E is null ORDER BY C ASC LIMIT 1""), """")"),46065.0)</f>
        <v>46065</v>
      </c>
      <c r="C25" s="26" t="str">
        <f>IFERROR(__xludf.DUMMYFUNCTION("IF(COUNT(QUERY(OptionsPositions, ""SELECT 1 WHERE A = '"" &amp; A25  &amp; ""' AND C is not null AND E is null""))&gt;0, """", QUERY(OptionsPositions, ""SELECT E WHERE A = '"" &amp; A25  &amp; ""' ORDER BY E DESC LIMIT 1""))"),"")</f>
        <v/>
      </c>
      <c r="D25" s="113">
        <f>IF(OptionInstruments[Opened] &lt;&gt; "",IF(OptionInstruments[Closed] = "", TODAY(), OptionInstruments[Closed]) - OptionInstruments[Opened], "")</f>
        <v>35</v>
      </c>
      <c r="E25" s="113">
        <f>IFERROR(__xludf.DUMMYFUNCTION("IFNA(QUERY(OptionsPositions, ""SELECT D WHERE A = '"" &amp; A25 &amp; ""' AND E IS null ORDER BY D LIMIT 1"") - TODAY(), 0)"),1.0)</f>
        <v>1</v>
      </c>
      <c r="F25" s="114" t="str">
        <f t="shared" si="1"/>
        <v>Open</v>
      </c>
      <c r="G25" s="115" t="str">
        <f>IFERROR(__xludf.DUMMYFUNCTION("QUERY(TradeLog, ""SELECT G WHERE A = '"" &amp; A25 &amp; ""' ORDER BY G DESC LIMIT 1"")"),"Speculative")</f>
        <v>Speculative</v>
      </c>
      <c r="H25" s="116" t="str">
        <f>IFERROR(__xludf.DUMMYFUNCTION("IFNA(QUERY(TradeLog, ""SELECT C WHERE A = '"" &amp; A25 &amp; ""' ORDER BY B DESC LIMIT 1""), """")"),"Long Put")</f>
        <v>Long Put</v>
      </c>
      <c r="I25" s="14" t="str">
        <f>IFERROR(__xludf.DUMMYFUNCTION("TEXTJOIN("", "", TRUE,IFNA(QUERY(OptionsPositions, ""SELECT H WHERE A = '"" &amp; A25  &amp; ""' AND C is not null AND E is null ORDER BY H""), """"))"),"50")</f>
        <v>50</v>
      </c>
      <c r="J25" s="14" t="str">
        <f>IFERROR(__xludf.DUMMYFUNCTION("QUERY(TradeLog, ""SELECT S WHERE A = '"" &amp; A25 &amp; ""' ORDER BY B DESC LIMIT 1"")  "),"Close above 79")</f>
        <v>Close above 79</v>
      </c>
      <c r="K25" s="117">
        <f t="shared" si="2"/>
        <v>-41.799</v>
      </c>
      <c r="L25" s="117">
        <f>IFERROR(__xludf.DUMMYFUNCTION("IFNA(QUERY(OptionsPositions, ""SELECT SUM(P) WHERE A = '"" &amp; A25 &amp; ""' LABEL SUM(P) ''""), 0)"),-41.799)</f>
        <v>-41.799</v>
      </c>
      <c r="M25" s="118">
        <f>IFERROR(__xludf.DUMMYFUNCTION("IFNA(ROUND(QUERY(OptionsPositions, ""SELECT AVG(Q) WHERE A = '"" &amp; A25 &amp; ""' LABEL AVG(Q) ''""), 2), 0)"),-63.0)</f>
        <v>-63</v>
      </c>
      <c r="N25" s="117">
        <f>IFERROR(__xludf.DUMMYFUNCTION("IFNA(QUERY(OptionsPositions, ""SELECT SUM(R) WHERE A = '"" &amp; A25 &amp; ""' LABEL SUM(R) ''""), 0)"),0.0)</f>
        <v>0</v>
      </c>
      <c r="O25" s="117">
        <f>IFERROR(__xludf.DUMMYFUNCTION("IFNA(QUERY(OptionsPositions, ""SELECT AVG(S) WHERE A = '"" &amp; A25 &amp; ""' LABEL AVG(S) ''""), 0)"),0.0)</f>
        <v>0</v>
      </c>
      <c r="P25" s="118">
        <f>IFERROR(__xludf.DUMMYFUNCTION("IFNA(QUERY(OptionsPositions, ""SELECT SUM(T) WHERE A = '"" &amp; A25 &amp; ""' LABEL SUM(T) ''""), 0)"),0.25)</f>
        <v>0.25</v>
      </c>
      <c r="Q25" s="119">
        <f>IFERROR(__xludf.DUMMYFUNCTION("IFNA(QUERY(OptionsPositions, ""SELECT SUM(U) WHERE A = '"" &amp; A25 &amp; ""' LABEL SUM(U) ''""), 0)"),-0.03481721)</f>
        <v>-0.03481721</v>
      </c>
      <c r="R25" s="120">
        <f>IFERROR(__xludf.DUMMYFUNCTION("IFNA(QUERY(OptionsPositions, ""SELECT SUM(V) WHERE A = '"" &amp; A25 &amp; ""' LABEL SUM(V) ''""), 0)"),-0.02619165)</f>
        <v>-0.02619165</v>
      </c>
      <c r="S25" s="120">
        <f>IFERROR(__xludf.DUMMYFUNCTION("IFNA(QUERY(OptionsPositions, ""SELECT SUM(W) WHERE A = '"" &amp; A25 &amp; ""' LABEL SUM(W) ''""), 0)"),0.00461821)</f>
        <v>0.00461821</v>
      </c>
      <c r="T25" s="120">
        <f>IFERROR(__xludf.DUMMYFUNCTION("IFNA(QUERY(OptionsPositions, ""SELECT SUM(X) WHERE A = '"" &amp; A25 &amp; ""' LABEL SUM(X) ''""), 0)"),0.01414904)</f>
        <v>0.01414904</v>
      </c>
      <c r="U25" s="117">
        <f>IFERROR(__xludf.DUMMYFUNCTION("IFNA(QUERY(OptionsPositions, ""SELECT AVG(Y) WHERE A = '"" &amp; A25 &amp; ""' LABEL AVG(Y) ''""), 0)"),89.0)</f>
        <v>89</v>
      </c>
      <c r="V25" s="121">
        <f>IFERROR(__xludf.DUMMYFUNCTION("IFNA(QUERY(OptionsPositions, ""SELECT SUM(Z) WHERE A = '"" &amp; A25 &amp; ""' LABEL SUM(Z) ''""), 0)"),49.44)</f>
        <v>49.44</v>
      </c>
      <c r="W25" s="117">
        <f>IFERROR(__xludf.DUMMYFUNCTION("IFNA(QUERY(OptionsPositions, ""SELECT AVG(AA) WHERE A = '"" &amp; A25 &amp; ""' LABEL AVG(AA) ''""), 0)"),-127958.33333333333)</f>
        <v>-127958.3333</v>
      </c>
      <c r="X25" s="122">
        <f>IFERROR(__xludf.DUMMYFUNCTION("IFNA(QUERY(OptionsPositions, ""SELECT AVG(AB) WHERE A = '"" &amp; A25 &amp; ""' LABEL AVG(AB) ''""), 0)"),2031.084656084656)</f>
        <v>2031.084656</v>
      </c>
      <c r="Y25" s="123">
        <f t="shared" si="3"/>
        <v>-84.54490291</v>
      </c>
      <c r="Z25" s="118">
        <f>IFERROR(__xludf.DUMMYFUNCTION("QUERY(OptionsPositions, ""SELECT SUM(L) WHERE A = '"" &amp; A25 &amp; ""' LABEL SUM(L) ''"")"),0.25)</f>
        <v>0.25</v>
      </c>
    </row>
    <row r="26" ht="22.5" customHeight="1">
      <c r="A26" s="3" t="s">
        <v>108</v>
      </c>
      <c r="B26" s="112" t="str">
        <f>IFERROR(__xludf.DUMMYFUNCTION("IF(COUNT(QUERY(OptionsPositions, ""SELECT 1 WHERE A = '"" &amp; A26  &amp; ""' AND C is not null AND E is null""))&gt;0, QUERY(OptionsPositions, ""SELECT C WHERE A = '"" &amp; A26  &amp; ""' AND E is null ORDER BY C ASC LIMIT 1""), """")"),"")</f>
        <v/>
      </c>
      <c r="C26" s="26">
        <f>IFERROR(__xludf.DUMMYFUNCTION("IF(COUNT(QUERY(OptionsPositions, ""SELECT 1 WHERE A = '"" &amp; A26  &amp; ""' AND C is not null AND E is null""))&gt;0, """", QUERY(OptionsPositions, ""SELECT E WHERE A = '"" &amp; A26  &amp; ""' ORDER BY E DESC LIMIT 1""))"),46076.0)</f>
        <v>46076</v>
      </c>
      <c r="D26" s="113" t="str">
        <f>IF(OptionInstruments[Opened] &lt;&gt; "",IF(OptionInstruments[Closed] = "", TODAY(), OptionInstruments[Closed]) - OptionInstruments[Opened], "")</f>
        <v/>
      </c>
      <c r="E26" s="113">
        <f>IFERROR(__xludf.DUMMYFUNCTION("IFNA(QUERY(OptionsPositions, ""SELECT D WHERE A = '"" &amp; A26 &amp; ""' AND E IS null ORDER BY D LIMIT 1"") - TODAY(), 0)"),0.0)</f>
        <v>0</v>
      </c>
      <c r="F26" s="114" t="str">
        <f t="shared" si="1"/>
        <v>Closed</v>
      </c>
      <c r="G26" s="115" t="str">
        <f>IFERROR(__xludf.DUMMYFUNCTION("QUERY(TradeLog, ""SELECT G WHERE A = '"" &amp; A26 &amp; ""' ORDER BY G DESC LIMIT 1"")"),"Speculative")</f>
        <v>Speculative</v>
      </c>
      <c r="H26" s="116" t="str">
        <f>IFERROR(__xludf.DUMMYFUNCTION("IFNA(QUERY(TradeLog, ""SELECT C WHERE A = '"" &amp; A26 &amp; ""' ORDER BY B DESC LIMIT 1""), """")"),"Long Call")</f>
        <v>Long Call</v>
      </c>
      <c r="I26" s="14" t="str">
        <f>IFERROR(__xludf.DUMMYFUNCTION("TEXTJOIN("", "", TRUE,IFNA(QUERY(OptionsPositions, ""SELECT H WHERE A = '"" &amp; A26  &amp; ""' AND C is not null AND E is null ORDER BY H""), """"))"),"")</f>
        <v/>
      </c>
      <c r="J26" s="14" t="str">
        <f>IFERROR(__xludf.DUMMYFUNCTION("QUERY(TradeLog, ""SELECT S WHERE A = '"" &amp; A26 &amp; ""' ORDER BY B DESC LIMIT 1"")  "),"Above 38")</f>
        <v>Above 38</v>
      </c>
      <c r="K26" s="117">
        <f t="shared" si="2"/>
        <v>-201.545</v>
      </c>
      <c r="L26" s="117">
        <f>IFERROR(__xludf.DUMMYFUNCTION("IFNA(QUERY(OptionsPositions, ""SELECT SUM(P) WHERE A = '"" &amp; A26 &amp; ""' LABEL SUM(P) ''""), 0)"),0.0)</f>
        <v>0</v>
      </c>
      <c r="M26" s="118">
        <f>IFERROR(__xludf.DUMMYFUNCTION("IFNA(ROUND(QUERY(OptionsPositions, ""SELECT AVG(Q) WHERE A = '"" &amp; A26 &amp; ""' LABEL AVG(Q) ''""), 2), 0)"),0.0)</f>
        <v>0</v>
      </c>
      <c r="N26" s="117">
        <f>IFERROR(__xludf.DUMMYFUNCTION("IFNA(QUERY(OptionsPositions, ""SELECT SUM(R) WHERE A = '"" &amp; A26 &amp; ""' LABEL SUM(R) ''""), 0)"),-201.54500000000016)</f>
        <v>-201.545</v>
      </c>
      <c r="O26" s="117">
        <f>IFERROR(__xludf.DUMMYFUNCTION("IFNA(QUERY(OptionsPositions, ""SELECT AVG(S) WHERE A = '"" &amp; A26 &amp; ""' LABEL AVG(S) ''""), 0)"),-52.0)</f>
        <v>-52</v>
      </c>
      <c r="P26" s="118">
        <f>IFERROR(__xludf.DUMMYFUNCTION("IFNA(QUERY(OptionsPositions, ""SELECT SUM(T) WHERE A = '"" &amp; A26 &amp; ""' LABEL SUM(T) ''""), 0)"),0.0)</f>
        <v>0</v>
      </c>
      <c r="Q26" s="119">
        <f>IFERROR(__xludf.DUMMYFUNCTION("IFNA(QUERY(OptionsPositions, ""SELECT SUM(U) WHERE A = '"" &amp; A26 &amp; ""' LABEL SUM(U) ''""), 0)"),0.0)</f>
        <v>0</v>
      </c>
      <c r="R26" s="120">
        <f>IFERROR(__xludf.DUMMYFUNCTION("IFNA(QUERY(OptionsPositions, ""SELECT SUM(V) WHERE A = '"" &amp; A26 &amp; ""' LABEL SUM(V) ''""), 0)"),0.0)</f>
        <v>0</v>
      </c>
      <c r="S26" s="120">
        <f>IFERROR(__xludf.DUMMYFUNCTION("IFNA(QUERY(OptionsPositions, ""SELECT SUM(W) WHERE A = '"" &amp; A26 &amp; ""' LABEL SUM(W) ''""), 0)"),0.0)</f>
        <v>0</v>
      </c>
      <c r="T26" s="120">
        <f>IFERROR(__xludf.DUMMYFUNCTION("IFNA(QUERY(OptionsPositions, ""SELECT SUM(X) WHERE A = '"" &amp; A26 &amp; ""' LABEL SUM(X) ''""), 0)"),0.0)</f>
        <v>0</v>
      </c>
      <c r="U26" s="117" t="str">
        <f>IFERROR(__xludf.DUMMYFUNCTION("IFNA(QUERY(OptionsPositions, ""SELECT AVG(Y) WHERE A = '"" &amp; A26 &amp; ""' LABEL AVG(Y) ''""), 0)"),"")</f>
        <v/>
      </c>
      <c r="V26" s="121">
        <f>IFERROR(__xludf.DUMMYFUNCTION("IFNA(QUERY(OptionsPositions, ""SELECT SUM(Z) WHERE A = '"" &amp; A26 &amp; ""' LABEL SUM(Z) ''""), 0)"),2565.26)</f>
        <v>2565.26</v>
      </c>
      <c r="W26" s="117">
        <f>IFERROR(__xludf.DUMMYFUNCTION("IFNA(QUERY(OptionsPositions, ""SELECT AVG(AA) WHERE A = '"" &amp; A26 &amp; ""' LABEL AVG(AA) ''""), 0)"),49.679763797410864)</f>
        <v>49.6797638</v>
      </c>
      <c r="X26" s="122" t="str">
        <f>IFERROR(__xludf.DUMMYFUNCTION("IFNA(QUERY(OptionsPositions, ""SELECT AVG(AB) WHERE A = '"" &amp; A26 &amp; ""' LABEL AVG(AB) ''""), 0)"),"")</f>
        <v/>
      </c>
      <c r="Y26" s="123">
        <f t="shared" si="3"/>
        <v>0</v>
      </c>
      <c r="Z26" s="118">
        <f>IFERROR(__xludf.DUMMYFUNCTION("QUERY(OptionsPositions, ""SELECT SUM(L) WHERE A = '"" &amp; A26 &amp; ""' LABEL SUM(L) ''"")"),5.119999999999999)</f>
        <v>5.12</v>
      </c>
    </row>
    <row r="27" ht="22.5" customHeight="1">
      <c r="A27" s="3" t="s">
        <v>235</v>
      </c>
      <c r="B27" s="112" t="str">
        <f>IFERROR(__xludf.DUMMYFUNCTION("IF(COUNT(QUERY(OptionsPositions, ""SELECT 1 WHERE A = '"" &amp; A27  &amp; ""' AND C is not null AND E is null""))&gt;0, QUERY(OptionsPositions, ""SELECT C WHERE A = '"" &amp; A27  &amp; ""' AND E is null ORDER BY C ASC LIMIT 1""), """")"),"")</f>
        <v/>
      </c>
      <c r="C27" s="26">
        <f>IFERROR(__xludf.DUMMYFUNCTION("IF(COUNT(QUERY(OptionsPositions, ""SELECT 1 WHERE A = '"" &amp; A27  &amp; ""' AND C is not null AND E is null""))&gt;0, """", QUERY(OptionsPositions, ""SELECT E WHERE A = '"" &amp; A27  &amp; ""' ORDER BY E DESC LIMIT 1""))"),46058.0)</f>
        <v>46058</v>
      </c>
      <c r="D27" s="113" t="str">
        <f>IF(OptionInstruments[Opened] &lt;&gt; "",IF(OptionInstruments[Closed] = "", TODAY(), OptionInstruments[Closed]) - OptionInstruments[Opened], "")</f>
        <v/>
      </c>
      <c r="E27" s="113">
        <f>IFERROR(__xludf.DUMMYFUNCTION("IFNA(QUERY(OptionsPositions, ""SELECT D WHERE A = '"" &amp; A27 &amp; ""' AND E IS null ORDER BY D LIMIT 1"") - TODAY(), 0)"),0.0)</f>
        <v>0</v>
      </c>
      <c r="F27" s="114" t="str">
        <f t="shared" si="1"/>
        <v>Closed</v>
      </c>
      <c r="G27" s="115" t="str">
        <f>IFERROR(__xludf.DUMMYFUNCTION("QUERY(TradeLog, ""SELECT G WHERE A = '"" &amp; A27 &amp; ""' ORDER BY G DESC LIMIT 1"")"),"Speculative")</f>
        <v>Speculative</v>
      </c>
      <c r="H27" s="116" t="str">
        <f>IFERROR(__xludf.DUMMYFUNCTION("IFNA(QUERY(TradeLog, ""SELECT C WHERE A = '"" &amp; A27 &amp; ""' ORDER BY B DESC LIMIT 1""), """")"),"Long Call Vertical")</f>
        <v>Long Call Vertical</v>
      </c>
      <c r="I27" s="14" t="str">
        <f>IFERROR(__xludf.DUMMYFUNCTION("TEXTJOIN("", "", TRUE,IFNA(QUERY(OptionsPositions, ""SELECT H WHERE A = '"" &amp; A27  &amp; ""' AND C is not null AND E is null ORDER BY H""), """"))"),"")</f>
        <v/>
      </c>
      <c r="J27" s="14" t="str">
        <f>IFERROR(__xludf.DUMMYFUNCTION("QUERY(TradeLog, ""SELECT S WHERE A = '"" &amp; A27 &amp; ""' ORDER BY B DESC LIMIT 1"")  "),"")</f>
        <v/>
      </c>
      <c r="K27" s="117">
        <f t="shared" si="2"/>
        <v>-81.501</v>
      </c>
      <c r="L27" s="117">
        <f>IFERROR(__xludf.DUMMYFUNCTION("IFNA(QUERY(OptionsPositions, ""SELECT SUM(P) WHERE A = '"" &amp; A27 &amp; ""' LABEL SUM(P) ''""), 0)"),0.0)</f>
        <v>0</v>
      </c>
      <c r="M27" s="118">
        <f>IFERROR(__xludf.DUMMYFUNCTION("IFNA(ROUND(QUERY(OptionsPositions, ""SELECT AVG(Q) WHERE A = '"" &amp; A27 &amp; ""' LABEL AVG(Q) ''""), 2), 0)"),0.0)</f>
        <v>0</v>
      </c>
      <c r="N27" s="117">
        <f>IFERROR(__xludf.DUMMYFUNCTION("IFNA(QUERY(OptionsPositions, ""SELECT SUM(R) WHERE A = '"" &amp; A27 &amp; ""' LABEL SUM(R) ''""), 0)"),-81.50100000000003)</f>
        <v>-81.501</v>
      </c>
      <c r="O27" s="117">
        <f>IFERROR(__xludf.DUMMYFUNCTION("IFNA(QUERY(OptionsPositions, ""SELECT AVG(S) WHERE A = '"" &amp; A27 &amp; ""' LABEL AVG(S) ''""), 0)"),0.0)</f>
        <v>0</v>
      </c>
      <c r="P27" s="118">
        <f>IFERROR(__xludf.DUMMYFUNCTION("IFNA(QUERY(OptionsPositions, ""SELECT SUM(T) WHERE A = '"" &amp; A27 &amp; ""' LABEL SUM(T) ''""), 0)"),0.0)</f>
        <v>0</v>
      </c>
      <c r="Q27" s="119">
        <f>IFERROR(__xludf.DUMMYFUNCTION("IFNA(QUERY(OptionsPositions, ""SELECT SUM(U) WHERE A = '"" &amp; A27 &amp; ""' LABEL SUM(U) ''""), 0)"),0.0)</f>
        <v>0</v>
      </c>
      <c r="R27" s="120">
        <f>IFERROR(__xludf.DUMMYFUNCTION("IFNA(QUERY(OptionsPositions, ""SELECT SUM(V) WHERE A = '"" &amp; A27 &amp; ""' LABEL SUM(V) ''""), 0)"),0.0)</f>
        <v>0</v>
      </c>
      <c r="S27" s="120">
        <f>IFERROR(__xludf.DUMMYFUNCTION("IFNA(QUERY(OptionsPositions, ""SELECT SUM(W) WHERE A = '"" &amp; A27 &amp; ""' LABEL SUM(W) ''""), 0)"),0.0)</f>
        <v>0</v>
      </c>
      <c r="T27" s="120">
        <f>IFERROR(__xludf.DUMMYFUNCTION("IFNA(QUERY(OptionsPositions, ""SELECT SUM(X) WHERE A = '"" &amp; A27 &amp; ""' LABEL SUM(X) ''""), 0)"),0.0)</f>
        <v>0</v>
      </c>
      <c r="U27" s="117" t="str">
        <f>IFERROR(__xludf.DUMMYFUNCTION("IFNA(QUERY(OptionsPositions, ""SELECT AVG(Y) WHERE A = '"" &amp; A27 &amp; ""' LABEL AVG(Y) ''""), 0)"),"")</f>
        <v/>
      </c>
      <c r="V27" s="121">
        <f>IFERROR(__xludf.DUMMYFUNCTION("IFNA(QUERY(OptionsPositions, ""SELECT SUM(Z) WHERE A = '"" &amp; A27 &amp; ""' LABEL SUM(Z) ''""), 0)"),667.8399999999999)</f>
        <v>667.84</v>
      </c>
      <c r="W27" s="117">
        <f>IFERROR(__xludf.DUMMYFUNCTION("IFNA(QUERY(OptionsPositions, ""SELECT AVG(AA) WHERE A = '"" &amp; A27 &amp; ""' LABEL AVG(AA) ''""), 0)"),25.862068965517242)</f>
        <v>25.86206897</v>
      </c>
      <c r="X27" s="122" t="str">
        <f>IFERROR(__xludf.DUMMYFUNCTION("IFNA(QUERY(OptionsPositions, ""SELECT AVG(AB) WHERE A = '"" &amp; A27 &amp; ""' LABEL AVG(AB) ''""), 0)"),"")</f>
        <v/>
      </c>
      <c r="Y27" s="123">
        <f t="shared" si="3"/>
        <v>0</v>
      </c>
      <c r="Z27" s="118">
        <f>IFERROR(__xludf.DUMMYFUNCTION("QUERY(OptionsPositions, ""SELECT SUM(L) WHERE A = '"" &amp; A27 &amp; ""' LABEL SUM(L) ''"")"),2.9799999999999995)</f>
        <v>2.98</v>
      </c>
    </row>
    <row r="28" ht="22.5" customHeight="1">
      <c r="A28" s="3" t="s">
        <v>245</v>
      </c>
      <c r="B28" s="112" t="str">
        <f>IFERROR(__xludf.DUMMYFUNCTION("IF(COUNT(QUERY(OptionsPositions, ""SELECT 1 WHERE A = '"" &amp; A28  &amp; ""' AND C is not null AND E is null""))&gt;0, QUERY(OptionsPositions, ""SELECT C WHERE A = '"" &amp; A28  &amp; ""' AND E is null ORDER BY C ASC LIMIT 1""), """")"),"")</f>
        <v/>
      </c>
      <c r="C28" s="26">
        <f>IFERROR(__xludf.DUMMYFUNCTION("IF(COUNT(QUERY(OptionsPositions, ""SELECT 1 WHERE A = '"" &amp; A28  &amp; ""' AND C is not null AND E is null""))&gt;0, """", QUERY(OptionsPositions, ""SELECT E WHERE A = '"" &amp; A28  &amp; ""' ORDER BY E DESC LIMIT 1""))"),46077.0)</f>
        <v>46077</v>
      </c>
      <c r="D28" s="113" t="str">
        <f>IF(OptionInstruments[Opened] &lt;&gt; "",IF(OptionInstruments[Closed] = "", TODAY(), OptionInstruments[Closed]) - OptionInstruments[Opened], "")</f>
        <v/>
      </c>
      <c r="E28" s="113">
        <f>IFERROR(__xludf.DUMMYFUNCTION("IFNA(QUERY(OptionsPositions, ""SELECT D WHERE A = '"" &amp; A28 &amp; ""' AND E IS null ORDER BY D LIMIT 1"") - TODAY(), 0)"),0.0)</f>
        <v>0</v>
      </c>
      <c r="F28" s="114" t="str">
        <f t="shared" si="1"/>
        <v>Closed</v>
      </c>
      <c r="G28" s="115" t="str">
        <f>IFERROR(__xludf.DUMMYFUNCTION("QUERY(TradeLog, ""SELECT G WHERE A = '"" &amp; A28 &amp; ""' ORDER BY G DESC LIMIT 1"")"),"Speculative")</f>
        <v>Speculative</v>
      </c>
      <c r="H28" s="116" t="str">
        <f>IFERROR(__xludf.DUMMYFUNCTION("IFNA(QUERY(TradeLog, ""SELECT C WHERE A = '"" &amp; A28 &amp; ""' ORDER BY B DESC LIMIT 1""), """")"),"Long Strangle")</f>
        <v>Long Strangle</v>
      </c>
      <c r="I28" s="14" t="str">
        <f>IFERROR(__xludf.DUMMYFUNCTION("TEXTJOIN("", "", TRUE,IFNA(QUERY(OptionsPositions, ""SELECT H WHERE A = '"" &amp; A28  &amp; ""' AND C is not null AND E is null ORDER BY H""), """"))"),"")</f>
        <v/>
      </c>
      <c r="J28" s="14" t="str">
        <f>IFERROR(__xludf.DUMMYFUNCTION("QUERY(TradeLog, ""SELECT S WHERE A = '"" &amp; A28 &amp; ""' ORDER BY B DESC LIMIT 1"")  "),"Depending on behavior. Trend follow with EMA down or up.")</f>
        <v>Depending on behavior. Trend follow with EMA down or up.</v>
      </c>
      <c r="K28" s="117">
        <f t="shared" si="2"/>
        <v>-88.1</v>
      </c>
      <c r="L28" s="117">
        <f>IFERROR(__xludf.DUMMYFUNCTION("IFNA(QUERY(OptionsPositions, ""SELECT SUM(P) WHERE A = '"" &amp; A28 &amp; ""' LABEL SUM(P) ''""), 0)"),0.0)</f>
        <v>0</v>
      </c>
      <c r="M28" s="118">
        <f>IFERROR(__xludf.DUMMYFUNCTION("IFNA(ROUND(QUERY(OptionsPositions, ""SELECT AVG(Q) WHERE A = '"" &amp; A28 &amp; ""' LABEL AVG(Q) ''""), 2), 0)"),0.0)</f>
        <v>0</v>
      </c>
      <c r="N28" s="117">
        <f>IFERROR(__xludf.DUMMYFUNCTION("IFNA(QUERY(OptionsPositions, ""SELECT SUM(R) WHERE A = '"" &amp; A28 &amp; ""' LABEL SUM(R) ''""), 0)"),-88.10000000000002)</f>
        <v>-88.1</v>
      </c>
      <c r="O28" s="117">
        <f>IFERROR(__xludf.DUMMYFUNCTION("IFNA(QUERY(OptionsPositions, ""SELECT AVG(S) WHERE A = '"" &amp; A28 &amp; ""' LABEL AVG(S) ''""), 0)"),-13.333333333333334)</f>
        <v>-13.33333333</v>
      </c>
      <c r="P28" s="118">
        <f>IFERROR(__xludf.DUMMYFUNCTION("IFNA(QUERY(OptionsPositions, ""SELECT SUM(T) WHERE A = '"" &amp; A28 &amp; ""' LABEL SUM(T) ''""), 0)"),0.0)</f>
        <v>0</v>
      </c>
      <c r="Q28" s="119">
        <f>IFERROR(__xludf.DUMMYFUNCTION("IFNA(QUERY(OptionsPositions, ""SELECT SUM(U) WHERE A = '"" &amp; A28 &amp; ""' LABEL SUM(U) ''""), 0)"),0.0)</f>
        <v>0</v>
      </c>
      <c r="R28" s="120">
        <f>IFERROR(__xludf.DUMMYFUNCTION("IFNA(QUERY(OptionsPositions, ""SELECT SUM(V) WHERE A = '"" &amp; A28 &amp; ""' LABEL SUM(V) ''""), 0)"),0.0)</f>
        <v>0</v>
      </c>
      <c r="S28" s="120">
        <f>IFERROR(__xludf.DUMMYFUNCTION("IFNA(QUERY(OptionsPositions, ""SELECT SUM(W) WHERE A = '"" &amp; A28 &amp; ""' LABEL SUM(W) ''""), 0)"),0.0)</f>
        <v>0</v>
      </c>
      <c r="T28" s="120">
        <f>IFERROR(__xludf.DUMMYFUNCTION("IFNA(QUERY(OptionsPositions, ""SELECT SUM(X) WHERE A = '"" &amp; A28 &amp; ""' LABEL SUM(X) ''""), 0)"),0.0)</f>
        <v>0</v>
      </c>
      <c r="U28" s="117" t="str">
        <f>IFERROR(__xludf.DUMMYFUNCTION("IFNA(QUERY(OptionsPositions, ""SELECT AVG(Y) WHERE A = '"" &amp; A28 &amp; ""' LABEL AVG(Y) ''""), 0)"),"")</f>
        <v/>
      </c>
      <c r="V28" s="121">
        <f>IFERROR(__xludf.DUMMYFUNCTION("IFNA(QUERY(OptionsPositions, ""SELECT SUM(Z) WHERE A = '"" &amp; A28 &amp; ""' LABEL SUM(Z) ''""), 0)"),936.6500000000001)</f>
        <v>936.65</v>
      </c>
      <c r="W28" s="117">
        <f>IFERROR(__xludf.DUMMYFUNCTION("IFNA(QUERY(OptionsPositions, ""SELECT AVG(AA) WHERE A = '"" &amp; A28 &amp; ""' LABEL AVG(AA) ''""), 0)"),55.952380952380956)</f>
        <v>55.95238095</v>
      </c>
      <c r="X28" s="122" t="str">
        <f>IFERROR(__xludf.DUMMYFUNCTION("IFNA(QUERY(OptionsPositions, ""SELECT AVG(AB) WHERE A = '"" &amp; A28 &amp; ""' LABEL AVG(AB) ''""), 0)"),"")</f>
        <v/>
      </c>
      <c r="Y28" s="123">
        <f t="shared" si="3"/>
        <v>0</v>
      </c>
      <c r="Z28" s="118">
        <f>IFERROR(__xludf.DUMMYFUNCTION("QUERY(OptionsPositions, ""SELECT SUM(L) WHERE A = '"" &amp; A28 &amp; ""' LABEL SUM(L) ''"")"),3.0700000000000003)</f>
        <v>3.07</v>
      </c>
    </row>
    <row r="29" ht="22.5" customHeight="1">
      <c r="A29" s="3" t="s">
        <v>222</v>
      </c>
      <c r="B29" s="112">
        <f>IFERROR(__xludf.DUMMYFUNCTION("IF(COUNT(QUERY(OptionsPositions, ""SELECT 1 WHERE A = '"" &amp; A29  &amp; ""' AND C is not null AND E is null""))&gt;0, QUERY(OptionsPositions, ""SELECT C WHERE A = '"" &amp; A29  &amp; ""' AND E is null ORDER BY C ASC LIMIT 1""), """")"),46057.0)</f>
        <v>46057</v>
      </c>
      <c r="C29" s="26" t="str">
        <f>IFERROR(__xludf.DUMMYFUNCTION("IF(COUNT(QUERY(OptionsPositions, ""SELECT 1 WHERE A = '"" &amp; A29  &amp; ""' AND C is not null AND E is null""))&gt;0, """", QUERY(OptionsPositions, ""SELECT E WHERE A = '"" &amp; A29  &amp; ""' ORDER BY E DESC LIMIT 1""))"),"")</f>
        <v/>
      </c>
      <c r="D29" s="113">
        <f>IF(OptionInstruments[Opened] &lt;&gt; "",IF(OptionInstruments[Closed] = "", TODAY(), OptionInstruments[Closed]) - OptionInstruments[Opened], "")</f>
        <v>43</v>
      </c>
      <c r="E29" s="113">
        <f>IFERROR(__xludf.DUMMYFUNCTION("IFNA(QUERY(OptionsPositions, ""SELECT D WHERE A = '"" &amp; A29 &amp; ""' AND E IS null ORDER BY D LIMIT 1"") - TODAY(), 0)"),1.0)</f>
        <v>1</v>
      </c>
      <c r="F29" s="114" t="str">
        <f t="shared" si="1"/>
        <v>Open</v>
      </c>
      <c r="G29" s="115" t="str">
        <f>IFERROR(__xludf.DUMMYFUNCTION("QUERY(TradeLog, ""SELECT G WHERE A = '"" &amp; A29 &amp; ""' ORDER BY G DESC LIMIT 1"")"),"Core")</f>
        <v>Core</v>
      </c>
      <c r="H29" s="116" t="str">
        <f>IFERROR(__xludf.DUMMYFUNCTION("IFNA(QUERY(TradeLog, ""SELECT C WHERE A = '"" &amp; A29 &amp; ""' ORDER BY B DESC LIMIT 1""), """")"),"Short Put")</f>
        <v>Short Put</v>
      </c>
      <c r="I29" s="14" t="str">
        <f>IFERROR(__xludf.DUMMYFUNCTION("TEXTJOIN("", "", TRUE,IFNA(QUERY(OptionsPositions, ""SELECT H WHERE A = '"" &amp; A29  &amp; ""' AND C is not null AND E is null ORDER BY H""), """"))"),"240, 270")</f>
        <v>240, 270</v>
      </c>
      <c r="J29" s="14" t="str">
        <f>IFERROR(__xludf.DUMMYFUNCTION("QUERY(TradeLog, ""SELECT S WHERE A = '"" &amp; A29 &amp; ""' ORDER BY B DESC LIMIT 1"")  "),"DB 45 - 5")</f>
        <v>DB 45 - 5</v>
      </c>
      <c r="K29" s="117">
        <f t="shared" si="2"/>
        <v>90.265</v>
      </c>
      <c r="L29" s="117">
        <f>IFERROR(__xludf.DUMMYFUNCTION("IFNA(QUERY(OptionsPositions, ""SELECT SUM(P) WHERE A = '"" &amp; A29 &amp; ""' LABEL SUM(P) ''""), 0)"),-284.40099999999995)</f>
        <v>-284.401</v>
      </c>
      <c r="M29" s="118">
        <f>IFERROR(__xludf.DUMMYFUNCTION("IFNA(ROUND(QUERY(OptionsPositions, ""SELECT AVG(Q) WHERE A = '"" &amp; A29 &amp; ""' LABEL AVG(Q) ''""), 2), 0)"),-34.5)</f>
        <v>-34.5</v>
      </c>
      <c r="N29" s="117">
        <f>IFERROR(__xludf.DUMMYFUNCTION("IFNA(QUERY(OptionsPositions, ""SELECT SUM(R) WHERE A = '"" &amp; A29 &amp; ""' LABEL SUM(R) ''""), 0)"),374.666)</f>
        <v>374.666</v>
      </c>
      <c r="O29" s="117">
        <f>IFERROR(__xludf.DUMMYFUNCTION("IFNA(QUERY(OptionsPositions, ""SELECT AVG(S) WHERE A = '"" &amp; A29 &amp; ""' LABEL AVG(S) ''""), 0)"),35.0)</f>
        <v>35</v>
      </c>
      <c r="P29" s="118">
        <f>IFERROR(__xludf.DUMMYFUNCTION("IFNA(QUERY(OptionsPositions, ""SELECT SUM(T) WHERE A = '"" &amp; A29 &amp; ""' LABEL SUM(T) ''""), 0)"),2.24)</f>
        <v>2.24</v>
      </c>
      <c r="Q29" s="119">
        <f>IFERROR(__xludf.DUMMYFUNCTION("IFNA(QUERY(OptionsPositions, ""SELECT SUM(U) WHERE A = '"" &amp; A29 &amp; ""' LABEL SUM(U) ''""), 0)"),0.25885365)</f>
        <v>0.25885365</v>
      </c>
      <c r="R29" s="120">
        <f>IFERROR(__xludf.DUMMYFUNCTION("IFNA(QUERY(OptionsPositions, ""SELECT SUM(V) WHERE A = '"" &amp; A29 &amp; ""' LABEL SUM(V) ''""), 0)"),0.1888269)</f>
        <v>0.1888269</v>
      </c>
      <c r="S29" s="120">
        <f>IFERROR(__xludf.DUMMYFUNCTION("IFNA(QUERY(OptionsPositions, ""SELECT SUM(W) WHERE A = '"" &amp; A29 &amp; ""' LABEL SUM(W) ''""), 0)"),0.0276831)</f>
        <v>0.0276831</v>
      </c>
      <c r="T29" s="120">
        <f>IFERROR(__xludf.DUMMYFUNCTION("IFNA(QUERY(OptionsPositions, ""SELECT SUM(X) WHERE A = '"" &amp; A29 &amp; ""' LABEL SUM(X) ''""), 0)"),0.16897931)</f>
        <v>0.16897931</v>
      </c>
      <c r="U29" s="117">
        <f>IFERROR(__xludf.DUMMYFUNCTION("IFNA(QUERY(OptionsPositions, ""SELECT AVG(Y) WHERE A = '"" &amp; A29 &amp; ""' LABEL AVG(Y) ''""), 0)"),32.5)</f>
        <v>32.5</v>
      </c>
      <c r="V29" s="121">
        <f>IFERROR(__xludf.DUMMYFUNCTION("IFNA(QUERY(OptionsPositions, ""SELECT SUM(Z) WHERE A = '"" &amp; A29 &amp; ""' LABEL SUM(Z) ''""), 0)"),3740.67)</f>
        <v>3740.67</v>
      </c>
      <c r="W29" s="117">
        <f>IFERROR(__xludf.DUMMYFUNCTION("IFNA(QUERY(OptionsPositions, ""SELECT AVG(AA) WHERE A = '"" &amp; A29 &amp; ""' LABEL AVG(AA) ''""), 0)"),-52303.903958944284)</f>
        <v>-52303.90396</v>
      </c>
      <c r="X29" s="122">
        <f>IFERROR(__xludf.DUMMYFUNCTION("IFNA(QUERY(OptionsPositions, ""SELECT AVG(AB) WHERE A = '"" &amp; A29 &amp; ""' LABEL AVG(AB) ''""), 0)"),-1536.7180851063831)</f>
        <v>-1536.718085</v>
      </c>
      <c r="Y29" s="123">
        <f t="shared" si="3"/>
        <v>-7.602942788</v>
      </c>
      <c r="Z29" s="118">
        <f>IFERROR(__xludf.DUMMYFUNCTION("QUERY(OptionsPositions, ""SELECT SUM(L) WHERE A = '"" &amp; A29 &amp; ""' LABEL SUM(L) ''"")"),5.62)</f>
        <v>5.62</v>
      </c>
    </row>
    <row r="30" ht="22.5" customHeight="1">
      <c r="A30" s="3" t="s">
        <v>126</v>
      </c>
      <c r="B30" s="112" t="str">
        <f>IFERROR(__xludf.DUMMYFUNCTION("IF(COUNT(QUERY(OptionsPositions, ""SELECT 1 WHERE A = '"" &amp; A30  &amp; ""' AND C is not null AND E is null""))&gt;0, QUERY(OptionsPositions, ""SELECT C WHERE A = '"" &amp; A30  &amp; ""' AND E is null ORDER BY C ASC LIMIT 1""), """")"),"")</f>
        <v/>
      </c>
      <c r="C30" s="26">
        <f>IFERROR(__xludf.DUMMYFUNCTION("IF(COUNT(QUERY(OptionsPositions, ""SELECT 1 WHERE A = '"" &amp; A30  &amp; ""' AND C is not null AND E is null""))&gt;0, """", QUERY(OptionsPositions, ""SELECT E WHERE A = '"" &amp; A30  &amp; ""' ORDER BY E DESC LIMIT 1""))"),46038.0)</f>
        <v>46038</v>
      </c>
      <c r="D30" s="113" t="str">
        <f>IF(OptionInstruments[Opened] &lt;&gt; "",IF(OptionInstruments[Closed] = "", TODAY(), OptionInstruments[Closed]) - OptionInstruments[Opened], "")</f>
        <v/>
      </c>
      <c r="E30" s="113">
        <f>IFERROR(__xludf.DUMMYFUNCTION("IFNA(QUERY(OptionsPositions, ""SELECT D WHERE A = '"" &amp; A30 &amp; ""' AND E IS null ORDER BY D LIMIT 1"") - TODAY(), 0)"),0.0)</f>
        <v>0</v>
      </c>
      <c r="F30" s="114" t="str">
        <f t="shared" si="1"/>
        <v>Closed</v>
      </c>
      <c r="G30" s="115" t="str">
        <f>IFERROR(__xludf.DUMMYFUNCTION("QUERY(TradeLog, ""SELECT G WHERE A = '"" &amp; A30 &amp; ""' ORDER BY G DESC LIMIT 1"")"),"Speculative")</f>
        <v>Speculative</v>
      </c>
      <c r="H30" s="116" t="str">
        <f>IFERROR(__xludf.DUMMYFUNCTION("IFNA(QUERY(TradeLog, ""SELECT C WHERE A = '"" &amp; A30 &amp; ""' ORDER BY B DESC LIMIT 1""), """")"),"Long Call")</f>
        <v>Long Call</v>
      </c>
      <c r="I30" s="14" t="str">
        <f>IFERROR(__xludf.DUMMYFUNCTION("TEXTJOIN("", "", TRUE,IFNA(QUERY(OptionsPositions, ""SELECT H WHERE A = '"" &amp; A30  &amp; ""' AND C is not null AND E is null ORDER BY H""), """"))"),"")</f>
        <v/>
      </c>
      <c r="J30" s="14" t="str">
        <f>IFERROR(__xludf.DUMMYFUNCTION("QUERY(TradeLog, ""SELECT S WHERE A = '"" &amp; A30 &amp; ""' ORDER BY B DESC LIMIT 1"")  "),"")</f>
        <v/>
      </c>
      <c r="K30" s="117">
        <f t="shared" si="2"/>
        <v>-90.014</v>
      </c>
      <c r="L30" s="117">
        <f>IFERROR(__xludf.DUMMYFUNCTION("IFNA(QUERY(OptionsPositions, ""SELECT SUM(P) WHERE A = '"" &amp; A30 &amp; ""' LABEL SUM(P) ''""), 0)"),0.0)</f>
        <v>0</v>
      </c>
      <c r="M30" s="118">
        <f>IFERROR(__xludf.DUMMYFUNCTION("IFNA(ROUND(QUERY(OptionsPositions, ""SELECT AVG(Q) WHERE A = '"" &amp; A30 &amp; ""' LABEL AVG(Q) ''""), 2), 0)"),0.0)</f>
        <v>0</v>
      </c>
      <c r="N30" s="117">
        <f>IFERROR(__xludf.DUMMYFUNCTION("IFNA(QUERY(OptionsPositions, ""SELECT SUM(R) WHERE A = '"" &amp; A30 &amp; ""' LABEL SUM(R) ''""), 0)"),-90.01400000000001)</f>
        <v>-90.014</v>
      </c>
      <c r="O30" s="117">
        <f>IFERROR(__xludf.DUMMYFUNCTION("IFNA(QUERY(OptionsPositions, ""SELECT AVG(S) WHERE A = '"" &amp; A30 &amp; ""' LABEL AVG(S) ''""), 0)"),-100.0)</f>
        <v>-100</v>
      </c>
      <c r="P30" s="118">
        <f>IFERROR(__xludf.DUMMYFUNCTION("IFNA(QUERY(OptionsPositions, ""SELECT SUM(T) WHERE A = '"" &amp; A30 &amp; ""' LABEL SUM(T) ''""), 0)"),0.0)</f>
        <v>0</v>
      </c>
      <c r="Q30" s="119">
        <f>IFERROR(__xludf.DUMMYFUNCTION("IFNA(QUERY(OptionsPositions, ""SELECT SUM(U) WHERE A = '"" &amp; A30 &amp; ""' LABEL SUM(U) ''""), 0)"),0.0)</f>
        <v>0</v>
      </c>
      <c r="R30" s="120">
        <f>IFERROR(__xludf.DUMMYFUNCTION("IFNA(QUERY(OptionsPositions, ""SELECT SUM(V) WHERE A = '"" &amp; A30 &amp; ""' LABEL SUM(V) ''""), 0)"),0.0)</f>
        <v>0</v>
      </c>
      <c r="S30" s="120">
        <f>IFERROR(__xludf.DUMMYFUNCTION("IFNA(QUERY(OptionsPositions, ""SELECT SUM(W) WHERE A = '"" &amp; A30 &amp; ""' LABEL SUM(W) ''""), 0)"),0.0)</f>
        <v>0</v>
      </c>
      <c r="T30" s="120">
        <f>IFERROR(__xludf.DUMMYFUNCTION("IFNA(QUERY(OptionsPositions, ""SELECT SUM(X) WHERE A = '"" &amp; A30 &amp; ""' LABEL SUM(X) ''""), 0)"),0.0)</f>
        <v>0</v>
      </c>
      <c r="U30" s="117" t="str">
        <f>IFERROR(__xludf.DUMMYFUNCTION("IFNA(QUERY(OptionsPositions, ""SELECT AVG(Y) WHERE A = '"" &amp; A30 &amp; ""' LABEL AVG(Y) ''""), 0)"),"")</f>
        <v/>
      </c>
      <c r="V30" s="121">
        <f>IFERROR(__xludf.DUMMYFUNCTION("IFNA(QUERY(OptionsPositions, ""SELECT SUM(Z) WHERE A = '"" &amp; A30 &amp; ""' LABEL SUM(Z) ''""), 0)"),3.6)</f>
        <v>3.6</v>
      </c>
      <c r="W30" s="117">
        <f>IFERROR(__xludf.DUMMYFUNCTION("IFNA(QUERY(OptionsPositions, ""SELECT AVG(AA) WHERE A = '"" &amp; A30 &amp; ""' LABEL AVG(AA) ''""), 0)"),100.0)</f>
        <v>100</v>
      </c>
      <c r="X30" s="122" t="str">
        <f>IFERROR(__xludf.DUMMYFUNCTION("IFNA(QUERY(OptionsPositions, ""SELECT AVG(AB) WHERE A = '"" &amp; A30 &amp; ""' LABEL AVG(AB) ''""), 0)"),"")</f>
        <v/>
      </c>
      <c r="Y30" s="123">
        <f t="shared" si="3"/>
        <v>0</v>
      </c>
      <c r="Z30" s="118">
        <f>IFERROR(__xludf.DUMMYFUNCTION("QUERY(OptionsPositions, ""SELECT SUM(L) WHERE A = '"" &amp; A30 &amp; ""' LABEL SUM(L) ''"")"),0.01)</f>
        <v>0.01</v>
      </c>
    </row>
    <row r="31" ht="22.5" customHeight="1">
      <c r="A31" s="3" t="s">
        <v>270</v>
      </c>
      <c r="B31" s="112" t="str">
        <f>IFERROR(__xludf.DUMMYFUNCTION("IF(COUNT(QUERY(OptionsPositions, ""SELECT 1 WHERE A = '"" &amp; A31  &amp; ""' AND C is not null AND E is null""))&gt;0, QUERY(OptionsPositions, ""SELECT C WHERE A = '"" &amp; A31  &amp; ""' AND E is null ORDER BY C ASC LIMIT 1""), """")"),"")</f>
        <v/>
      </c>
      <c r="C31" s="26">
        <f>IFERROR(__xludf.DUMMYFUNCTION("IF(COUNT(QUERY(OptionsPositions, ""SELECT 1 WHERE A = '"" &amp; A31  &amp; ""' AND C is not null AND E is null""))&gt;0, """", QUERY(OptionsPositions, ""SELECT E WHERE A = '"" &amp; A31  &amp; ""' ORDER BY E DESC LIMIT 1""))"),46085.0)</f>
        <v>46085</v>
      </c>
      <c r="D31" s="113" t="str">
        <f>IF(OptionInstruments[Opened] &lt;&gt; "",IF(OptionInstruments[Closed] = "", TODAY(), OptionInstruments[Closed]) - OptionInstruments[Opened], "")</f>
        <v/>
      </c>
      <c r="E31" s="113">
        <f>IFERROR(__xludf.DUMMYFUNCTION("IFNA(QUERY(OptionsPositions, ""SELECT D WHERE A = '"" &amp; A31 &amp; ""' AND E IS null ORDER BY D LIMIT 1"") - TODAY(), 0)"),0.0)</f>
        <v>0</v>
      </c>
      <c r="F31" s="114" t="str">
        <f t="shared" si="1"/>
        <v>Closed</v>
      </c>
      <c r="G31" s="115" t="str">
        <f>IFERROR(__xludf.DUMMYFUNCTION("QUERY(TradeLog, ""SELECT G WHERE A = '"" &amp; A31 &amp; ""' ORDER BY G DESC LIMIT 1"")"),"Speculative")</f>
        <v>Speculative</v>
      </c>
      <c r="H31" s="116" t="str">
        <f>IFERROR(__xludf.DUMMYFUNCTION("IFNA(QUERY(TradeLog, ""SELECT C WHERE A = '"" &amp; A31 &amp; ""' ORDER BY B DESC LIMIT 1""), """")"),"Long Call")</f>
        <v>Long Call</v>
      </c>
      <c r="I31" s="14" t="str">
        <f>IFERROR(__xludf.DUMMYFUNCTION("TEXTJOIN("", "", TRUE,IFNA(QUERY(OptionsPositions, ""SELECT H WHERE A = '"" &amp; A31  &amp; ""' AND C is not null AND E is null ORDER BY H""), """"))"),"")</f>
        <v/>
      </c>
      <c r="J31" s="14" t="str">
        <f>IFERROR(__xludf.DUMMYFUNCTION("QUERY(TradeLog, ""SELECT S WHERE A = '"" &amp; A31 &amp; ""' ORDER BY B DESC LIMIT 1"")  "),"Close below 79")</f>
        <v>Close below 79</v>
      </c>
      <c r="K31" s="117">
        <f t="shared" si="2"/>
        <v>-26.049</v>
      </c>
      <c r="L31" s="117">
        <f>IFERROR(__xludf.DUMMYFUNCTION("IFNA(QUERY(OptionsPositions, ""SELECT SUM(P) WHERE A = '"" &amp; A31 &amp; ""' LABEL SUM(P) ''""), 0)"),0.0)</f>
        <v>0</v>
      </c>
      <c r="M31" s="118">
        <f>IFERROR(__xludf.DUMMYFUNCTION("IFNA(ROUND(QUERY(OptionsPositions, ""SELECT AVG(Q) WHERE A = '"" &amp; A31 &amp; ""' LABEL AVG(Q) ''""), 2), 0)"),0.0)</f>
        <v>0</v>
      </c>
      <c r="N31" s="117">
        <f>IFERROR(__xludf.DUMMYFUNCTION("IFNA(QUERY(OptionsPositions, ""SELECT SUM(R) WHERE A = '"" &amp; A31 &amp; ""' LABEL SUM(R) ''""), 0)"),-26.049)</f>
        <v>-26.049</v>
      </c>
      <c r="O31" s="117">
        <f>IFERROR(__xludf.DUMMYFUNCTION("IFNA(QUERY(OptionsPositions, ""SELECT AVG(S) WHERE A = '"" &amp; A31 &amp; ""' LABEL AVG(S) ''""), 0)"),-80.0)</f>
        <v>-80</v>
      </c>
      <c r="P31" s="118">
        <f>IFERROR(__xludf.DUMMYFUNCTION("IFNA(QUERY(OptionsPositions, ""SELECT SUM(T) WHERE A = '"" &amp; A31 &amp; ""' LABEL SUM(T) ''""), 0)"),0.0)</f>
        <v>0</v>
      </c>
      <c r="Q31" s="119">
        <f>IFERROR(__xludf.DUMMYFUNCTION("IFNA(QUERY(OptionsPositions, ""SELECT SUM(U) WHERE A = '"" &amp; A31 &amp; ""' LABEL SUM(U) ''""), 0)"),0.0)</f>
        <v>0</v>
      </c>
      <c r="R31" s="120">
        <f>IFERROR(__xludf.DUMMYFUNCTION("IFNA(QUERY(OptionsPositions, ""SELECT SUM(V) WHERE A = '"" &amp; A31 &amp; ""' LABEL SUM(V) ''""), 0)"),0.0)</f>
        <v>0</v>
      </c>
      <c r="S31" s="120">
        <f>IFERROR(__xludf.DUMMYFUNCTION("IFNA(QUERY(OptionsPositions, ""SELECT SUM(W) WHERE A = '"" &amp; A31 &amp; ""' LABEL SUM(W) ''""), 0)"),0.0)</f>
        <v>0</v>
      </c>
      <c r="T31" s="120">
        <f>IFERROR(__xludf.DUMMYFUNCTION("IFNA(QUERY(OptionsPositions, ""SELECT SUM(X) WHERE A = '"" &amp; A31 &amp; ""' LABEL SUM(X) ''""), 0)"),0.0)</f>
        <v>0</v>
      </c>
      <c r="U31" s="117" t="str">
        <f>IFERROR(__xludf.DUMMYFUNCTION("IFNA(QUERY(OptionsPositions, ""SELECT AVG(Y) WHERE A = '"" &amp; A31 &amp; ""' LABEL AVG(Y) ''""), 0)"),"")</f>
        <v/>
      </c>
      <c r="V31" s="121">
        <f>IFERROR(__xludf.DUMMYFUNCTION("IFNA(QUERY(OptionsPositions, ""SELECT SUM(Z) WHERE A = '"" &amp; A31 &amp; ""' LABEL SUM(Z) ''""), 0)"),21.22)</f>
        <v>21.22</v>
      </c>
      <c r="W31" s="117">
        <f>IFERROR(__xludf.DUMMYFUNCTION("IFNA(QUERY(OptionsPositions, ""SELECT AVG(AA) WHERE A = '"" &amp; A31 &amp; ""' LABEL AVG(AA) ''""), 0)"),55.55555555555556)</f>
        <v>55.55555556</v>
      </c>
      <c r="X31" s="122" t="str">
        <f>IFERROR(__xludf.DUMMYFUNCTION("IFNA(QUERY(OptionsPositions, ""SELECT AVG(AB) WHERE A = '"" &amp; A31 &amp; ""' LABEL AVG(AB) ''""), 0)"),"")</f>
        <v/>
      </c>
      <c r="Y31" s="123">
        <f t="shared" si="3"/>
        <v>0</v>
      </c>
      <c r="Z31" s="118">
        <f>IFERROR(__xludf.DUMMYFUNCTION("QUERY(OptionsPositions, ""SELECT SUM(L) WHERE A = '"" &amp; A31 &amp; ""' LABEL SUM(L) ''"")"),0.1)</f>
        <v>0.1</v>
      </c>
    </row>
    <row r="32" ht="22.5" customHeight="1">
      <c r="A32" s="3" t="s">
        <v>381</v>
      </c>
      <c r="B32" s="112">
        <f>IFERROR(__xludf.DUMMYFUNCTION("IF(COUNT(QUERY(OptionsPositions, ""SELECT 1 WHERE A = '"" &amp; A32  &amp; ""' AND C is not null AND E is null""))&gt;0, QUERY(OptionsPositions, ""SELECT C WHERE A = '"" &amp; A32  &amp; ""' AND E is null ORDER BY C ASC LIMIT 1""), """")"),46080.0)</f>
        <v>46080</v>
      </c>
      <c r="C32" s="26" t="str">
        <f>IFERROR(__xludf.DUMMYFUNCTION("IF(COUNT(QUERY(OptionsPositions, ""SELECT 1 WHERE A = '"" &amp; A32  &amp; ""' AND C is not null AND E is null""))&gt;0, """", QUERY(OptionsPositions, ""SELECT E WHERE A = '"" &amp; A32  &amp; ""' ORDER BY E DESC LIMIT 1""))"),"")</f>
        <v/>
      </c>
      <c r="D32" s="113">
        <f>IF(OptionInstruments[Opened] &lt;&gt; "",IF(OptionInstruments[Closed] = "", TODAY(), OptionInstruments[Closed]) - OptionInstruments[Opened], "")</f>
        <v>20</v>
      </c>
      <c r="E32" s="113">
        <f>IFERROR(__xludf.DUMMYFUNCTION("IFNA(QUERY(OptionsPositions, ""SELECT D WHERE A = '"" &amp; A32 &amp; ""' AND E IS null ORDER BY D LIMIT 1"") - TODAY(), 0)"),1.0)</f>
        <v>1</v>
      </c>
      <c r="F32" s="114" t="str">
        <f t="shared" si="1"/>
        <v>Open</v>
      </c>
      <c r="G32" s="115" t="str">
        <f>IFERROR(__xludf.DUMMYFUNCTION("QUERY(TradeLog, ""SELECT G WHERE A = '"" &amp; A32 &amp; ""' ORDER BY G DESC LIMIT 1"")"),"Speculative")</f>
        <v>Speculative</v>
      </c>
      <c r="H32" s="116" t="str">
        <f>IFERROR(__xludf.DUMMYFUNCTION("IFNA(QUERY(TradeLog, ""SELECT C WHERE A = '"" &amp; A32 &amp; ""' ORDER BY B DESC LIMIT 1""), """")"),"Long Call")</f>
        <v>Long Call</v>
      </c>
      <c r="I32" s="14" t="str">
        <f>IFERROR(__xludf.DUMMYFUNCTION("TEXTJOIN("", "", TRUE,IFNA(QUERY(OptionsPositions, ""SELECT H WHERE A = '"" &amp; A32  &amp; ""' AND C is not null AND E is null ORDER BY H""), """"))"),"65, 70")</f>
        <v>65, 70</v>
      </c>
      <c r="J32" s="14" t="str">
        <f>IFERROR(__xludf.DUMMYFUNCTION("QUERY(TradeLog, ""SELECT S WHERE A = '"" &amp; A32 &amp; ""' ORDER BY B DESC LIMIT 1"")  "),"")</f>
        <v/>
      </c>
      <c r="K32" s="117">
        <f t="shared" si="2"/>
        <v>57.899</v>
      </c>
      <c r="L32" s="117">
        <f>IFERROR(__xludf.DUMMYFUNCTION("IFNA(QUERY(OptionsPositions, ""SELECT SUM(P) WHERE A = '"" &amp; A32 &amp; ""' LABEL SUM(P) ''""), 0)"),57.89899999999999)</f>
        <v>57.899</v>
      </c>
      <c r="M32" s="118">
        <f>IFERROR(__xludf.DUMMYFUNCTION("IFNA(ROUND(QUERY(OptionsPositions, ""SELECT AVG(Q) WHERE A = '"" &amp; A32 &amp; ""' LABEL AVG(Q) ''""), 2), 0)"),4.5)</f>
        <v>4.5</v>
      </c>
      <c r="N32" s="117">
        <f>IFERROR(__xludf.DUMMYFUNCTION("IFNA(QUERY(OptionsPositions, ""SELECT SUM(R) WHERE A = '"" &amp; A32 &amp; ""' LABEL SUM(R) ''""), 0)"),0.0)</f>
        <v>0</v>
      </c>
      <c r="O32" s="117">
        <f>IFERROR(__xludf.DUMMYFUNCTION("IFNA(QUERY(OptionsPositions, ""SELECT AVG(S) WHERE A = '"" &amp; A32 &amp; ""' LABEL AVG(S) ''""), 0)"),0.0)</f>
        <v>0</v>
      </c>
      <c r="P32" s="118">
        <f>IFERROR(__xludf.DUMMYFUNCTION("IFNA(QUERY(OptionsPositions, ""SELECT SUM(T) WHERE A = '"" &amp; A32 &amp; ""' LABEL SUM(T) ''""), 0)"),6.41)</f>
        <v>6.41</v>
      </c>
      <c r="Q32" s="119">
        <f>IFERROR(__xludf.DUMMYFUNCTION("IFNA(QUERY(OptionsPositions, ""SELECT SUM(U) WHERE A = '"" &amp; A32 &amp; ""' LABEL SUM(U) ''""), 0)"),0.15356061)</f>
        <v>0.15356061</v>
      </c>
      <c r="R32" s="120">
        <f>IFERROR(__xludf.DUMMYFUNCTION("IFNA(QUERY(OptionsPositions, ""SELECT SUM(V) WHERE A = '"" &amp; A32 &amp; ""' LABEL SUM(V) ''""), 0)"),-0.012972349999999994)</f>
        <v>-0.01297235</v>
      </c>
      <c r="S32" s="120">
        <f>IFERROR(__xludf.DUMMYFUNCTION("IFNA(QUERY(OptionsPositions, ""SELECT SUM(W) WHERE A = '"" &amp; A32 &amp; ""' LABEL SUM(W) ''""), 0)"),0.06614072)</f>
        <v>0.06614072</v>
      </c>
      <c r="T32" s="120">
        <f>IFERROR(__xludf.DUMMYFUNCTION("IFNA(QUERY(OptionsPositions, ""SELECT SUM(X) WHERE A = '"" &amp; A32 &amp; ""' LABEL SUM(X) ''""), 0)"),0.08118065)</f>
        <v>0.08118065</v>
      </c>
      <c r="U32" s="117">
        <f>IFERROR(__xludf.DUMMYFUNCTION("IFNA(QUERY(OptionsPositions, ""SELECT AVG(Y) WHERE A = '"" &amp; A32 &amp; ""' LABEL AVG(Y) ''""), 0)"),110.50000000000001)</f>
        <v>110.5</v>
      </c>
      <c r="V32" s="121">
        <f>IFERROR(__xludf.DUMMYFUNCTION("IFNA(QUERY(OptionsPositions, ""SELECT SUM(Z) WHERE A = '"" &amp; A32 &amp; ""' LABEL SUM(Z) ''""), 0)"),1935.0)</f>
        <v>1935</v>
      </c>
      <c r="W32" s="117">
        <f>IFERROR(__xludf.DUMMYFUNCTION("IFNA(QUERY(OptionsPositions, ""SELECT AVG(AA) WHERE A = '"" &amp; A32 &amp; ""' LABEL AVG(AA) ''""), 0)"),-219428.57142857142)</f>
        <v>-219428.5714</v>
      </c>
      <c r="X32" s="122">
        <f>IFERROR(__xludf.DUMMYFUNCTION("IFNA(QUERY(OptionsPositions, ""SELECT AVG(AB) WHERE A = '"" &amp; A32 &amp; ""' LABEL AVG(AB) ''""), 0)"),796.3133640552996)</f>
        <v>796.3133641</v>
      </c>
      <c r="Y32" s="123">
        <f t="shared" si="3"/>
        <v>2.992196382</v>
      </c>
      <c r="Z32" s="118">
        <f>IFERROR(__xludf.DUMMYFUNCTION("QUERY(OptionsPositions, ""SELECT SUM(L) WHERE A = '"" &amp; A32 &amp; ""' LABEL SUM(L) ''"")"),6.41)</f>
        <v>6.41</v>
      </c>
    </row>
    <row r="33" ht="22.5" customHeight="1">
      <c r="A33" s="3" t="s">
        <v>375</v>
      </c>
      <c r="B33" s="112" t="str">
        <f>IFERROR(__xludf.DUMMYFUNCTION("IF(COUNT(QUERY(OptionsPositions, ""SELECT 1 WHERE A = '"" &amp; A33  &amp; ""' AND C is not null AND E is null""))&gt;0, QUERY(OptionsPositions, ""SELECT C WHERE A = '"" &amp; A33  &amp; ""' AND E is null ORDER BY C ASC LIMIT 1""), """")"),"")</f>
        <v/>
      </c>
      <c r="C33" s="26">
        <f>IFERROR(__xludf.DUMMYFUNCTION("IF(COUNT(QUERY(OptionsPositions, ""SELECT 1 WHERE A = '"" &amp; A33  &amp; ""' AND C is not null AND E is null""))&gt;0, """", QUERY(OptionsPositions, ""SELECT E WHERE A = '"" &amp; A33  &amp; ""' ORDER BY E DESC LIMIT 1""))"),46092.0)</f>
        <v>46092</v>
      </c>
      <c r="D33" s="113" t="str">
        <f>IF(OptionInstruments[Opened] &lt;&gt; "",IF(OptionInstruments[Closed] = "", TODAY(), OptionInstruments[Closed]) - OptionInstruments[Opened], "")</f>
        <v/>
      </c>
      <c r="E33" s="113">
        <f>IFERROR(__xludf.DUMMYFUNCTION("IFNA(QUERY(OptionsPositions, ""SELECT D WHERE A = '"" &amp; A33 &amp; ""' AND E IS null ORDER BY D LIMIT 1"") - TODAY(), 0)"),0.0)</f>
        <v>0</v>
      </c>
      <c r="F33" s="114" t="str">
        <f t="shared" si="1"/>
        <v>Closed</v>
      </c>
      <c r="G33" s="115" t="str">
        <f>IFERROR(__xludf.DUMMYFUNCTION("QUERY(TradeLog, ""SELECT G WHERE A = '"" &amp; A33 &amp; ""' ORDER BY G DESC LIMIT 1"")"),"Speculative")</f>
        <v>Speculative</v>
      </c>
      <c r="H33" s="116" t="str">
        <f>IFERROR(__xludf.DUMMYFUNCTION("IFNA(QUERY(TradeLog, ""SELECT C WHERE A = '"" &amp; A33 &amp; ""' ORDER BY B DESC LIMIT 1""), """")"),"Long Call")</f>
        <v>Long Call</v>
      </c>
      <c r="I33" s="14" t="str">
        <f>IFERROR(__xludf.DUMMYFUNCTION("TEXTJOIN("", "", TRUE,IFNA(QUERY(OptionsPositions, ""SELECT H WHERE A = '"" &amp; A33  &amp; ""' AND C is not null AND E is null ORDER BY H""), """"))"),"")</f>
        <v/>
      </c>
      <c r="J33" s="14" t="str">
        <f>IFERROR(__xludf.DUMMYFUNCTION("QUERY(TradeLog, ""SELECT S WHERE A = '"" &amp; A33 &amp; ""' ORDER BY B DESC LIMIT 1"")  "),"")</f>
        <v/>
      </c>
      <c r="K33" s="117">
        <f t="shared" si="2"/>
        <v>9.951</v>
      </c>
      <c r="L33" s="117">
        <f>IFERROR(__xludf.DUMMYFUNCTION("IFNA(QUERY(OptionsPositions, ""SELECT SUM(P) WHERE A = '"" &amp; A33 &amp; ""' LABEL SUM(P) ''""), 0)"),0.0)</f>
        <v>0</v>
      </c>
      <c r="M33" s="118">
        <f>IFERROR(__xludf.DUMMYFUNCTION("IFNA(ROUND(QUERY(OptionsPositions, ""SELECT AVG(Q) WHERE A = '"" &amp; A33 &amp; ""' LABEL AVG(Q) ''""), 2), 0)"),0.0)</f>
        <v>0</v>
      </c>
      <c r="N33" s="117">
        <f>IFERROR(__xludf.DUMMYFUNCTION("IFNA(QUERY(OptionsPositions, ""SELECT SUM(R) WHERE A = '"" &amp; A33 &amp; ""' LABEL SUM(R) ''""), 0)"),9.951)</f>
        <v>9.951</v>
      </c>
      <c r="O33" s="117">
        <f>IFERROR(__xludf.DUMMYFUNCTION("IFNA(QUERY(OptionsPositions, ""SELECT AVG(S) WHERE A = '"" &amp; A33 &amp; ""' LABEL AVG(S) ''""), 0)"),30.0)</f>
        <v>30</v>
      </c>
      <c r="P33" s="118">
        <f>IFERROR(__xludf.DUMMYFUNCTION("IFNA(QUERY(OptionsPositions, ""SELECT SUM(T) WHERE A = '"" &amp; A33 &amp; ""' LABEL SUM(T) ''""), 0)"),0.0)</f>
        <v>0</v>
      </c>
      <c r="Q33" s="119">
        <f>IFERROR(__xludf.DUMMYFUNCTION("IFNA(QUERY(OptionsPositions, ""SELECT SUM(U) WHERE A = '"" &amp; A33 &amp; ""' LABEL SUM(U) ''""), 0)"),0.0)</f>
        <v>0</v>
      </c>
      <c r="R33" s="120">
        <f>IFERROR(__xludf.DUMMYFUNCTION("IFNA(QUERY(OptionsPositions, ""SELECT SUM(V) WHERE A = '"" &amp; A33 &amp; ""' LABEL SUM(V) ''""), 0)"),0.0)</f>
        <v>0</v>
      </c>
      <c r="S33" s="120">
        <f>IFERROR(__xludf.DUMMYFUNCTION("IFNA(QUERY(OptionsPositions, ""SELECT SUM(W) WHERE A = '"" &amp; A33 &amp; ""' LABEL SUM(W) ''""), 0)"),0.0)</f>
        <v>0</v>
      </c>
      <c r="T33" s="120">
        <f>IFERROR(__xludf.DUMMYFUNCTION("IFNA(QUERY(OptionsPositions, ""SELECT SUM(X) WHERE A = '"" &amp; A33 &amp; ""' LABEL SUM(X) ''""), 0)"),0.0)</f>
        <v>0</v>
      </c>
      <c r="U33" s="117" t="str">
        <f>IFERROR(__xludf.DUMMYFUNCTION("IFNA(QUERY(OptionsPositions, ""SELECT AVG(Y) WHERE A = '"" &amp; A33 &amp; ""' LABEL AVG(Y) ''""), 0)"),"")</f>
        <v/>
      </c>
      <c r="V33" s="121">
        <f>IFERROR(__xludf.DUMMYFUNCTION("IFNA(QUERY(OptionsPositions, ""SELECT SUM(Z) WHERE A = '"" &amp; A33 &amp; ""' LABEL SUM(Z) ''""), 0)"),87.42)</f>
        <v>87.42</v>
      </c>
      <c r="W33" s="117">
        <f>IFERROR(__xludf.DUMMYFUNCTION("IFNA(QUERY(OptionsPositions, ""SELECT AVG(AA) WHERE A = '"" &amp; A33 &amp; ""' LABEL AVG(AA) ''""), 0)"),57.142857142857146)</f>
        <v>57.14285714</v>
      </c>
      <c r="X33" s="122" t="str">
        <f>IFERROR(__xludf.DUMMYFUNCTION("IFNA(QUERY(OptionsPositions, ""SELECT AVG(AB) WHERE A = '"" &amp; A33 &amp; ""' LABEL AVG(AB) ''""), 0)"),"")</f>
        <v/>
      </c>
      <c r="Y33" s="123">
        <f t="shared" si="3"/>
        <v>0</v>
      </c>
      <c r="Z33" s="118">
        <f>IFERROR(__xludf.DUMMYFUNCTION("QUERY(OptionsPositions, ""SELECT SUM(L) WHERE A = '"" &amp; A33 &amp; ""' LABEL SUM(L) ''"")"),0.75)</f>
        <v>0.75</v>
      </c>
    </row>
    <row r="34" ht="22.5" customHeight="1">
      <c r="A34" s="3" t="s">
        <v>266</v>
      </c>
      <c r="B34" s="112">
        <f>IFERROR(__xludf.DUMMYFUNCTION("IF(COUNT(QUERY(OptionsPositions, ""SELECT 1 WHERE A = '"" &amp; A34  &amp; ""' AND C is not null AND E is null""))&gt;0, QUERY(OptionsPositions, ""SELECT C WHERE A = '"" &amp; A34  &amp; ""' AND E is null ORDER BY C ASC LIMIT 1""), """")"),46050.0)</f>
        <v>46050</v>
      </c>
      <c r="C34" s="26" t="str">
        <f>IFERROR(__xludf.DUMMYFUNCTION("IF(COUNT(QUERY(OptionsPositions, ""SELECT 1 WHERE A = '"" &amp; A34  &amp; ""' AND C is not null AND E is null""))&gt;0, """", QUERY(OptionsPositions, ""SELECT E WHERE A = '"" &amp; A34  &amp; ""' ORDER BY E DESC LIMIT 1""))"),"")</f>
        <v/>
      </c>
      <c r="D34" s="113">
        <f>IF(OptionInstruments[Opened] &lt;&gt; "",IF(OptionInstruments[Closed] = "", TODAY(), OptionInstruments[Closed]) - OptionInstruments[Opened], "")</f>
        <v>50</v>
      </c>
      <c r="E34" s="113">
        <f>IFERROR(__xludf.DUMMYFUNCTION("IFNA(QUERY(OptionsPositions, ""SELECT D WHERE A = '"" &amp; A34 &amp; ""' AND E IS null ORDER BY D LIMIT 1"") - TODAY(), 0)"),1.0)</f>
        <v>1</v>
      </c>
      <c r="F34" s="114" t="str">
        <f t="shared" si="1"/>
        <v>Open</v>
      </c>
      <c r="G34" s="115" t="str">
        <f>IFERROR(__xludf.DUMMYFUNCTION("QUERY(TradeLog, ""SELECT G WHERE A = '"" &amp; A34 &amp; ""' ORDER BY G DESC LIMIT 1"")"),"Speculative")</f>
        <v>Speculative</v>
      </c>
      <c r="H34" s="116" t="str">
        <f>IFERROR(__xludf.DUMMYFUNCTION("IFNA(QUERY(TradeLog, ""SELECT C WHERE A = '"" &amp; A34 &amp; ""' ORDER BY B DESC LIMIT 1""), """")"),"Long Put Vertical")</f>
        <v>Long Put Vertical</v>
      </c>
      <c r="I34" s="14" t="str">
        <f>IFERROR(__xludf.DUMMYFUNCTION("TEXTJOIN("", "", TRUE,IFNA(QUERY(OptionsPositions, ""SELECT H WHERE A = '"" &amp; A34  &amp; ""' AND C is not null AND E is null ORDER BY H""), """"))"),"75, 85")</f>
        <v>75, 85</v>
      </c>
      <c r="J34" s="14" t="str">
        <f>IFERROR(__xludf.DUMMYFUNCTION("QUERY(TradeLog, ""SELECT S WHERE A = '"" &amp; A34 &amp; ""' ORDER BY B DESC LIMIT 1"")  "),"")</f>
        <v/>
      </c>
      <c r="K34" s="117">
        <f t="shared" si="2"/>
        <v>20.247</v>
      </c>
      <c r="L34" s="117">
        <f>IFERROR(__xludf.DUMMYFUNCTION("IFNA(QUERY(OptionsPositions, ""SELECT SUM(P) WHERE A = '"" &amp; A34 &amp; ""' LABEL SUM(P) ''""), 0)"),-23.500999999999976)</f>
        <v>-23.501</v>
      </c>
      <c r="M34" s="118">
        <f>IFERROR(__xludf.DUMMYFUNCTION("IFNA(ROUND(QUERY(OptionsPositions, ""SELECT AVG(Q) WHERE A = '"" &amp; A34 &amp; ""' LABEL AVG(Q) ''""), 2), 0)"),-6.0)</f>
        <v>-6</v>
      </c>
      <c r="N34" s="117">
        <f>IFERROR(__xludf.DUMMYFUNCTION("IFNA(QUERY(OptionsPositions, ""SELECT SUM(R) WHERE A = '"" &amp; A34 &amp; ""' LABEL SUM(R) ''""), 0)"),43.748)</f>
        <v>43.748</v>
      </c>
      <c r="O34" s="117">
        <f>IFERROR(__xludf.DUMMYFUNCTION("IFNA(QUERY(OptionsPositions, ""SELECT AVG(S) WHERE A = '"" &amp; A34 &amp; ""' LABEL AVG(S) ''""), 0)"),16.666666666666668)</f>
        <v>16.66666667</v>
      </c>
      <c r="P34" s="118">
        <f>IFERROR(__xludf.DUMMYFUNCTION("IFNA(QUERY(OptionsPositions, ""SELECT SUM(T) WHERE A = '"" &amp; A34 &amp; ""' LABEL SUM(T) ''""), 0)"),0.99)</f>
        <v>0.99</v>
      </c>
      <c r="Q34" s="119">
        <f>IFERROR(__xludf.DUMMYFUNCTION("IFNA(QUERY(OptionsPositions, ""SELECT SUM(U) WHERE A = '"" &amp; A34 &amp; ""' LABEL SUM(U) ''""), 0)"),0.14674415000000002)</f>
        <v>0.14674415</v>
      </c>
      <c r="R34" s="120">
        <f>IFERROR(__xludf.DUMMYFUNCTION("IFNA(QUERY(OptionsPositions, ""SELECT SUM(V) WHERE A = '"" &amp; A34 &amp; ""' LABEL SUM(V) ''""), 0)"),0.06577315)</f>
        <v>0.06577315</v>
      </c>
      <c r="S34" s="120">
        <f>IFERROR(__xludf.DUMMYFUNCTION("IFNA(QUERY(OptionsPositions, ""SELECT SUM(W) WHERE A = '"" &amp; A34 &amp; ""' LABEL SUM(W) ''""), 0)"),0.04865663)</f>
        <v>0.04865663</v>
      </c>
      <c r="T34" s="120">
        <f>IFERROR(__xludf.DUMMYFUNCTION("IFNA(QUERY(OptionsPositions, ""SELECT SUM(X) WHERE A = '"" &amp; A34 &amp; ""' LABEL SUM(X) ''""), 0)"),0.06394608)</f>
        <v>0.06394608</v>
      </c>
      <c r="U34" s="117">
        <f>IFERROR(__xludf.DUMMYFUNCTION("IFNA(QUERY(OptionsPositions, ""SELECT AVG(Y) WHERE A = '"" &amp; A34 &amp; ""' LABEL AVG(Y) ''""), 0)"),54.5)</f>
        <v>54.5</v>
      </c>
      <c r="V34" s="121">
        <f>IFERROR(__xludf.DUMMYFUNCTION("IFNA(QUERY(OptionsPositions, ""SELECT SUM(Z) WHERE A = '"" &amp; A34 &amp; ""' LABEL SUM(Z) ''""), 0)"),1020.78)</f>
        <v>1020.78</v>
      </c>
      <c r="W34" s="117">
        <f>IFERROR(__xludf.DUMMYFUNCTION("IFNA(QUERY(OptionsPositions, ""SELECT AVG(AA) WHERE A = '"" &amp; A34 &amp; ""' LABEL AVG(AA) ''""), 0)"),-66646.918767507)</f>
        <v>-66646.91877</v>
      </c>
      <c r="X34" s="122">
        <f>IFERROR(__xludf.DUMMYFUNCTION("IFNA(QUERY(OptionsPositions, ""SELECT AVG(AB) WHERE A = '"" &amp; A34 &amp; ""' LABEL AVG(AB) ''""), 0)"),-830.903165461989)</f>
        <v>-830.9031655</v>
      </c>
      <c r="Y34" s="123">
        <f t="shared" si="3"/>
        <v>-2.302259057</v>
      </c>
      <c r="Z34" s="118">
        <f>IFERROR(__xludf.DUMMYFUNCTION("QUERY(OptionsPositions, ""SELECT SUM(L) WHERE A = '"" &amp; A34 &amp; ""' LABEL SUM(L) ''"")"),1.69)</f>
        <v>1.69</v>
      </c>
    </row>
    <row r="35" ht="22.5" customHeight="1">
      <c r="A35" s="3" t="s">
        <v>276</v>
      </c>
      <c r="B35" s="112" t="str">
        <f>IFERROR(__xludf.DUMMYFUNCTION("IF(COUNT(QUERY(OptionsPositions, ""SELECT 1 WHERE A = '"" &amp; A35  &amp; ""' AND C is not null AND E is null""))&gt;0, QUERY(OptionsPositions, ""SELECT C WHERE A = '"" &amp; A35  &amp; ""' AND E is null ORDER BY C ASC LIMIT 1""), """")"),"")</f>
        <v/>
      </c>
      <c r="C35" s="26">
        <f>IFERROR(__xludf.DUMMYFUNCTION("IF(COUNT(QUERY(OptionsPositions, ""SELECT 1 WHERE A = '"" &amp; A35  &amp; ""' AND C is not null AND E is null""))&gt;0, """", QUERY(OptionsPositions, ""SELECT E WHERE A = '"" &amp; A35  &amp; ""' ORDER BY E DESC LIMIT 1""))"),46062.0)</f>
        <v>46062</v>
      </c>
      <c r="D35" s="113" t="str">
        <f>IF(OptionInstruments[Opened] &lt;&gt; "",IF(OptionInstruments[Closed] = "", TODAY(), OptionInstruments[Closed]) - OptionInstruments[Opened], "")</f>
        <v/>
      </c>
      <c r="E35" s="113">
        <f>IFERROR(__xludf.DUMMYFUNCTION("IFNA(QUERY(OptionsPositions, ""SELECT D WHERE A = '"" &amp; A35 &amp; ""' AND E IS null ORDER BY D LIMIT 1"") - TODAY(), 0)"),0.0)</f>
        <v>0</v>
      </c>
      <c r="F35" s="114" t="str">
        <f t="shared" si="1"/>
        <v>Closed</v>
      </c>
      <c r="G35" s="115" t="str">
        <f>IFERROR(__xludf.DUMMYFUNCTION("QUERY(TradeLog, ""SELECT G WHERE A = '"" &amp; A35 &amp; ""' ORDER BY G DESC LIMIT 1"")"),"Speculative")</f>
        <v>Speculative</v>
      </c>
      <c r="H35" s="116" t="str">
        <f>IFERROR(__xludf.DUMMYFUNCTION("IFNA(QUERY(TradeLog, ""SELECT C WHERE A = '"" &amp; A35 &amp; ""' ORDER BY B DESC LIMIT 1""), """")"),"Short Strangle")</f>
        <v>Short Strangle</v>
      </c>
      <c r="I35" s="14" t="str">
        <f>IFERROR(__xludf.DUMMYFUNCTION("TEXTJOIN("", "", TRUE,IFNA(QUERY(OptionsPositions, ""SELECT H WHERE A = '"" &amp; A35  &amp; ""' AND C is not null AND E is null ORDER BY H""), """"))"),"")</f>
        <v/>
      </c>
      <c r="J35" s="14" t="str">
        <f>IFERROR(__xludf.DUMMYFUNCTION("QUERY(TradeLog, ""SELECT S WHERE A = '"" &amp; A35 &amp; ""' ORDER BY B DESC LIMIT 1"")  "),"Strangle Playbook")</f>
        <v>Strangle Playbook</v>
      </c>
      <c r="K35" s="117">
        <f t="shared" si="2"/>
        <v>-1002.161</v>
      </c>
      <c r="L35" s="117">
        <f>IFERROR(__xludf.DUMMYFUNCTION("IFNA(QUERY(OptionsPositions, ""SELECT SUM(P) WHERE A = '"" &amp; A35 &amp; ""' LABEL SUM(P) ''""), 0)"),0.0)</f>
        <v>0</v>
      </c>
      <c r="M35" s="118">
        <f>IFERROR(__xludf.DUMMYFUNCTION("IFNA(ROUND(QUERY(OptionsPositions, ""SELECT AVG(Q) WHERE A = '"" &amp; A35 &amp; ""' LABEL AVG(Q) ''""), 2), 0)"),0.0)</f>
        <v>0</v>
      </c>
      <c r="N35" s="117">
        <f>IFERROR(__xludf.DUMMYFUNCTION("IFNA(QUERY(OptionsPositions, ""SELECT SUM(R) WHERE A = '"" &amp; A35 &amp; ""' LABEL SUM(R) ''""), 0)"),-1002.1610000000001)</f>
        <v>-1002.161</v>
      </c>
      <c r="O35" s="117">
        <f>IFERROR(__xludf.DUMMYFUNCTION("IFNA(QUERY(OptionsPositions, ""SELECT AVG(S) WHERE A = '"" &amp; A35 &amp; ""' LABEL AVG(S) ''""), 0)"),-5.0)</f>
        <v>-5</v>
      </c>
      <c r="P35" s="118">
        <f>IFERROR(__xludf.DUMMYFUNCTION("IFNA(QUERY(OptionsPositions, ""SELECT SUM(T) WHERE A = '"" &amp; A35 &amp; ""' LABEL SUM(T) ''""), 0)"),0.0)</f>
        <v>0</v>
      </c>
      <c r="Q35" s="119">
        <f>IFERROR(__xludf.DUMMYFUNCTION("IFNA(QUERY(OptionsPositions, ""SELECT SUM(U) WHERE A = '"" &amp; A35 &amp; ""' LABEL SUM(U) ''""), 0)"),0.0)</f>
        <v>0</v>
      </c>
      <c r="R35" s="120">
        <f>IFERROR(__xludf.DUMMYFUNCTION("IFNA(QUERY(OptionsPositions, ""SELECT SUM(V) WHERE A = '"" &amp; A35 &amp; ""' LABEL SUM(V) ''""), 0)"),0.0)</f>
        <v>0</v>
      </c>
      <c r="S35" s="120">
        <f>IFERROR(__xludf.DUMMYFUNCTION("IFNA(QUERY(OptionsPositions, ""SELECT SUM(W) WHERE A = '"" &amp; A35 &amp; ""' LABEL SUM(W) ''""), 0)"),0.0)</f>
        <v>0</v>
      </c>
      <c r="T35" s="120">
        <f>IFERROR(__xludf.DUMMYFUNCTION("IFNA(QUERY(OptionsPositions, ""SELECT SUM(X) WHERE A = '"" &amp; A35 &amp; ""' LABEL SUM(X) ''""), 0)"),0.0)</f>
        <v>0</v>
      </c>
      <c r="U35" s="117" t="str">
        <f>IFERROR(__xludf.DUMMYFUNCTION("IFNA(QUERY(OptionsPositions, ""SELECT AVG(Y) WHERE A = '"" &amp; A35 &amp; ""' LABEL AVG(Y) ''""), 0)"),"")</f>
        <v/>
      </c>
      <c r="V35" s="121">
        <f>IFERROR(__xludf.DUMMYFUNCTION("IFNA(QUERY(OptionsPositions, ""SELECT SUM(Z) WHERE A = '"" &amp; A35 &amp; ""' LABEL SUM(Z) ''""), 0)"),3987.8)</f>
        <v>3987.8</v>
      </c>
      <c r="W35" s="117">
        <f>IFERROR(__xludf.DUMMYFUNCTION("IFNA(QUERY(OptionsPositions, ""SELECT AVG(AA) WHERE A = '"" &amp; A35 &amp; ""' LABEL AVG(AA) ''""), 0)"),13.11904761904762)</f>
        <v>13.11904762</v>
      </c>
      <c r="X35" s="122" t="str">
        <f>IFERROR(__xludf.DUMMYFUNCTION("IFNA(QUERY(OptionsPositions, ""SELECT AVG(AB) WHERE A = '"" &amp; A35 &amp; ""' LABEL AVG(AB) ''""), 0)"),"")</f>
        <v/>
      </c>
      <c r="Y35" s="123">
        <f t="shared" si="3"/>
        <v>0</v>
      </c>
      <c r="Z35" s="118">
        <f>IFERROR(__xludf.DUMMYFUNCTION("QUERY(OptionsPositions, ""SELECT SUM(L) WHERE A = '"" &amp; A35 &amp; ""' LABEL SUM(L) ''"")"),27.22)</f>
        <v>27.22</v>
      </c>
    </row>
    <row r="36" ht="22.5" customHeight="1">
      <c r="A36" s="3" t="s">
        <v>280</v>
      </c>
      <c r="B36" s="112">
        <f>IFERROR(__xludf.DUMMYFUNCTION("IF(COUNT(QUERY(OptionsPositions, ""SELECT 1 WHERE A = '"" &amp; A36  &amp; ""' AND C is not null AND E is null""))&gt;0, QUERY(OptionsPositions, ""SELECT C WHERE A = '"" &amp; A36  &amp; ""' AND E is null ORDER BY C ASC LIMIT 1""), """")"),46056.0)</f>
        <v>46056</v>
      </c>
      <c r="C36" s="26" t="str">
        <f>IFERROR(__xludf.DUMMYFUNCTION("IF(COUNT(QUERY(OptionsPositions, ""SELECT 1 WHERE A = '"" &amp; A36  &amp; ""' AND C is not null AND E is null""))&gt;0, """", QUERY(OptionsPositions, ""SELECT E WHERE A = '"" &amp; A36  &amp; ""' ORDER BY E DESC LIMIT 1""))"),"")</f>
        <v/>
      </c>
      <c r="D36" s="113">
        <f>IF(OptionInstruments[Opened] &lt;&gt; "",IF(OptionInstruments[Closed] = "", TODAY(), OptionInstruments[Closed]) - OptionInstruments[Opened], "")</f>
        <v>44</v>
      </c>
      <c r="E36" s="113">
        <f>IFERROR(__xludf.DUMMYFUNCTION("IFNA(QUERY(OptionsPositions, ""SELECT D WHERE A = '"" &amp; A36 &amp; ""' AND E IS null ORDER BY D LIMIT 1"") - TODAY(), 0)"),1.0)</f>
        <v>1</v>
      </c>
      <c r="F36" s="114" t="str">
        <f t="shared" si="1"/>
        <v>Open</v>
      </c>
      <c r="G36" s="115" t="str">
        <f>IFERROR(__xludf.DUMMYFUNCTION("QUERY(TradeLog, ""SELECT G WHERE A = '"" &amp; A36 &amp; ""' ORDER BY G DESC LIMIT 1"")"),"Speculative")</f>
        <v>Speculative</v>
      </c>
      <c r="H36" s="116" t="str">
        <f>IFERROR(__xludf.DUMMYFUNCTION("IFNA(QUERY(TradeLog, ""SELECT C WHERE A = '"" &amp; A36 &amp; ""' ORDER BY B DESC LIMIT 1""), """")"),"Long Call")</f>
        <v>Long Call</v>
      </c>
      <c r="I36" s="14" t="str">
        <f>IFERROR(__xludf.DUMMYFUNCTION("TEXTJOIN("", "", TRUE,IFNA(QUERY(OptionsPositions, ""SELECT H WHERE A = '"" &amp; A36  &amp; ""' AND C is not null AND E is null ORDER BY H""), """"))"),"10")</f>
        <v>10</v>
      </c>
      <c r="J36" s="14" t="str">
        <f>IFERROR(__xludf.DUMMYFUNCTION("QUERY(TradeLog, ""SELECT S WHERE A = '"" &amp; A36 &amp; ""' ORDER BY B DESC LIMIT 1"")  "),"10 EMA")</f>
        <v>10 EMA</v>
      </c>
      <c r="K36" s="117">
        <f t="shared" si="2"/>
        <v>-5.049</v>
      </c>
      <c r="L36" s="117">
        <f>IFERROR(__xludf.DUMMYFUNCTION("IFNA(QUERY(OptionsPositions, ""SELECT SUM(P) WHERE A = '"" &amp; A36 &amp; ""' LABEL SUM(P) ''""), 0)"),-5.0489999999999995)</f>
        <v>-5.049</v>
      </c>
      <c r="M36" s="118">
        <f>IFERROR(__xludf.DUMMYFUNCTION("IFNA(ROUND(QUERY(OptionsPositions, ""SELECT AVG(Q) WHERE A = '"" &amp; A36 &amp; ""' LABEL AVG(Q) ''""), 2), 0)"),-50.0)</f>
        <v>-50</v>
      </c>
      <c r="N36" s="117">
        <f>IFERROR(__xludf.DUMMYFUNCTION("IFNA(QUERY(OptionsPositions, ""SELECT SUM(R) WHERE A = '"" &amp; A36 &amp; ""' LABEL SUM(R) ''""), 0)"),0.0)</f>
        <v>0</v>
      </c>
      <c r="O36" s="117">
        <f>IFERROR(__xludf.DUMMYFUNCTION("IFNA(QUERY(OptionsPositions, ""SELECT AVG(S) WHERE A = '"" &amp; A36 &amp; ""' LABEL AVG(S) ''""), 0)"),0.0)</f>
        <v>0</v>
      </c>
      <c r="P36" s="118">
        <f>IFERROR(__xludf.DUMMYFUNCTION("IFNA(QUERY(OptionsPositions, ""SELECT SUM(T) WHERE A = '"" &amp; A36 &amp; ""' LABEL SUM(T) ''""), 0)"),0.05)</f>
        <v>0.05</v>
      </c>
      <c r="Q36" s="119">
        <f>IFERROR(__xludf.DUMMYFUNCTION("IFNA(QUERY(OptionsPositions, ""SELECT SUM(U) WHERE A = '"" &amp; A36 &amp; ""' LABEL SUM(U) ''""), 0)"),0.00516464)</f>
        <v>0.00516464</v>
      </c>
      <c r="R36" s="120">
        <f>IFERROR(__xludf.DUMMYFUNCTION("IFNA(QUERY(OptionsPositions, ""SELECT SUM(V) WHERE A = '"" &amp; A36 &amp; ""' LABEL SUM(V) ''""), 0)"),-3.6372E-4)</f>
        <v>-0.00036372</v>
      </c>
      <c r="S36" s="120">
        <f>IFERROR(__xludf.DUMMYFUNCTION("IFNA(QUERY(OptionsPositions, ""SELECT SUM(W) WHERE A = '"" &amp; A36 &amp; ""' LABEL SUM(W) ''""), 0)"),0.02282475)</f>
        <v>0.02282475</v>
      </c>
      <c r="T36" s="120">
        <f>IFERROR(__xludf.DUMMYFUNCTION("IFNA(QUERY(OptionsPositions, ""SELECT SUM(X) WHERE A = '"" &amp; A36 &amp; ""' LABEL SUM(X) ''""), 0)"),2.7552E-4)</f>
        <v>0.00027552</v>
      </c>
      <c r="U36" s="117">
        <f>IFERROR(__xludf.DUMMYFUNCTION("IFNA(QUERY(OptionsPositions, ""SELECT AVG(Y) WHERE A = '"" &amp; A36 &amp; ""' LABEL AVG(Y) ''""), 0)"),60.0)</f>
        <v>60</v>
      </c>
      <c r="V36" s="121">
        <f>IFERROR(__xludf.DUMMYFUNCTION("IFNA(QUERY(OptionsPositions, ""SELECT SUM(Z) WHERE A = '"" &amp; A36 &amp; ""' LABEL SUM(Z) ''""), 0)"),41.68)</f>
        <v>41.68</v>
      </c>
      <c r="W36" s="117">
        <f>IFERROR(__xludf.DUMMYFUNCTION("IFNA(QUERY(OptionsPositions, ""SELECT AVG(AA) WHERE A = '"" &amp; A36 &amp; ""' LABEL AVG(AA) ''""), 0)"),-102346.66666666667)</f>
        <v>-102346.6667</v>
      </c>
      <c r="X36" s="122">
        <f>IFERROR(__xludf.DUMMYFUNCTION("IFNA(QUERY(OptionsPositions, ""SELECT AVG(AB) WHERE A = '"" &amp; A36 &amp; ""' LABEL AVG(AB) ''""), 0)"),2046.9333333333334)</f>
        <v>2046.933333</v>
      </c>
      <c r="Y36" s="123">
        <f t="shared" si="3"/>
        <v>-12.11372361</v>
      </c>
      <c r="Z36" s="118">
        <f>IFERROR(__xludf.DUMMYFUNCTION("QUERY(OptionsPositions, ""SELECT SUM(L) WHERE A = '"" &amp; A36 &amp; ""' LABEL SUM(L) ''"")"),0.05)</f>
        <v>0.05</v>
      </c>
    </row>
    <row r="37" ht="22.5" customHeight="1">
      <c r="A37" s="3" t="s">
        <v>157</v>
      </c>
      <c r="B37" s="112" t="str">
        <f>IFERROR(__xludf.DUMMYFUNCTION("IF(COUNT(QUERY(OptionsPositions, ""SELECT 1 WHERE A = '"" &amp; A37  &amp; ""' AND C is not null AND E is null""))&gt;0, QUERY(OptionsPositions, ""SELECT C WHERE A = '"" &amp; A37  &amp; ""' AND E is null ORDER BY C ASC LIMIT 1""), """")"),"")</f>
        <v/>
      </c>
      <c r="C37" s="26">
        <f>IFERROR(__xludf.DUMMYFUNCTION("IF(COUNT(QUERY(OptionsPositions, ""SELECT 1 WHERE A = '"" &amp; A37  &amp; ""' AND C is not null AND E is null""))&gt;0, """", QUERY(OptionsPositions, ""SELECT E WHERE A = '"" &amp; A37  &amp; ""' ORDER BY E DESC LIMIT 1""))"),46035.0)</f>
        <v>46035</v>
      </c>
      <c r="D37" s="113" t="str">
        <f>IF(OptionInstruments[Opened] &lt;&gt; "",IF(OptionInstruments[Closed] = "", TODAY(), OptionInstruments[Closed]) - OptionInstruments[Opened], "")</f>
        <v/>
      </c>
      <c r="E37" s="113">
        <f>IFERROR(__xludf.DUMMYFUNCTION("IFNA(QUERY(OptionsPositions, ""SELECT D WHERE A = '"" &amp; A37 &amp; ""' AND E IS null ORDER BY D LIMIT 1"") - TODAY(), 0)"),0.0)</f>
        <v>0</v>
      </c>
      <c r="F37" s="114" t="str">
        <f t="shared" si="1"/>
        <v>Closed</v>
      </c>
      <c r="G37" s="115" t="str">
        <f>IFERROR(__xludf.DUMMYFUNCTION("QUERY(TradeLog, ""SELECT G WHERE A = '"" &amp; A37 &amp; ""' ORDER BY G DESC LIMIT 1"")"),"Core")</f>
        <v>Core</v>
      </c>
      <c r="H37" s="116" t="str">
        <f>IFERROR(__xludf.DUMMYFUNCTION("IFNA(QUERY(TradeLog, ""SELECT C WHERE A = '"" &amp; A37 &amp; ""' ORDER BY B DESC LIMIT 1""), """")"),"Long Call Vertical")</f>
        <v>Long Call Vertical</v>
      </c>
      <c r="I37" s="14" t="str">
        <f>IFERROR(__xludf.DUMMYFUNCTION("TEXTJOIN("", "", TRUE,IFNA(QUERY(OptionsPositions, ""SELECT H WHERE A = '"" &amp; A37  &amp; ""' AND C is not null AND E is null ORDER BY H""), """"))"),"")</f>
        <v/>
      </c>
      <c r="J37" s="14" t="str">
        <f>IFERROR(__xludf.DUMMYFUNCTION("QUERY(TradeLog, ""SELECT S WHERE A = '"" &amp; A37 &amp; ""' ORDER BY B DESC LIMIT 1"")  "),"Close below 472")</f>
        <v>Close below 472</v>
      </c>
      <c r="K37" s="117">
        <f t="shared" si="2"/>
        <v>-113.401</v>
      </c>
      <c r="L37" s="117">
        <f>IFERROR(__xludf.DUMMYFUNCTION("IFNA(QUERY(OptionsPositions, ""SELECT SUM(P) WHERE A = '"" &amp; A37 &amp; ""' LABEL SUM(P) ''""), 0)"),0.0)</f>
        <v>0</v>
      </c>
      <c r="M37" s="118">
        <f>IFERROR(__xludf.DUMMYFUNCTION("IFNA(ROUND(QUERY(OptionsPositions, ""SELECT AVG(Q) WHERE A = '"" &amp; A37 &amp; ""' LABEL AVG(Q) ''""), 2), 0)"),0.0)</f>
        <v>0</v>
      </c>
      <c r="N37" s="117">
        <f>IFERROR(__xludf.DUMMYFUNCTION("IFNA(QUERY(OptionsPositions, ""SELECT SUM(R) WHERE A = '"" &amp; A37 &amp; ""' LABEL SUM(R) ''""), 0)"),-113.40099999999998)</f>
        <v>-113.401</v>
      </c>
      <c r="O37" s="117">
        <f>IFERROR(__xludf.DUMMYFUNCTION("IFNA(QUERY(OptionsPositions, ""SELECT AVG(S) WHERE A = '"" &amp; A37 &amp; ""' LABEL AVG(S) ''""), 0)"),0.0)</f>
        <v>0</v>
      </c>
      <c r="P37" s="118">
        <f>IFERROR(__xludf.DUMMYFUNCTION("IFNA(QUERY(OptionsPositions, ""SELECT SUM(T) WHERE A = '"" &amp; A37 &amp; ""' LABEL SUM(T) ''""), 0)"),0.0)</f>
        <v>0</v>
      </c>
      <c r="Q37" s="119">
        <f>IFERROR(__xludf.DUMMYFUNCTION("IFNA(QUERY(OptionsPositions, ""SELECT SUM(U) WHERE A = '"" &amp; A37 &amp; ""' LABEL SUM(U) ''""), 0)"),0.0)</f>
        <v>0</v>
      </c>
      <c r="R37" s="120">
        <f>IFERROR(__xludf.DUMMYFUNCTION("IFNA(QUERY(OptionsPositions, ""SELECT SUM(V) WHERE A = '"" &amp; A37 &amp; ""' LABEL SUM(V) ''""), 0)"),0.0)</f>
        <v>0</v>
      </c>
      <c r="S37" s="120">
        <f>IFERROR(__xludf.DUMMYFUNCTION("IFNA(QUERY(OptionsPositions, ""SELECT SUM(W) WHERE A = '"" &amp; A37 &amp; ""' LABEL SUM(W) ''""), 0)"),0.0)</f>
        <v>0</v>
      </c>
      <c r="T37" s="120">
        <f>IFERROR(__xludf.DUMMYFUNCTION("IFNA(QUERY(OptionsPositions, ""SELECT SUM(X) WHERE A = '"" &amp; A37 &amp; ""' LABEL SUM(X) ''""), 0)"),0.0)</f>
        <v>0</v>
      </c>
      <c r="U37" s="117" t="str">
        <f>IFERROR(__xludf.DUMMYFUNCTION("IFNA(QUERY(OptionsPositions, ""SELECT AVG(Y) WHERE A = '"" &amp; A37 &amp; ""' LABEL AVG(Y) ''""), 0)"),"")</f>
        <v/>
      </c>
      <c r="V37" s="121">
        <f>IFERROR(__xludf.DUMMYFUNCTION("IFNA(QUERY(OptionsPositions, ""SELECT SUM(Z) WHERE A = '"" &amp; A37 &amp; ""' LABEL SUM(Z) ''""), 0)"),5657.54)</f>
        <v>5657.54</v>
      </c>
      <c r="W37" s="117">
        <f>IFERROR(__xludf.DUMMYFUNCTION("IFNA(QUERY(OptionsPositions, ""SELECT AVG(AA) WHERE A = '"" &amp; A37 &amp; ""' LABEL AVG(AA) ''""), 0)"),41.1764705882353)</f>
        <v>41.17647059</v>
      </c>
      <c r="X37" s="122" t="str">
        <f>IFERROR(__xludf.DUMMYFUNCTION("IFNA(QUERY(OptionsPositions, ""SELECT AVG(AB) WHERE A = '"" &amp; A37 &amp; ""' LABEL AVG(AB) ''""), 0)"),"")</f>
        <v/>
      </c>
      <c r="Y37" s="123">
        <f t="shared" si="3"/>
        <v>0</v>
      </c>
      <c r="Z37" s="118">
        <f>IFERROR(__xludf.DUMMYFUNCTION("QUERY(OptionsPositions, ""SELECT SUM(L) WHERE A = '"" &amp; A37 &amp; ""' LABEL SUM(L) ''"")"),5.85)</f>
        <v>5.85</v>
      </c>
    </row>
    <row r="38" ht="22.5" customHeight="1">
      <c r="A38" s="3" t="s">
        <v>137</v>
      </c>
      <c r="B38" s="112" t="str">
        <f>IFERROR(__xludf.DUMMYFUNCTION("IF(COUNT(QUERY(OptionsPositions, ""SELECT 1 WHERE A = '"" &amp; A38  &amp; ""' AND C is not null AND E is null""))&gt;0, QUERY(OptionsPositions, ""SELECT C WHERE A = '"" &amp; A38  &amp; ""' AND E is null ORDER BY C ASC LIMIT 1""), """")"),"")</f>
        <v/>
      </c>
      <c r="C38" s="26">
        <f>IFERROR(__xludf.DUMMYFUNCTION("IF(COUNT(QUERY(OptionsPositions, ""SELECT 1 WHERE A = '"" &amp; A38  &amp; ""' AND C is not null AND E is null""))&gt;0, """", QUERY(OptionsPositions, ""SELECT E WHERE A = '"" &amp; A38  &amp; ""' ORDER BY E DESC LIMIT 1""))"),46038.0)</f>
        <v>46038</v>
      </c>
      <c r="D38" s="113" t="str">
        <f>IF(OptionInstruments[Opened] &lt;&gt; "",IF(OptionInstruments[Closed] = "", TODAY(), OptionInstruments[Closed]) - OptionInstruments[Opened], "")</f>
        <v/>
      </c>
      <c r="E38" s="113">
        <f>IFERROR(__xludf.DUMMYFUNCTION("IFNA(QUERY(OptionsPositions, ""SELECT D WHERE A = '"" &amp; A38 &amp; ""' AND E IS null ORDER BY D LIMIT 1"") - TODAY(), 0)"),0.0)</f>
        <v>0</v>
      </c>
      <c r="F38" s="114" t="str">
        <f t="shared" si="1"/>
        <v>Closed</v>
      </c>
      <c r="G38" s="115" t="str">
        <f>IFERROR(__xludf.DUMMYFUNCTION("QUERY(TradeLog, ""SELECT G WHERE A = '"" &amp; A38 &amp; ""' ORDER BY G DESC LIMIT 1"")"),"Speculative")</f>
        <v>Speculative</v>
      </c>
      <c r="H38" s="116" t="str">
        <f>IFERROR(__xludf.DUMMYFUNCTION("IFNA(QUERY(TradeLog, ""SELECT C WHERE A = '"" &amp; A38 &amp; ""' ORDER BY B DESC LIMIT 1""), """")"),"Long Call")</f>
        <v>Long Call</v>
      </c>
      <c r="I38" s="14" t="str">
        <f>IFERROR(__xludf.DUMMYFUNCTION("TEXTJOIN("", "", TRUE,IFNA(QUERY(OptionsPositions, ""SELECT H WHERE A = '"" &amp; A38  &amp; ""' AND C is not null AND E is null ORDER BY H""), """"))"),"")</f>
        <v/>
      </c>
      <c r="J38" s="14" t="str">
        <f>IFERROR(__xludf.DUMMYFUNCTION("QUERY(TradeLog, ""SELECT S WHERE A = '"" &amp; A38 &amp; ""' ORDER BY B DESC LIMIT 1"")  "),"")</f>
        <v/>
      </c>
      <c r="K38" s="117">
        <f t="shared" si="2"/>
        <v>-98.014</v>
      </c>
      <c r="L38" s="117">
        <f>IFERROR(__xludf.DUMMYFUNCTION("IFNA(QUERY(OptionsPositions, ""SELECT SUM(P) WHERE A = '"" &amp; A38 &amp; ""' LABEL SUM(P) ''""), 0)"),0.0)</f>
        <v>0</v>
      </c>
      <c r="M38" s="118">
        <f>IFERROR(__xludf.DUMMYFUNCTION("IFNA(ROUND(QUERY(OptionsPositions, ""SELECT AVG(Q) WHERE A = '"" &amp; A38 &amp; ""' LABEL AVG(Q) ''""), 2), 0)"),0.0)</f>
        <v>0</v>
      </c>
      <c r="N38" s="117">
        <f>IFERROR(__xludf.DUMMYFUNCTION("IFNA(QUERY(OptionsPositions, ""SELECT SUM(R) WHERE A = '"" &amp; A38 &amp; ""' LABEL SUM(R) ''""), 0)"),-98.014)</f>
        <v>-98.014</v>
      </c>
      <c r="O38" s="117">
        <f>IFERROR(__xludf.DUMMYFUNCTION("IFNA(QUERY(OptionsPositions, ""SELECT AVG(S) WHERE A = '"" &amp; A38 &amp; ""' LABEL AVG(S) ''""), 0)"),-100.0)</f>
        <v>-100</v>
      </c>
      <c r="P38" s="118">
        <f>IFERROR(__xludf.DUMMYFUNCTION("IFNA(QUERY(OptionsPositions, ""SELECT SUM(T) WHERE A = '"" &amp; A38 &amp; ""' LABEL SUM(T) ''""), 0)"),0.0)</f>
        <v>0</v>
      </c>
      <c r="Q38" s="119">
        <f>IFERROR(__xludf.DUMMYFUNCTION("IFNA(QUERY(OptionsPositions, ""SELECT SUM(U) WHERE A = '"" &amp; A38 &amp; ""' LABEL SUM(U) ''""), 0)"),0.0)</f>
        <v>0</v>
      </c>
      <c r="R38" s="120">
        <f>IFERROR(__xludf.DUMMYFUNCTION("IFNA(QUERY(OptionsPositions, ""SELECT SUM(V) WHERE A = '"" &amp; A38 &amp; ""' LABEL SUM(V) ''""), 0)"),0.0)</f>
        <v>0</v>
      </c>
      <c r="S38" s="120">
        <f>IFERROR(__xludf.DUMMYFUNCTION("IFNA(QUERY(OptionsPositions, ""SELECT SUM(W) WHERE A = '"" &amp; A38 &amp; ""' LABEL SUM(W) ''""), 0)"),0.0)</f>
        <v>0</v>
      </c>
      <c r="T38" s="120">
        <f>IFERROR(__xludf.DUMMYFUNCTION("IFNA(QUERY(OptionsPositions, ""SELECT SUM(X) WHERE A = '"" &amp; A38 &amp; ""' LABEL SUM(X) ''""), 0)"),0.0)</f>
        <v>0</v>
      </c>
      <c r="U38" s="117" t="str">
        <f>IFERROR(__xludf.DUMMYFUNCTION("IFNA(QUERY(OptionsPositions, ""SELECT AVG(Y) WHERE A = '"" &amp; A38 &amp; ""' LABEL AVG(Y) ''""), 0)"),"")</f>
        <v/>
      </c>
      <c r="V38" s="121">
        <f>IFERROR(__xludf.DUMMYFUNCTION("IFNA(QUERY(OptionsPositions, ""SELECT SUM(Z) WHERE A = '"" &amp; A38 &amp; ""' LABEL SUM(Z) ''""), 0)"),2.06)</f>
        <v>2.06</v>
      </c>
      <c r="W38" s="117">
        <f>IFERROR(__xludf.DUMMYFUNCTION("IFNA(QUERY(OptionsPositions, ""SELECT AVG(AA) WHERE A = '"" &amp; A38 &amp; ""' LABEL AVG(AA) ''""), 0)"),100.0)</f>
        <v>100</v>
      </c>
      <c r="X38" s="122" t="str">
        <f>IFERROR(__xludf.DUMMYFUNCTION("IFNA(QUERY(OptionsPositions, ""SELECT AVG(AB) WHERE A = '"" &amp; A38 &amp; ""' LABEL AVG(AB) ''""), 0)"),"")</f>
        <v/>
      </c>
      <c r="Y38" s="123">
        <f t="shared" si="3"/>
        <v>0</v>
      </c>
      <c r="Z38" s="118">
        <f>IFERROR(__xludf.DUMMYFUNCTION("QUERY(OptionsPositions, ""SELECT SUM(L) WHERE A = '"" &amp; A38 &amp; ""' LABEL SUM(L) ''"")"),0.01)</f>
        <v>0.01</v>
      </c>
    </row>
    <row r="39" ht="22.5" customHeight="1">
      <c r="A39" s="3" t="s">
        <v>379</v>
      </c>
      <c r="B39" s="112">
        <f>IFERROR(__xludf.DUMMYFUNCTION("IF(COUNT(QUERY(OptionsPositions, ""SELECT 1 WHERE A = '"" &amp; A39  &amp; ""' AND C is not null AND E is null""))&gt;0, QUERY(OptionsPositions, ""SELECT C WHERE A = '"" &amp; A39  &amp; ""' AND E is null ORDER BY C ASC LIMIT 1""), """")"),46080.0)</f>
        <v>46080</v>
      </c>
      <c r="C39" s="26" t="str">
        <f>IFERROR(__xludf.DUMMYFUNCTION("IF(COUNT(QUERY(OptionsPositions, ""SELECT 1 WHERE A = '"" &amp; A39  &amp; ""' AND C is not null AND E is null""))&gt;0, """", QUERY(OptionsPositions, ""SELECT E WHERE A = '"" &amp; A39  &amp; ""' ORDER BY E DESC LIMIT 1""))"),"")</f>
        <v/>
      </c>
      <c r="D39" s="113">
        <f>IF(OptionInstruments[Opened] &lt;&gt; "",IF(OptionInstruments[Closed] = "", TODAY(), OptionInstruments[Closed]) - OptionInstruments[Opened], "")</f>
        <v>20</v>
      </c>
      <c r="E39" s="113">
        <f>IFERROR(__xludf.DUMMYFUNCTION("IFNA(QUERY(OptionsPositions, ""SELECT D WHERE A = '"" &amp; A39 &amp; ""' AND E IS null ORDER BY D LIMIT 1"") - TODAY(), 0)"),1.0)</f>
        <v>1</v>
      </c>
      <c r="F39" s="114" t="str">
        <f t="shared" si="1"/>
        <v>Open</v>
      </c>
      <c r="G39" s="115" t="str">
        <f>IFERROR(__xludf.DUMMYFUNCTION("QUERY(TradeLog, ""SELECT G WHERE A = '"" &amp; A39 &amp; ""' ORDER BY G DESC LIMIT 1"")"),"Speculative")</f>
        <v>Speculative</v>
      </c>
      <c r="H39" s="116" t="str">
        <f>IFERROR(__xludf.DUMMYFUNCTION("IFNA(QUERY(TradeLog, ""SELECT C WHERE A = '"" &amp; A39 &amp; ""' ORDER BY B DESC LIMIT 1""), """")"),"Long Call")</f>
        <v>Long Call</v>
      </c>
      <c r="I39" s="14" t="str">
        <f>IFERROR(__xludf.DUMMYFUNCTION("TEXTJOIN("", "", TRUE,IFNA(QUERY(OptionsPositions, ""SELECT H WHERE A = '"" &amp; A39  &amp; ""' AND C is not null AND E is null ORDER BY H""), """"))"),"6")</f>
        <v>6</v>
      </c>
      <c r="J39" s="14" t="str">
        <f>IFERROR(__xludf.DUMMYFUNCTION("QUERY(TradeLog, ""SELECT S WHERE A = '"" &amp; A39 &amp; ""' ORDER BY B DESC LIMIT 1"")  "),"")</f>
        <v/>
      </c>
      <c r="K39" s="117">
        <f t="shared" si="2"/>
        <v>-9.049</v>
      </c>
      <c r="L39" s="117">
        <f>IFERROR(__xludf.DUMMYFUNCTION("IFNA(QUERY(OptionsPositions, ""SELECT SUM(P) WHERE A = '"" &amp; A39 &amp; ""' LABEL SUM(P) ''""), 0)"),-9.049)</f>
        <v>-9.049</v>
      </c>
      <c r="M39" s="118">
        <f>IFERROR(__xludf.DUMMYFUNCTION("IFNA(ROUND(QUERY(OptionsPositions, ""SELECT AVG(Q) WHERE A = '"" &amp; A39 &amp; ""' LABEL AVG(Q) ''""), 2), 0)"),-48.0)</f>
        <v>-48</v>
      </c>
      <c r="N39" s="117">
        <f>IFERROR(__xludf.DUMMYFUNCTION("IFNA(QUERY(OptionsPositions, ""SELECT SUM(R) WHERE A = '"" &amp; A39 &amp; ""' LABEL SUM(R) ''""), 0)"),0.0)</f>
        <v>0</v>
      </c>
      <c r="O39" s="117">
        <f>IFERROR(__xludf.DUMMYFUNCTION("IFNA(QUERY(OptionsPositions, ""SELECT AVG(S) WHERE A = '"" &amp; A39 &amp; ""' LABEL AVG(S) ''""), 0)"),0.0)</f>
        <v>0</v>
      </c>
      <c r="P39" s="118">
        <f>IFERROR(__xludf.DUMMYFUNCTION("IFNA(QUERY(OptionsPositions, ""SELECT SUM(T) WHERE A = '"" &amp; A39 &amp; ""' LABEL SUM(T) ''""), 0)"),0.1)</f>
        <v>0.1</v>
      </c>
      <c r="Q39" s="119">
        <f>IFERROR(__xludf.DUMMYFUNCTION("IFNA(QUERY(OptionsPositions, ""SELECT SUM(U) WHERE A = '"" &amp; A39 &amp; ""' LABEL SUM(U) ''""), 0)"),0.24092672)</f>
        <v>0.24092672</v>
      </c>
      <c r="R39" s="120">
        <f>IFERROR(__xludf.DUMMYFUNCTION("IFNA(QUERY(OptionsPositions, ""SELECT SUM(V) WHERE A = '"" &amp; A39 &amp; ""' LABEL SUM(V) ''""), 0)"),-0.01217764)</f>
        <v>-0.01217764</v>
      </c>
      <c r="S39" s="120">
        <f>IFERROR(__xludf.DUMMYFUNCTION("IFNA(QUERY(OptionsPositions, ""SELECT SUM(W) WHERE A = '"" &amp; A39 &amp; ""' LABEL SUM(W) ''""), 0)"),0.40693841)</f>
        <v>0.40693841</v>
      </c>
      <c r="T39" s="120">
        <f>IFERROR(__xludf.DUMMYFUNCTION("IFNA(QUERY(OptionsPositions, ""SELECT SUM(X) WHERE A = '"" &amp; A39 &amp; ""' LABEL SUM(X) ''""), 0)"),0.00294618)</f>
        <v>0.00294618</v>
      </c>
      <c r="U39" s="117">
        <f>IFERROR(__xludf.DUMMYFUNCTION("IFNA(QUERY(OptionsPositions, ""SELECT AVG(Y) WHERE A = '"" &amp; A39 &amp; ""' LABEL AVG(Y) ''""), 0)"),87.0)</f>
        <v>87</v>
      </c>
      <c r="V39" s="121">
        <f>IFERROR(__xludf.DUMMYFUNCTION("IFNA(QUERY(OptionsPositions, ""SELECT SUM(Z) WHERE A = '"" &amp; A39 &amp; ""' LABEL SUM(Z) ''""), 0)"),19.22)</f>
        <v>19.22</v>
      </c>
      <c r="W39" s="117">
        <f>IFERROR(__xludf.DUMMYFUNCTION("IFNA(QUERY(OptionsPositions, ""SELECT AVG(AA) WHERE A = '"" &amp; A39 &amp; ""' LABEL AVG(AA) ''""), 0)"),-219428.57142857142)</f>
        <v>-219428.5714</v>
      </c>
      <c r="X39" s="122">
        <f>IFERROR(__xludf.DUMMYFUNCTION("IFNA(QUERY(OptionsPositions, ""SELECT AVG(AB) WHERE A = '"" &amp; A39 &amp; ""' LABEL AVG(AB) ''""), 0)"),4571.428571428572)</f>
        <v>4571.428571</v>
      </c>
      <c r="Y39" s="123">
        <f t="shared" si="3"/>
        <v>-47.08116545</v>
      </c>
      <c r="Z39" s="118">
        <f>IFERROR(__xludf.DUMMYFUNCTION("QUERY(OptionsPositions, ""SELECT SUM(L) WHERE A = '"" &amp; A39 &amp; ""' LABEL SUM(L) ''"")"),0.1)</f>
        <v>0.1</v>
      </c>
    </row>
    <row r="40" ht="22.5" customHeight="1">
      <c r="A40" s="3" t="s">
        <v>396</v>
      </c>
      <c r="B40" s="112">
        <f>IFERROR(__xludf.DUMMYFUNCTION("IF(COUNT(QUERY(OptionsPositions, ""SELECT 1 WHERE A = '"" &amp; A40  &amp; ""' AND C is not null AND E is null""))&gt;0, QUERY(OptionsPositions, ""SELECT C WHERE A = '"" &amp; A40  &amp; ""' AND E is null ORDER BY C ASC LIMIT 1""), """")"),46084.0)</f>
        <v>46084</v>
      </c>
      <c r="C40" s="26" t="str">
        <f>IFERROR(__xludf.DUMMYFUNCTION("IF(COUNT(QUERY(OptionsPositions, ""SELECT 1 WHERE A = '"" &amp; A40  &amp; ""' AND C is not null AND E is null""))&gt;0, """", QUERY(OptionsPositions, ""SELECT E WHERE A = '"" &amp; A40  &amp; ""' ORDER BY E DESC LIMIT 1""))"),"")</f>
        <v/>
      </c>
      <c r="D40" s="113">
        <f>IF(OptionInstruments[Opened] &lt;&gt; "",IF(OptionInstruments[Closed] = "", TODAY(), OptionInstruments[Closed]) - OptionInstruments[Opened], "")</f>
        <v>16</v>
      </c>
      <c r="E40" s="113">
        <f>IFERROR(__xludf.DUMMYFUNCTION("IFNA(QUERY(OptionsPositions, ""SELECT D WHERE A = '"" &amp; A40 &amp; ""' AND E IS null ORDER BY D LIMIT 1"") - TODAY(), 0)"),29.0)</f>
        <v>29</v>
      </c>
      <c r="F40" s="114" t="str">
        <f t="shared" si="1"/>
        <v>Open</v>
      </c>
      <c r="G40" s="115" t="str">
        <f>IFERROR(__xludf.DUMMYFUNCTION("QUERY(TradeLog, ""SELECT G WHERE A = '"" &amp; A40 &amp; ""' ORDER BY G DESC LIMIT 1"")"),"Speculative")</f>
        <v>Speculative</v>
      </c>
      <c r="H40" s="116" t="str">
        <f>IFERROR(__xludf.DUMMYFUNCTION("IFNA(QUERY(TradeLog, ""SELECT C WHERE A = '"" &amp; A40 &amp; ""' ORDER BY B DESC LIMIT 1""), """")"),"Long Put")</f>
        <v>Long Put</v>
      </c>
      <c r="I40" s="14" t="str">
        <f>IFERROR(__xludf.DUMMYFUNCTION("TEXTJOIN("", "", TRUE,IFNA(QUERY(OptionsPositions, ""SELECT H WHERE A = '"" &amp; A40  &amp; ""' AND C is not null AND E is null ORDER BY H""), """"))"),"20")</f>
        <v>20</v>
      </c>
      <c r="J40" s="14" t="str">
        <f>IFERROR(__xludf.DUMMYFUNCTION("QUERY(TradeLog, ""SELECT S WHERE A = '"" &amp; A40 &amp; ""' ORDER BY B DESC LIMIT 1"")  "),"")</f>
        <v/>
      </c>
      <c r="K40" s="117">
        <f t="shared" si="2"/>
        <v>39.952</v>
      </c>
      <c r="L40" s="117">
        <f>IFERROR(__xludf.DUMMYFUNCTION("IFNA(QUERY(OptionsPositions, ""SELECT SUM(P) WHERE A = '"" &amp; A40 &amp; ""' LABEL SUM(P) ''""), 0)"),39.951999999999984)</f>
        <v>39.952</v>
      </c>
      <c r="M40" s="118">
        <f>IFERROR(__xludf.DUMMYFUNCTION("IFNA(ROUND(QUERY(OptionsPositions, ""SELECT AVG(Q) WHERE A = '"" &amp; A40 &amp; ""' LABEL AVG(Q) ''""), 2), 0)"),40.0)</f>
        <v>40</v>
      </c>
      <c r="N40" s="117">
        <f>IFERROR(__xludf.DUMMYFUNCTION("IFNA(QUERY(OptionsPositions, ""SELECT SUM(R) WHERE A = '"" &amp; A40 &amp; ""' LABEL SUM(R) ''""), 0)"),0.0)</f>
        <v>0</v>
      </c>
      <c r="O40" s="117">
        <f>IFERROR(__xludf.DUMMYFUNCTION("IFNA(QUERY(OptionsPositions, ""SELECT AVG(S) WHERE A = '"" &amp; A40 &amp; ""' LABEL AVG(S) ''""), 0)"),0.0)</f>
        <v>0</v>
      </c>
      <c r="P40" s="118">
        <f>IFERROR(__xludf.DUMMYFUNCTION("IFNA(QUERY(OptionsPositions, ""SELECT SUM(T) WHERE A = '"" &amp; A40 &amp; ""' LABEL SUM(T) ''""), 0)"),1.41)</f>
        <v>1.41</v>
      </c>
      <c r="Q40" s="119">
        <f>IFERROR(__xludf.DUMMYFUNCTION("IFNA(QUERY(OptionsPositions, ""SELECT SUM(U) WHERE A = '"" &amp; A40 &amp; ""' LABEL SUM(U) ''""), 0)"),-0.41974079)</f>
        <v>-0.41974079</v>
      </c>
      <c r="R40" s="120">
        <f>IFERROR(__xludf.DUMMYFUNCTION("IFNA(QUERY(OptionsPositions, ""SELECT SUM(V) WHERE A = '"" &amp; A40 &amp; ""' LABEL SUM(V) ''""), 0)"),-0.0200958)</f>
        <v>-0.0200958</v>
      </c>
      <c r="S40" s="120">
        <f>IFERROR(__xludf.DUMMYFUNCTION("IFNA(QUERY(OptionsPositions, ""SELECT SUM(W) WHERE A = '"" &amp; A40 &amp; ""' LABEL SUM(W) ''""), 0)"),0.09660399)</f>
        <v>0.09660399</v>
      </c>
      <c r="T40" s="120">
        <f>IFERROR(__xludf.DUMMYFUNCTION("IFNA(QUERY(OptionsPositions, ""SELECT SUM(X) WHERE A = '"" &amp; A40 &amp; ""' LABEL SUM(X) ''""), 0)"),0.02567308)</f>
        <v>0.02567308</v>
      </c>
      <c r="U40" s="117">
        <f>IFERROR(__xludf.DUMMYFUNCTION("IFNA(QUERY(OptionsPositions, ""SELECT AVG(Y) WHERE A = '"" &amp; A40 &amp; ""' LABEL AVG(Y) ''""), 0)"),62.0)</f>
        <v>62</v>
      </c>
      <c r="V40" s="121">
        <f>IFERROR(__xludf.DUMMYFUNCTION("IFNA(QUERY(OptionsPositions, ""SELECT SUM(Z) WHERE A = '"" &amp; A40 &amp; ""' LABEL SUM(Z) ''""), 0)"),124.89)</f>
        <v>124.89</v>
      </c>
      <c r="W40" s="117">
        <f>IFERROR(__xludf.DUMMYFUNCTION("IFNA(QUERY(OptionsPositions, ""SELECT AVG(AA) WHERE A = '"" &amp; A40 &amp; ""' LABEL AVG(AA) ''""), 0)"),-102408.88888888889)</f>
        <v>-102408.8889</v>
      </c>
      <c r="X40" s="122">
        <f>IFERROR(__xludf.DUMMYFUNCTION("IFNA(QUERY(OptionsPositions, ""SELECT AVG(AB) WHERE A = '"" &amp; A40 &amp; ""' LABEL AVG(AB) ''""), 0)"),-2560.222222222222)</f>
        <v>-2560.222222</v>
      </c>
      <c r="Y40" s="123">
        <f t="shared" si="3"/>
        <v>31.98975098</v>
      </c>
      <c r="Z40" s="118">
        <f>IFERROR(__xludf.DUMMYFUNCTION("QUERY(OptionsPositions, ""SELECT SUM(L) WHERE A = '"" &amp; A40 &amp; ""' LABEL SUM(L) ''"")"),1.41)</f>
        <v>1.41</v>
      </c>
    </row>
    <row r="41" ht="22.5" customHeight="1">
      <c r="A41" s="3" t="s">
        <v>254</v>
      </c>
      <c r="B41" s="112" t="str">
        <f>IFERROR(__xludf.DUMMYFUNCTION("IF(COUNT(QUERY(OptionsPositions, ""SELECT 1 WHERE A = '"" &amp; A41  &amp; ""' AND C is not null AND E is null""))&gt;0, QUERY(OptionsPositions, ""SELECT C WHERE A = '"" &amp; A41  &amp; ""' AND E is null ORDER BY C ASC LIMIT 1""), """")"),"")</f>
        <v/>
      </c>
      <c r="C41" s="26">
        <f>IFERROR(__xludf.DUMMYFUNCTION("IF(COUNT(QUERY(OptionsPositions, ""SELECT 1 WHERE A = '"" &amp; A41  &amp; ""' AND C is not null AND E is null""))&gt;0, """", QUERY(OptionsPositions, ""SELECT E WHERE A = '"" &amp; A41  &amp; ""' ORDER BY E DESC LIMIT 1""))"),46073.0)</f>
        <v>46073</v>
      </c>
      <c r="D41" s="113" t="str">
        <f>IF(OptionInstruments[Opened] &lt;&gt; "",IF(OptionInstruments[Closed] = "", TODAY(), OptionInstruments[Closed]) - OptionInstruments[Opened], "")</f>
        <v/>
      </c>
      <c r="E41" s="113">
        <f>IFERROR(__xludf.DUMMYFUNCTION("IFNA(QUERY(OptionsPositions, ""SELECT D WHERE A = '"" &amp; A41 &amp; ""' AND E IS null ORDER BY D LIMIT 1"") - TODAY(), 0)"),0.0)</f>
        <v>0</v>
      </c>
      <c r="F41" s="114" t="str">
        <f t="shared" si="1"/>
        <v>Closed</v>
      </c>
      <c r="G41" s="115" t="str">
        <f>IFERROR(__xludf.DUMMYFUNCTION("QUERY(TradeLog, ""SELECT G WHERE A = '"" &amp; A41 &amp; ""' ORDER BY G DESC LIMIT 1"")"),"Speculative")</f>
        <v>Speculative</v>
      </c>
      <c r="H41" s="116" t="str">
        <f>IFERROR(__xludf.DUMMYFUNCTION("IFNA(QUERY(TradeLog, ""SELECT C WHERE A = '"" &amp; A41 &amp; ""' ORDER BY B DESC LIMIT 1""), """")"),"Long Call")</f>
        <v>Long Call</v>
      </c>
      <c r="I41" s="14" t="str">
        <f>IFERROR(__xludf.DUMMYFUNCTION("TEXTJOIN("", "", TRUE,IFNA(QUERY(OptionsPositions, ""SELECT H WHERE A = '"" &amp; A41  &amp; ""' AND C is not null AND E is null ORDER BY H""), """"))"),"")</f>
        <v/>
      </c>
      <c r="J41" s="14" t="str">
        <f>IFERROR(__xludf.DUMMYFUNCTION("QUERY(TradeLog, ""SELECT S WHERE A = '"" &amp; A41 &amp; ""' ORDER BY B DESC LIMIT 1"")  "),"10 EMA")</f>
        <v>10 EMA</v>
      </c>
      <c r="K41" s="117">
        <f t="shared" si="2"/>
        <v>-40.049</v>
      </c>
      <c r="L41" s="117">
        <f>IFERROR(__xludf.DUMMYFUNCTION("IFNA(QUERY(OptionsPositions, ""SELECT SUM(P) WHERE A = '"" &amp; A41 &amp; ""' LABEL SUM(P) ''""), 0)"),0.0)</f>
        <v>0</v>
      </c>
      <c r="M41" s="118">
        <f>IFERROR(__xludf.DUMMYFUNCTION("IFNA(ROUND(QUERY(OptionsPositions, ""SELECT AVG(Q) WHERE A = '"" &amp; A41 &amp; ""' LABEL AVG(Q) ''""), 2), 0)"),0.0)</f>
        <v>0</v>
      </c>
      <c r="N41" s="117">
        <f>IFERROR(__xludf.DUMMYFUNCTION("IFNA(QUERY(OptionsPositions, ""SELECT SUM(R) WHERE A = '"" &amp; A41 &amp; ""' LABEL SUM(R) ''""), 0)"),-40.049)</f>
        <v>-40.049</v>
      </c>
      <c r="O41" s="117">
        <f>IFERROR(__xludf.DUMMYFUNCTION("IFNA(QUERY(OptionsPositions, ""SELECT AVG(S) WHERE A = '"" &amp; A41 &amp; ""' LABEL AVG(S) ''""), 0)"),-100.0)</f>
        <v>-100</v>
      </c>
      <c r="P41" s="118">
        <f>IFERROR(__xludf.DUMMYFUNCTION("IFNA(QUERY(OptionsPositions, ""SELECT SUM(T) WHERE A = '"" &amp; A41 &amp; ""' LABEL SUM(T) ''""), 0)"),0.0)</f>
        <v>0</v>
      </c>
      <c r="Q41" s="119">
        <f>IFERROR(__xludf.DUMMYFUNCTION("IFNA(QUERY(OptionsPositions, ""SELECT SUM(U) WHERE A = '"" &amp; A41 &amp; ""' LABEL SUM(U) ''""), 0)"),0.0)</f>
        <v>0</v>
      </c>
      <c r="R41" s="120">
        <f>IFERROR(__xludf.DUMMYFUNCTION("IFNA(QUERY(OptionsPositions, ""SELECT SUM(V) WHERE A = '"" &amp; A41 &amp; ""' LABEL SUM(V) ''""), 0)"),0.0)</f>
        <v>0</v>
      </c>
      <c r="S41" s="120">
        <f>IFERROR(__xludf.DUMMYFUNCTION("IFNA(QUERY(OptionsPositions, ""SELECT SUM(W) WHERE A = '"" &amp; A41 &amp; ""' LABEL SUM(W) ''""), 0)"),0.0)</f>
        <v>0</v>
      </c>
      <c r="T41" s="120">
        <f>IFERROR(__xludf.DUMMYFUNCTION("IFNA(QUERY(OptionsPositions, ""SELECT SUM(X) WHERE A = '"" &amp; A41 &amp; ""' LABEL SUM(X) ''""), 0)"),0.0)</f>
        <v>0</v>
      </c>
      <c r="U41" s="117" t="str">
        <f>IFERROR(__xludf.DUMMYFUNCTION("IFNA(QUERY(OptionsPositions, ""SELECT AVG(Y) WHERE A = '"" &amp; A41 &amp; ""' LABEL AVG(Y) ''""), 0)"),"")</f>
        <v/>
      </c>
      <c r="V41" s="121">
        <f>IFERROR(__xludf.DUMMYFUNCTION("IFNA(QUERY(OptionsPositions, ""SELECT SUM(Z) WHERE A = '"" &amp; A41 &amp; ""' LABEL SUM(Z) ''""), 0)"),70.02)</f>
        <v>70.02</v>
      </c>
      <c r="W41" s="117">
        <f>IFERROR(__xludf.DUMMYFUNCTION("IFNA(QUERY(OptionsPositions, ""SELECT AVG(AA) WHERE A = '"" &amp; A41 &amp; ""' LABEL AVG(AA) ''""), 0)"),100.0)</f>
        <v>100</v>
      </c>
      <c r="X41" s="122" t="str">
        <f>IFERROR(__xludf.DUMMYFUNCTION("IFNA(QUERY(OptionsPositions, ""SELECT AVG(AB) WHERE A = '"" &amp; A41 &amp; ""' LABEL AVG(AB) ''""), 0)"),"")</f>
        <v/>
      </c>
      <c r="Y41" s="123">
        <f t="shared" si="3"/>
        <v>0</v>
      </c>
      <c r="Z41" s="118">
        <f>IFERROR(__xludf.DUMMYFUNCTION("QUERY(OptionsPositions, ""SELECT SUM(L) WHERE A = '"" &amp; A41 &amp; ""' LABEL SUM(L) ''"")"),0.26)</f>
        <v>0.26</v>
      </c>
    </row>
    <row r="42" ht="22.5" customHeight="1">
      <c r="A42" s="3" t="s">
        <v>218</v>
      </c>
      <c r="B42" s="112">
        <f>IFERROR(__xludf.DUMMYFUNCTION("IF(COUNT(QUERY(OptionsPositions, ""SELECT 1 WHERE A = '"" &amp; A42  &amp; ""' AND C is not null AND E is null""))&gt;0, QUERY(OptionsPositions, ""SELECT C WHERE A = '"" &amp; A42  &amp; ""' AND E is null ORDER BY C ASC LIMIT 1""), """")"),46079.0)</f>
        <v>46079</v>
      </c>
      <c r="C42" s="26" t="str">
        <f>IFERROR(__xludf.DUMMYFUNCTION("IF(COUNT(QUERY(OptionsPositions, ""SELECT 1 WHERE A = '"" &amp; A42  &amp; ""' AND C is not null AND E is null""))&gt;0, """", QUERY(OptionsPositions, ""SELECT E WHERE A = '"" &amp; A42  &amp; ""' ORDER BY E DESC LIMIT 1""))"),"")</f>
        <v/>
      </c>
      <c r="D42" s="113">
        <f>IF(OptionInstruments[Opened] &lt;&gt; "",IF(OptionInstruments[Closed] = "", TODAY(), OptionInstruments[Closed]) - OptionInstruments[Opened], "")</f>
        <v>21</v>
      </c>
      <c r="E42" s="113">
        <f>IFERROR(__xludf.DUMMYFUNCTION("IFNA(QUERY(OptionsPositions, ""SELECT D WHERE A = '"" &amp; A42 &amp; ""' AND E IS null ORDER BY D LIMIT 1"") - TODAY(), 0)"),1.0)</f>
        <v>1</v>
      </c>
      <c r="F42" s="114" t="str">
        <f t="shared" si="1"/>
        <v>Open</v>
      </c>
      <c r="G42" s="115" t="str">
        <f>IFERROR(__xludf.DUMMYFUNCTION("QUERY(TradeLog, ""SELECT G WHERE A = '"" &amp; A42 &amp; ""' ORDER BY G DESC LIMIT 1"")"),"Speculative")</f>
        <v>Speculative</v>
      </c>
      <c r="H42" s="116" t="str">
        <f>IFERROR(__xludf.DUMMYFUNCTION("IFNA(QUERY(TradeLog, ""SELECT C WHERE A = '"" &amp; A42 &amp; ""' ORDER BY B DESC LIMIT 1""), """")"),"Long Call Vertical")</f>
        <v>Long Call Vertical</v>
      </c>
      <c r="I42" s="14" t="str">
        <f>IFERROR(__xludf.DUMMYFUNCTION("TEXTJOIN("", "", TRUE,IFNA(QUERY(OptionsPositions, ""SELECT H WHERE A = '"" &amp; A42  &amp; ""' AND C is not null AND E is null ORDER BY H""), """"))"),"90, 95")</f>
        <v>90, 95</v>
      </c>
      <c r="J42" s="14" t="str">
        <f>IFERROR(__xludf.DUMMYFUNCTION("QUERY(TradeLog, ""SELECT S WHERE A = '"" &amp; A42 &amp; ""' ORDER BY B DESC LIMIT 1"")  "),"")</f>
        <v/>
      </c>
      <c r="K42" s="117">
        <f t="shared" si="2"/>
        <v>209.399</v>
      </c>
      <c r="L42" s="117">
        <f>IFERROR(__xludf.DUMMYFUNCTION("IFNA(QUERY(OptionsPositions, ""SELECT SUM(P) WHERE A = '"" &amp; A42 &amp; ""' LABEL SUM(P) ''""), 0)"),307.59899999999993)</f>
        <v>307.599</v>
      </c>
      <c r="M42" s="118">
        <f>IFERROR(__xludf.DUMMYFUNCTION("IFNA(ROUND(QUERY(OptionsPositions, ""SELECT AVG(Q) WHERE A = '"" &amp; A42 &amp; ""' LABEL AVG(Q) ''""), 2), 0)"),-53.0)</f>
        <v>-53</v>
      </c>
      <c r="N42" s="117">
        <f>IFERROR(__xludf.DUMMYFUNCTION("IFNA(QUERY(OptionsPositions, ""SELECT SUM(R) WHERE A = '"" &amp; A42 &amp; ""' LABEL SUM(R) ''""), 0)"),-98.20000000000002)</f>
        <v>-98.2</v>
      </c>
      <c r="O42" s="117">
        <f>IFERROR(__xludf.DUMMYFUNCTION("IFNA(QUERY(OptionsPositions, ""SELECT AVG(S) WHERE A = '"" &amp; A42 &amp; ""' LABEL AVG(S) ''""), 0)"),-8.0)</f>
        <v>-8</v>
      </c>
      <c r="P42" s="118">
        <f>IFERROR(__xludf.DUMMYFUNCTION("IFNA(QUERY(OptionsPositions, ""SELECT SUM(T) WHERE A = '"" &amp; A42 &amp; ""' LABEL SUM(T) ''""), 0)"),2.3200000000000003)</f>
        <v>2.32</v>
      </c>
      <c r="Q42" s="119">
        <f>IFERROR(__xludf.DUMMYFUNCTION("IFNA(QUERY(OptionsPositions, ""SELECT SUM(U) WHERE A = '"" &amp; A42 &amp; ""' LABEL SUM(U) ''""), 0)"),0.15002870999999995)</f>
        <v>0.15002871</v>
      </c>
      <c r="R42" s="120">
        <f>IFERROR(__xludf.DUMMYFUNCTION("IFNA(QUERY(OptionsPositions, ""SELECT SUM(V) WHERE A = '"" &amp; A42 &amp; ""' LABEL SUM(V) ''""), 0)"),0.029633279999999998)</f>
        <v>0.02963328</v>
      </c>
      <c r="S42" s="120">
        <f>IFERROR(__xludf.DUMMYFUNCTION("IFNA(QUERY(OptionsPositions, ""SELECT SUM(W) WHERE A = '"" &amp; A42 &amp; ""' LABEL SUM(W) ''""), 0)"),0.0834797)</f>
        <v>0.0834797</v>
      </c>
      <c r="T42" s="120">
        <f>IFERROR(__xludf.DUMMYFUNCTION("IFNA(QUERY(OptionsPositions, ""SELECT SUM(X) WHERE A = '"" &amp; A42 &amp; ""' LABEL SUM(X) ''""), 0)"),0.09177211)</f>
        <v>0.09177211</v>
      </c>
      <c r="U42" s="117">
        <f>IFERROR(__xludf.DUMMYFUNCTION("IFNA(QUERY(OptionsPositions, ""SELECT AVG(Y) WHERE A = '"" &amp; A42 &amp; ""' LABEL AVG(Y) ''""), 0)"),40.5)</f>
        <v>40.5</v>
      </c>
      <c r="V42" s="121">
        <f>IFERROR(__xludf.DUMMYFUNCTION("IFNA(QUERY(OptionsPositions, ""SELECT SUM(Z) WHERE A = '"" &amp; A42 &amp; ""' LABEL SUM(Z) ''""), 0)"),2253.5499999999997)</f>
        <v>2253.55</v>
      </c>
      <c r="W42" s="117">
        <f>IFERROR(__xludf.DUMMYFUNCTION("IFNA(QUERY(OptionsPositions, ""SELECT AVG(AA) WHERE A = '"" &amp; A42 &amp; ""' LABEL AVG(AA) ''""), 0)"),-83757.33333333333)</f>
        <v>-83757.33333</v>
      </c>
      <c r="X42" s="122">
        <f>IFERROR(__xludf.DUMMYFUNCTION("IFNA(QUERY(OptionsPositions, ""SELECT AVG(AB) WHERE A = '"" &amp; A42 &amp; ""' LABEL AVG(AB) ''""), 0)"),-36.50310581472968)</f>
        <v>-36.50310581</v>
      </c>
      <c r="Y42" s="123">
        <f t="shared" si="3"/>
        <v>13.64953074</v>
      </c>
      <c r="Z42" s="118">
        <f>IFERROR(__xludf.DUMMYFUNCTION("QUERY(OptionsPositions, ""SELECT SUM(L) WHERE A = '"" &amp; A42 &amp; ""' LABEL SUM(L) ''"")"),13.809999999999999)</f>
        <v>13.81</v>
      </c>
    </row>
    <row r="43" ht="22.5" customHeight="1">
      <c r="A43" s="3" t="s">
        <v>146</v>
      </c>
      <c r="B43" s="112" t="str">
        <f>IFERROR(__xludf.DUMMYFUNCTION("IF(COUNT(QUERY(OptionsPositions, ""SELECT 1 WHERE A = '"" &amp; A43  &amp; ""' AND C is not null AND E is null""))&gt;0, QUERY(OptionsPositions, ""SELECT C WHERE A = '"" &amp; A43  &amp; ""' AND E is null ORDER BY C ASC LIMIT 1""), """")"),"")</f>
        <v/>
      </c>
      <c r="C43" s="26">
        <f>IFERROR(__xludf.DUMMYFUNCTION("IF(COUNT(QUERY(OptionsPositions, ""SELECT 1 WHERE A = '"" &amp; A43  &amp; ""' AND C is not null AND E is null""))&gt;0, """", QUERY(OptionsPositions, ""SELECT E WHERE A = '"" &amp; A43  &amp; ""' ORDER BY E DESC LIMIT 1""))"),46075.0)</f>
        <v>46075</v>
      </c>
      <c r="D43" s="113" t="str">
        <f>IF(OptionInstruments[Opened] &lt;&gt; "",IF(OptionInstruments[Closed] = "", TODAY(), OptionInstruments[Closed]) - OptionInstruments[Opened], "")</f>
        <v/>
      </c>
      <c r="E43" s="113">
        <f>IFERROR(__xludf.DUMMYFUNCTION("IFNA(QUERY(OptionsPositions, ""SELECT D WHERE A = '"" &amp; A43 &amp; ""' AND E IS null ORDER BY D LIMIT 1"") - TODAY(), 0)"),0.0)</f>
        <v>0</v>
      </c>
      <c r="F43" s="114" t="str">
        <f t="shared" si="1"/>
        <v>Closed</v>
      </c>
      <c r="G43" s="115" t="str">
        <f>IFERROR(__xludf.DUMMYFUNCTION("QUERY(TradeLog, ""SELECT G WHERE A = '"" &amp; A43 &amp; ""' ORDER BY G DESC LIMIT 1"")"),"Speculative")</f>
        <v>Speculative</v>
      </c>
      <c r="H43" s="116" t="str">
        <f>IFERROR(__xludf.DUMMYFUNCTION("IFNA(QUERY(TradeLog, ""SELECT C WHERE A = '"" &amp; A43 &amp; ""' ORDER BY B DESC LIMIT 1""), """")"),"Short Call")</f>
        <v>Short Call</v>
      </c>
      <c r="I43" s="14" t="str">
        <f>IFERROR(__xludf.DUMMYFUNCTION("TEXTJOIN("", "", TRUE,IFNA(QUERY(OptionsPositions, ""SELECT H WHERE A = '"" &amp; A43  &amp; ""' AND C is not null AND E is null ORDER BY H""), """"))"),"")</f>
        <v/>
      </c>
      <c r="J43" s="14" t="str">
        <f>IFERROR(__xludf.DUMMYFUNCTION("QUERY(TradeLog, ""SELECT S WHERE A = '"" &amp; A43 &amp; ""' ORDER BY B DESC LIMIT 1"")  "),"Stopped myself out above 5.5")</f>
        <v>Stopped myself out above 5.5</v>
      </c>
      <c r="K43" s="117">
        <f t="shared" si="2"/>
        <v>-181.4</v>
      </c>
      <c r="L43" s="117">
        <f>IFERROR(__xludf.DUMMYFUNCTION("IFNA(QUERY(OptionsPositions, ""SELECT SUM(P) WHERE A = '"" &amp; A43 &amp; ""' LABEL SUM(P) ''""), 0)"),0.0)</f>
        <v>0</v>
      </c>
      <c r="M43" s="118">
        <f>IFERROR(__xludf.DUMMYFUNCTION("IFNA(ROUND(QUERY(OptionsPositions, ""SELECT AVG(Q) WHERE A = '"" &amp; A43 &amp; ""' LABEL AVG(Q) ''""), 2), 0)"),0.0)</f>
        <v>0</v>
      </c>
      <c r="N43" s="117">
        <f>IFERROR(__xludf.DUMMYFUNCTION("IFNA(QUERY(OptionsPositions, ""SELECT SUM(R) WHERE A = '"" &amp; A43 &amp; ""' LABEL SUM(R) ''""), 0)"),-181.39999999999986)</f>
        <v>-181.4</v>
      </c>
      <c r="O43" s="117">
        <f>IFERROR(__xludf.DUMMYFUNCTION("IFNA(QUERY(OptionsPositions, ""SELECT AVG(S) WHERE A = '"" &amp; A43 &amp; ""' LABEL AVG(S) ''""), 0)"),-8.571428571428571)</f>
        <v>-8.571428571</v>
      </c>
      <c r="P43" s="118">
        <f>IFERROR(__xludf.DUMMYFUNCTION("IFNA(QUERY(OptionsPositions, ""SELECT SUM(T) WHERE A = '"" &amp; A43 &amp; ""' LABEL SUM(T) ''""), 0)"),0.0)</f>
        <v>0</v>
      </c>
      <c r="Q43" s="119">
        <f>IFERROR(__xludf.DUMMYFUNCTION("IFNA(QUERY(OptionsPositions, ""SELECT SUM(U) WHERE A = '"" &amp; A43 &amp; ""' LABEL SUM(U) ''""), 0)"),0.0)</f>
        <v>0</v>
      </c>
      <c r="R43" s="120">
        <f>IFERROR(__xludf.DUMMYFUNCTION("IFNA(QUERY(OptionsPositions, ""SELECT SUM(V) WHERE A = '"" &amp; A43 &amp; ""' LABEL SUM(V) ''""), 0)"),0.0)</f>
        <v>0</v>
      </c>
      <c r="S43" s="120">
        <f>IFERROR(__xludf.DUMMYFUNCTION("IFNA(QUERY(OptionsPositions, ""SELECT SUM(W) WHERE A = '"" &amp; A43 &amp; ""' LABEL SUM(W) ''""), 0)"),0.0)</f>
        <v>0</v>
      </c>
      <c r="T43" s="120">
        <f>IFERROR(__xludf.DUMMYFUNCTION("IFNA(QUERY(OptionsPositions, ""SELECT SUM(X) WHERE A = '"" &amp; A43 &amp; ""' LABEL SUM(X) ''""), 0)"),0.0)</f>
        <v>0</v>
      </c>
      <c r="U43" s="117" t="str">
        <f>IFERROR(__xludf.DUMMYFUNCTION("IFNA(QUERY(OptionsPositions, ""SELECT AVG(Y) WHERE A = '"" &amp; A43 &amp; ""' LABEL AVG(Y) ''""), 0)"),"")</f>
        <v/>
      </c>
      <c r="V43" s="121">
        <f>IFERROR(__xludf.DUMMYFUNCTION("IFNA(QUERY(OptionsPositions, ""SELECT SUM(Z) WHERE A = '"" &amp; A43 &amp; ""' LABEL SUM(Z) ''""), 0)"),19421.79)</f>
        <v>19421.79</v>
      </c>
      <c r="W43" s="117">
        <f>IFERROR(__xludf.DUMMYFUNCTION("IFNA(QUERY(OptionsPositions, ""SELECT AVG(AA) WHERE A = '"" &amp; A43 &amp; ""' LABEL AVG(AA) ''""), 0)"),64.50579878469593)</f>
        <v>64.50579878</v>
      </c>
      <c r="X43" s="122" t="str">
        <f>IFERROR(__xludf.DUMMYFUNCTION("IFNA(QUERY(OptionsPositions, ""SELECT AVG(AB) WHERE A = '"" &amp; A43 &amp; ""' LABEL AVG(AB) ''""), 0)"),"")</f>
        <v/>
      </c>
      <c r="Y43" s="123">
        <f t="shared" si="3"/>
        <v>0</v>
      </c>
      <c r="Z43" s="118">
        <f>IFERROR(__xludf.DUMMYFUNCTION("QUERY(OptionsPositions, ""SELECT SUM(L) WHERE A = '"" &amp; A43 &amp; ""' LABEL SUM(L) ''"")"),0.983)</f>
        <v>0.983</v>
      </c>
    </row>
    <row r="44" ht="22.5" customHeight="1">
      <c r="A44" s="3" t="s">
        <v>349</v>
      </c>
      <c r="B44" s="112">
        <f>IFERROR(__xludf.DUMMYFUNCTION("IF(COUNT(QUERY(OptionsPositions, ""SELECT 1 WHERE A = '"" &amp; A44  &amp; ""' AND C is not null AND E is null""))&gt;0, QUERY(OptionsPositions, ""SELECT C WHERE A = '"" &amp; A44  &amp; ""' AND E is null ORDER BY C ASC LIMIT 1""), """")"),46066.0)</f>
        <v>46066</v>
      </c>
      <c r="C44" s="26" t="str">
        <f>IFERROR(__xludf.DUMMYFUNCTION("IF(COUNT(QUERY(OptionsPositions, ""SELECT 1 WHERE A = '"" &amp; A44  &amp; ""' AND C is not null AND E is null""))&gt;0, """", QUERY(OptionsPositions, ""SELECT E WHERE A = '"" &amp; A44  &amp; ""' ORDER BY E DESC LIMIT 1""))"),"")</f>
        <v/>
      </c>
      <c r="D44" s="113">
        <f>IF(OptionInstruments[Opened] &lt;&gt; "",IF(OptionInstruments[Closed] = "", TODAY(), OptionInstruments[Closed]) - OptionInstruments[Opened], "")</f>
        <v>34</v>
      </c>
      <c r="E44" s="113">
        <f>IFERROR(__xludf.DUMMYFUNCTION("IFNA(QUERY(OptionsPositions, ""SELECT D WHERE A = '"" &amp; A44 &amp; ""' AND E IS null ORDER BY D LIMIT 1"") - TODAY(), 0)"),29.0)</f>
        <v>29</v>
      </c>
      <c r="F44" s="114" t="str">
        <f t="shared" si="1"/>
        <v>Open</v>
      </c>
      <c r="G44" s="115" t="str">
        <f>IFERROR(__xludf.DUMMYFUNCTION("QUERY(TradeLog, ""SELECT G WHERE A = '"" &amp; A44 &amp; ""' ORDER BY G DESC LIMIT 1"")"),"Speculative")</f>
        <v>Speculative</v>
      </c>
      <c r="H44" s="116" t="str">
        <f>IFERROR(__xludf.DUMMYFUNCTION("IFNA(QUERY(TradeLog, ""SELECT C WHERE A = '"" &amp; A44 &amp; ""' ORDER BY B DESC LIMIT 1""), """")"),"Long Call")</f>
        <v>Long Call</v>
      </c>
      <c r="I44" s="14" t="str">
        <f>IFERROR(__xludf.DUMMYFUNCTION("TEXTJOIN("", "", TRUE,IFNA(QUERY(OptionsPositions, ""SELECT H WHERE A = '"" &amp; A44  &amp; ""' AND C is not null AND E is null ORDER BY H""), """"))"),"50")</f>
        <v>50</v>
      </c>
      <c r="J44" s="14" t="str">
        <f>IFERROR(__xludf.DUMMYFUNCTION("QUERY(TradeLog, ""SELECT S WHERE A = '"" &amp; A44 &amp; ""' ORDER BY B DESC LIMIT 1"")  "),"10 - 20 EMA")</f>
        <v>10 - 20 EMA</v>
      </c>
      <c r="K44" s="117">
        <f t="shared" si="2"/>
        <v>-11.999</v>
      </c>
      <c r="L44" s="117">
        <f>IFERROR(__xludf.DUMMYFUNCTION("IFNA(QUERY(OptionsPositions, ""SELECT SUM(P) WHERE A = '"" &amp; A44 &amp; ""' LABEL SUM(P) ''""), 0)"),-11.999000000000004)</f>
        <v>-11.999</v>
      </c>
      <c r="M44" s="118">
        <f>IFERROR(__xludf.DUMMYFUNCTION("IFNA(ROUND(QUERY(OptionsPositions, ""SELECT AVG(Q) WHERE A = '"" &amp; A44 &amp; ""' LABEL AVG(Q) ''""), 2), 0)"),-26.0)</f>
        <v>-26</v>
      </c>
      <c r="N44" s="117">
        <f>IFERROR(__xludf.DUMMYFUNCTION("IFNA(QUERY(OptionsPositions, ""SELECT SUM(R) WHERE A = '"" &amp; A44 &amp; ""' LABEL SUM(R) ''""), 0)"),0.0)</f>
        <v>0</v>
      </c>
      <c r="O44" s="117">
        <f>IFERROR(__xludf.DUMMYFUNCTION("IFNA(QUERY(OptionsPositions, ""SELECT AVG(S) WHERE A = '"" &amp; A44 &amp; ""' LABEL AVG(S) ''""), 0)"),0.0)</f>
        <v>0</v>
      </c>
      <c r="P44" s="118">
        <f>IFERROR(__xludf.DUMMYFUNCTION("IFNA(QUERY(OptionsPositions, ""SELECT SUM(T) WHERE A = '"" &amp; A44 &amp; ""' LABEL SUM(T) ''""), 0)"),0.35)</f>
        <v>0.35</v>
      </c>
      <c r="Q44" s="119">
        <f>IFERROR(__xludf.DUMMYFUNCTION("IFNA(QUERY(OptionsPositions, ""SELECT SUM(U) WHERE A = '"" &amp; A44 &amp; ""' LABEL SUM(U) ''""), 0)"),0.19296247)</f>
        <v>0.19296247</v>
      </c>
      <c r="R44" s="120">
        <f>IFERROR(__xludf.DUMMYFUNCTION("IFNA(QUERY(OptionsPositions, ""SELECT SUM(V) WHERE A = '"" &amp; A44 &amp; ""' LABEL SUM(V) ''""), 0)"),-0.01332395)</f>
        <v>-0.01332395</v>
      </c>
      <c r="S44" s="120">
        <f>IFERROR(__xludf.DUMMYFUNCTION("IFNA(QUERY(OptionsPositions, ""SELECT SUM(W) WHERE A = '"" &amp; A44 &amp; ""' LABEL SUM(W) ''""), 0)"),0.08019631)</f>
        <v>0.08019631</v>
      </c>
      <c r="T44" s="120">
        <f>IFERROR(__xludf.DUMMYFUNCTION("IFNA(QUERY(OptionsPositions, ""SELECT SUM(X) WHERE A = '"" &amp; A44 &amp; ""' LABEL SUM(X) ''""), 0)"),0.04352172)</f>
        <v>0.04352172</v>
      </c>
      <c r="U44" s="117">
        <f>IFERROR(__xludf.DUMMYFUNCTION("IFNA(QUERY(OptionsPositions, ""SELECT AVG(Y) WHERE A = '"" &amp; A44 &amp; ""' LABEL AVG(Y) ''""), 0)"),23.0)</f>
        <v>23</v>
      </c>
      <c r="V44" s="121">
        <f>IFERROR(__xludf.DUMMYFUNCTION("IFNA(QUERY(OptionsPositions, ""SELECT SUM(Z) WHERE A = '"" &amp; A44 &amp; ""' LABEL SUM(Z) ''""), 0)"),53.27)</f>
        <v>53.27</v>
      </c>
      <c r="W44" s="117">
        <f>IFERROR(__xludf.DUMMYFUNCTION("IFNA(QUERY(OptionsPositions, ""SELECT AVG(AA) WHERE A = '"" &amp; A44 &amp; ""' LABEL AVG(AA) ''""), 0)"),-73120.63492063493)</f>
        <v>-73120.63492</v>
      </c>
      <c r="X44" s="122">
        <f>IFERROR(__xludf.DUMMYFUNCTION("IFNA(QUERY(OptionsPositions, ""SELECT AVG(AB) WHERE A = '"" &amp; A44 &amp; ""' LABEL AVG(AB) ''""), 0)"),2812.3321123321125)</f>
        <v>2812.332112</v>
      </c>
      <c r="Y44" s="123">
        <f t="shared" si="3"/>
        <v>-22.52487329</v>
      </c>
      <c r="Z44" s="118">
        <f>IFERROR(__xludf.DUMMYFUNCTION("QUERY(OptionsPositions, ""SELECT SUM(L) WHERE A = '"" &amp; A44 &amp; ""' LABEL SUM(L) ''"")"),0.35)</f>
        <v>0.35</v>
      </c>
    </row>
    <row r="45" ht="22.5" customHeight="1">
      <c r="A45" s="3" t="s">
        <v>369</v>
      </c>
      <c r="B45" s="112">
        <f>IFERROR(__xludf.DUMMYFUNCTION("IF(COUNT(QUERY(OptionsPositions, ""SELECT 1 WHERE A = '"" &amp; A45  &amp; ""' AND C is not null AND E is null""))&gt;0, QUERY(OptionsPositions, ""SELECT C WHERE A = '"" &amp; A45  &amp; ""' AND E is null ORDER BY C ASC LIMIT 1""), """")"),46079.0)</f>
        <v>46079</v>
      </c>
      <c r="C45" s="26" t="str">
        <f>IFERROR(__xludf.DUMMYFUNCTION("IF(COUNT(QUERY(OptionsPositions, ""SELECT 1 WHERE A = '"" &amp; A45  &amp; ""' AND C is not null AND E is null""))&gt;0, """", QUERY(OptionsPositions, ""SELECT E WHERE A = '"" &amp; A45  &amp; ""' ORDER BY E DESC LIMIT 1""))"),"")</f>
        <v/>
      </c>
      <c r="D45" s="113">
        <f>IF(OptionInstruments[Opened] &lt;&gt; "",IF(OptionInstruments[Closed] = "", TODAY(), OptionInstruments[Closed]) - OptionInstruments[Opened], "")</f>
        <v>21</v>
      </c>
      <c r="E45" s="113">
        <f>IFERROR(__xludf.DUMMYFUNCTION("IFNA(QUERY(OptionsPositions, ""SELECT D WHERE A = '"" &amp; A45 &amp; ""' AND E IS null ORDER BY D LIMIT 1"") - TODAY(), 0)"),1.0)</f>
        <v>1</v>
      </c>
      <c r="F45" s="114" t="str">
        <f t="shared" si="1"/>
        <v>Open</v>
      </c>
      <c r="G45" s="115" t="str">
        <f>IFERROR(__xludf.DUMMYFUNCTION("QUERY(TradeLog, ""SELECT G WHERE A = '"" &amp; A45 &amp; ""' ORDER BY G DESC LIMIT 1"")"),"Speculative")</f>
        <v>Speculative</v>
      </c>
      <c r="H45" s="116" t="str">
        <f>IFERROR(__xludf.DUMMYFUNCTION("IFNA(QUERY(TradeLog, ""SELECT C WHERE A = '"" &amp; A45 &amp; ""' ORDER BY B DESC LIMIT 1""), """")"),"Long Call")</f>
        <v>Long Call</v>
      </c>
      <c r="I45" s="14" t="str">
        <f>IFERROR(__xludf.DUMMYFUNCTION("TEXTJOIN("", "", TRUE,IFNA(QUERY(OptionsPositions, ""SELECT H WHERE A = '"" &amp; A45  &amp; ""' AND C is not null AND E is null ORDER BY H""), """"))"),"12")</f>
        <v>12</v>
      </c>
      <c r="J45" s="14" t="str">
        <f>IFERROR(__xludf.DUMMYFUNCTION("QUERY(TradeLog, ""SELECT S WHERE A = '"" &amp; A45 &amp; ""' ORDER BY B DESC LIMIT 1"")  "),"")</f>
        <v/>
      </c>
      <c r="K45" s="117">
        <f t="shared" si="2"/>
        <v>-37.049</v>
      </c>
      <c r="L45" s="117">
        <f>IFERROR(__xludf.DUMMYFUNCTION("IFNA(QUERY(OptionsPositions, ""SELECT SUM(P) WHERE A = '"" &amp; A45 &amp; ""' LABEL SUM(P) ''""), 0)"),-37.049)</f>
        <v>-37.049</v>
      </c>
      <c r="M45" s="118">
        <f>IFERROR(__xludf.DUMMYFUNCTION("IFNA(ROUND(QUERY(OptionsPositions, ""SELECT AVG(Q) WHERE A = '"" &amp; A45 &amp; ""' LABEL AVG(Q) ''""), 2), 0)"),-86.0)</f>
        <v>-86</v>
      </c>
      <c r="N45" s="117">
        <f>IFERROR(__xludf.DUMMYFUNCTION("IFNA(QUERY(OptionsPositions, ""SELECT SUM(R) WHERE A = '"" &amp; A45 &amp; ""' LABEL SUM(R) ''""), 0)"),0.0)</f>
        <v>0</v>
      </c>
      <c r="O45" s="117">
        <f>IFERROR(__xludf.DUMMYFUNCTION("IFNA(QUERY(OptionsPositions, ""SELECT AVG(S) WHERE A = '"" &amp; A45 &amp; ""' LABEL AVG(S) ''""), 0)"),0.0)</f>
        <v>0</v>
      </c>
      <c r="P45" s="118">
        <f>IFERROR(__xludf.DUMMYFUNCTION("IFNA(QUERY(OptionsPositions, ""SELECT SUM(T) WHERE A = '"" &amp; A45 &amp; ""' LABEL SUM(T) ''""), 0)"),0.06)</f>
        <v>0.06</v>
      </c>
      <c r="Q45" s="119">
        <f>IFERROR(__xludf.DUMMYFUNCTION("IFNA(QUERY(OptionsPositions, ""SELECT SUM(U) WHERE A = '"" &amp; A45 &amp; ""' LABEL SUM(U) ''""), 0)"),0.0606625)</f>
        <v>0.0606625</v>
      </c>
      <c r="R45" s="120">
        <f>IFERROR(__xludf.DUMMYFUNCTION("IFNA(QUERY(OptionsPositions, ""SELECT SUM(V) WHERE A = '"" &amp; A45 &amp; ""' LABEL SUM(V) ''""), 0)"),-0.00950181)</f>
        <v>-0.00950181</v>
      </c>
      <c r="S45" s="120">
        <f>IFERROR(__xludf.DUMMYFUNCTION("IFNA(QUERY(OptionsPositions, ""SELECT SUM(W) WHERE A = '"" &amp; A45 &amp; ""' LABEL SUM(W) ''""), 0)"),0.06645562)</f>
        <v>0.06645562</v>
      </c>
      <c r="T45" s="120">
        <f>IFERROR(__xludf.DUMMYFUNCTION("IFNA(QUERY(OptionsPositions, ""SELECT SUM(X) WHERE A = '"" &amp; A45 &amp; ""' LABEL SUM(X) ''""), 0)"),0.00163521)</f>
        <v>0.00163521</v>
      </c>
      <c r="U45" s="117">
        <f>IFERROR(__xludf.DUMMYFUNCTION("IFNA(QUERY(OptionsPositions, ""SELECT AVG(Y) WHERE A = '"" &amp; A45 &amp; ""' LABEL AVG(Y) ''""), 0)"),126.0)</f>
        <v>126</v>
      </c>
      <c r="V45" s="121">
        <f>IFERROR(__xludf.DUMMYFUNCTION("IFNA(QUERY(OptionsPositions, ""SELECT SUM(Z) WHERE A = '"" &amp; A45 &amp; ""' LABEL SUM(Z) ''""), 0)"),37.63)</f>
        <v>37.63</v>
      </c>
      <c r="W45" s="117">
        <f>IFERROR(__xludf.DUMMYFUNCTION("IFNA(QUERY(OptionsPositions, ""SELECT AVG(AA) WHERE A = '"" &amp; A45 &amp; ""' LABEL AVG(AA) ''""), 0)"),-209450.0)</f>
        <v>-209450</v>
      </c>
      <c r="X45" s="122">
        <f>IFERROR(__xludf.DUMMYFUNCTION("IFNA(QUERY(OptionsPositions, ""SELECT AVG(AB) WHERE A = '"" &amp; A45 &amp; ""' LABEL AVG(AB) ''""), 0)"),2435.4651162790697)</f>
        <v>2435.465116</v>
      </c>
      <c r="Y45" s="123">
        <f t="shared" si="3"/>
        <v>-98.45601913</v>
      </c>
      <c r="Z45" s="118">
        <f>IFERROR(__xludf.DUMMYFUNCTION("QUERY(OptionsPositions, ""SELECT SUM(L) WHERE A = '"" &amp; A45 &amp; ""' LABEL SUM(L) ''"")"),0.06)</f>
        <v>0.06</v>
      </c>
    </row>
    <row r="46" ht="22.5" customHeight="1">
      <c r="A46" s="3" t="s">
        <v>209</v>
      </c>
      <c r="B46" s="112" t="str">
        <f>IFERROR(__xludf.DUMMYFUNCTION("IF(COUNT(QUERY(OptionsPositions, ""SELECT 1 WHERE A = '"" &amp; A46  &amp; ""' AND C is not null AND E is null""))&gt;0, QUERY(OptionsPositions, ""SELECT C WHERE A = '"" &amp; A46  &amp; ""' AND E is null ORDER BY C ASC LIMIT 1""), """")"),"")</f>
        <v/>
      </c>
      <c r="C46" s="26">
        <f>IFERROR(__xludf.DUMMYFUNCTION("IF(COUNT(QUERY(OptionsPositions, ""SELECT 1 WHERE A = '"" &amp; A46  &amp; ""' AND C is not null AND E is null""))&gt;0, """", QUERY(OptionsPositions, ""SELECT E WHERE A = '"" &amp; A46  &amp; ""' ORDER BY E DESC LIMIT 1""))"),46077.0)</f>
        <v>46077</v>
      </c>
      <c r="D46" s="113" t="str">
        <f>IF(OptionInstruments[Opened] &lt;&gt; "",IF(OptionInstruments[Closed] = "", TODAY(), OptionInstruments[Closed]) - OptionInstruments[Opened], "")</f>
        <v/>
      </c>
      <c r="E46" s="113">
        <f>IFERROR(__xludf.DUMMYFUNCTION("IFNA(QUERY(OptionsPositions, ""SELECT D WHERE A = '"" &amp; A46 &amp; ""' AND E IS null ORDER BY D LIMIT 1"") - TODAY(), 0)"),0.0)</f>
        <v>0</v>
      </c>
      <c r="F46" s="114" t="str">
        <f t="shared" si="1"/>
        <v>Closed</v>
      </c>
      <c r="G46" s="115" t="str">
        <f>IFERROR(__xludf.DUMMYFUNCTION("QUERY(TradeLog, ""SELECT G WHERE A = '"" &amp; A46 &amp; ""' ORDER BY G DESC LIMIT 1"")"),"Speculative")</f>
        <v>Speculative</v>
      </c>
      <c r="H46" s="116" t="str">
        <f>IFERROR(__xludf.DUMMYFUNCTION("IFNA(QUERY(TradeLog, ""SELECT C WHERE A = '"" &amp; A46 &amp; ""' ORDER BY B DESC LIMIT 1""), """")"),"Long Call")</f>
        <v>Long Call</v>
      </c>
      <c r="I46" s="14" t="str">
        <f>IFERROR(__xludf.DUMMYFUNCTION("TEXTJOIN("", "", TRUE,IFNA(QUERY(OptionsPositions, ""SELECT H WHERE A = '"" &amp; A46  &amp; ""' AND C is not null AND E is null ORDER BY H""), """"))"),"")</f>
        <v/>
      </c>
      <c r="J46" s="14" t="str">
        <f>IFERROR(__xludf.DUMMYFUNCTION("QUERY(TradeLog, ""SELECT S WHERE A = '"" &amp; A46 &amp; ""' ORDER BY B DESC LIMIT 1"")  "),"Close below 61")</f>
        <v>Close below 61</v>
      </c>
      <c r="K46" s="117">
        <f t="shared" si="2"/>
        <v>161.052</v>
      </c>
      <c r="L46" s="117">
        <f>IFERROR(__xludf.DUMMYFUNCTION("IFNA(QUERY(OptionsPositions, ""SELECT SUM(P) WHERE A = '"" &amp; A46 &amp; ""' LABEL SUM(P) ''""), 0)"),0.0)</f>
        <v>0</v>
      </c>
      <c r="M46" s="118">
        <f>IFERROR(__xludf.DUMMYFUNCTION("IFNA(ROUND(QUERY(OptionsPositions, ""SELECT AVG(Q) WHERE A = '"" &amp; A46 &amp; ""' LABEL AVG(Q) ''""), 2), 0)"),0.0)</f>
        <v>0</v>
      </c>
      <c r="N46" s="117">
        <f>IFERROR(__xludf.DUMMYFUNCTION("IFNA(QUERY(OptionsPositions, ""SELECT SUM(R) WHERE A = '"" &amp; A46 &amp; ""' LABEL SUM(R) ''""), 0)"),161.052)</f>
        <v>161.052</v>
      </c>
      <c r="O46" s="117">
        <f>IFERROR(__xludf.DUMMYFUNCTION("IFNA(QUERY(OptionsPositions, ""SELECT AVG(S) WHERE A = '"" &amp; A46 &amp; ""' LABEL AVG(S) ''""), 0)"),300.0)</f>
        <v>300</v>
      </c>
      <c r="P46" s="118">
        <f>IFERROR(__xludf.DUMMYFUNCTION("IFNA(QUERY(OptionsPositions, ""SELECT SUM(T) WHERE A = '"" &amp; A46 &amp; ""' LABEL SUM(T) ''""), 0)"),0.0)</f>
        <v>0</v>
      </c>
      <c r="Q46" s="119">
        <f>IFERROR(__xludf.DUMMYFUNCTION("IFNA(QUERY(OptionsPositions, ""SELECT SUM(U) WHERE A = '"" &amp; A46 &amp; ""' LABEL SUM(U) ''""), 0)"),0.0)</f>
        <v>0</v>
      </c>
      <c r="R46" s="120">
        <f>IFERROR(__xludf.DUMMYFUNCTION("IFNA(QUERY(OptionsPositions, ""SELECT SUM(V) WHERE A = '"" &amp; A46 &amp; ""' LABEL SUM(V) ''""), 0)"),0.0)</f>
        <v>0</v>
      </c>
      <c r="S46" s="120">
        <f>IFERROR(__xludf.DUMMYFUNCTION("IFNA(QUERY(OptionsPositions, ""SELECT SUM(W) WHERE A = '"" &amp; A46 &amp; ""' LABEL SUM(W) ''""), 0)"),0.0)</f>
        <v>0</v>
      </c>
      <c r="T46" s="120">
        <f>IFERROR(__xludf.DUMMYFUNCTION("IFNA(QUERY(OptionsPositions, ""SELECT SUM(X) WHERE A = '"" &amp; A46 &amp; ""' LABEL SUM(X) ''""), 0)"),0.0)</f>
        <v>0</v>
      </c>
      <c r="U46" s="117" t="str">
        <f>IFERROR(__xludf.DUMMYFUNCTION("IFNA(QUERY(OptionsPositions, ""SELECT AVG(Y) WHERE A = '"" &amp; A46 &amp; ""' LABEL AVG(Y) ''""), 0)"),"")</f>
        <v/>
      </c>
      <c r="V46" s="121">
        <f>IFERROR(__xludf.DUMMYFUNCTION("IFNA(QUERY(OptionsPositions, ""SELECT SUM(Z) WHERE A = '"" &amp; A46 &amp; ""' LABEL SUM(Z) ''""), 0)"),233.39)</f>
        <v>233.39</v>
      </c>
      <c r="W46" s="117">
        <f>IFERROR(__xludf.DUMMYFUNCTION("IFNA(QUERY(OptionsPositions, ""SELECT AVG(AA) WHERE A = '"" &amp; A46 &amp; ""' LABEL AVG(AA) ''""), 0)"),45.913978494623656)</f>
        <v>45.91397849</v>
      </c>
      <c r="X46" s="122" t="str">
        <f>IFERROR(__xludf.DUMMYFUNCTION("IFNA(QUERY(OptionsPositions, ""SELECT AVG(AB) WHERE A = '"" &amp; A46 &amp; ""' LABEL AVG(AB) ''""), 0)"),"")</f>
        <v/>
      </c>
      <c r="Y46" s="123">
        <f t="shared" si="3"/>
        <v>0</v>
      </c>
      <c r="Z46" s="118">
        <f>IFERROR(__xludf.DUMMYFUNCTION("QUERY(OptionsPositions, ""SELECT SUM(L) WHERE A = '"" &amp; A46 &amp; ""' LABEL SUM(L) ''"")"),2.6)</f>
        <v>2.6</v>
      </c>
    </row>
    <row r="47" ht="22.5" customHeight="1">
      <c r="A47" s="3" t="s">
        <v>241</v>
      </c>
      <c r="B47" s="112" t="str">
        <f>IFERROR(__xludf.DUMMYFUNCTION("IF(COUNT(QUERY(OptionsPositions, ""SELECT 1 WHERE A = '"" &amp; A47  &amp; ""' AND C is not null AND E is null""))&gt;0, QUERY(OptionsPositions, ""SELECT C WHERE A = '"" &amp; A47  &amp; ""' AND E is null ORDER BY C ASC LIMIT 1""), """")"),"")</f>
        <v/>
      </c>
      <c r="C47" s="26">
        <f>IFERROR(__xludf.DUMMYFUNCTION("IF(COUNT(QUERY(OptionsPositions, ""SELECT 1 WHERE A = '"" &amp; A47  &amp; ""' AND C is not null AND E is null""))&gt;0, """", QUERY(OptionsPositions, ""SELECT E WHERE A = '"" &amp; A47  &amp; ""' ORDER BY E DESC LIMIT 1""))"),46056.0)</f>
        <v>46056</v>
      </c>
      <c r="D47" s="113" t="str">
        <f>IF(OptionInstruments[Opened] &lt;&gt; "",IF(OptionInstruments[Closed] = "", TODAY(), OptionInstruments[Closed]) - OptionInstruments[Opened], "")</f>
        <v/>
      </c>
      <c r="E47" s="113">
        <f>IFERROR(__xludf.DUMMYFUNCTION("IFNA(QUERY(OptionsPositions, ""SELECT D WHERE A = '"" &amp; A47 &amp; ""' AND E IS null ORDER BY D LIMIT 1"") - TODAY(), 0)"),0.0)</f>
        <v>0</v>
      </c>
      <c r="F47" s="114" t="str">
        <f t="shared" si="1"/>
        <v>Closed</v>
      </c>
      <c r="G47" s="115" t="str">
        <f>IFERROR(__xludf.DUMMYFUNCTION("QUERY(TradeLog, ""SELECT G WHERE A = '"" &amp; A47 &amp; ""' ORDER BY G DESC LIMIT 1"")"),"Speculative")</f>
        <v>Speculative</v>
      </c>
      <c r="H47" s="116" t="str">
        <f>IFERROR(__xludf.DUMMYFUNCTION("IFNA(QUERY(TradeLog, ""SELECT C WHERE A = '"" &amp; A47 &amp; ""' ORDER BY B DESC LIMIT 1""), """")"),"Long Put")</f>
        <v>Long Put</v>
      </c>
      <c r="I47" s="14" t="str">
        <f>IFERROR(__xludf.DUMMYFUNCTION("TEXTJOIN("", "", TRUE,IFNA(QUERY(OptionsPositions, ""SELECT H WHERE A = '"" &amp; A47  &amp; ""' AND C is not null AND E is null ORDER BY H""), """"))"),"")</f>
        <v/>
      </c>
      <c r="J47" s="14" t="str">
        <f>IFERROR(__xludf.DUMMYFUNCTION("QUERY(TradeLog, ""SELECT S WHERE A = '"" &amp; A47 &amp; ""' ORDER BY B DESC LIMIT 1"")  "),"")</f>
        <v/>
      </c>
      <c r="K47" s="117">
        <f t="shared" si="2"/>
        <v>-39.049</v>
      </c>
      <c r="L47" s="117">
        <f>IFERROR(__xludf.DUMMYFUNCTION("IFNA(QUERY(OptionsPositions, ""SELECT SUM(P) WHERE A = '"" &amp; A47 &amp; ""' LABEL SUM(P) ''""), 0)"),0.0)</f>
        <v>0</v>
      </c>
      <c r="M47" s="118">
        <f>IFERROR(__xludf.DUMMYFUNCTION("IFNA(ROUND(QUERY(OptionsPositions, ""SELECT AVG(Q) WHERE A = '"" &amp; A47 &amp; ""' LABEL AVG(Q) ''""), 2), 0)"),0.0)</f>
        <v>0</v>
      </c>
      <c r="N47" s="117">
        <f>IFERROR(__xludf.DUMMYFUNCTION("IFNA(QUERY(OptionsPositions, ""SELECT SUM(R) WHERE A = '"" &amp; A47 &amp; ""' LABEL SUM(R) ''""), 0)"),-39.049)</f>
        <v>-39.049</v>
      </c>
      <c r="O47" s="117">
        <f>IFERROR(__xludf.DUMMYFUNCTION("IFNA(QUERY(OptionsPositions, ""SELECT AVG(S) WHERE A = '"" &amp; A47 &amp; ""' LABEL AVG(S) ''""), 0)"),-70.0)</f>
        <v>-70</v>
      </c>
      <c r="P47" s="118">
        <f>IFERROR(__xludf.DUMMYFUNCTION("IFNA(QUERY(OptionsPositions, ""SELECT SUM(T) WHERE A = '"" &amp; A47 &amp; ""' LABEL SUM(T) ''""), 0)"),0.0)</f>
        <v>0</v>
      </c>
      <c r="Q47" s="119">
        <f>IFERROR(__xludf.DUMMYFUNCTION("IFNA(QUERY(OptionsPositions, ""SELECT SUM(U) WHERE A = '"" &amp; A47 &amp; ""' LABEL SUM(U) ''""), 0)"),0.0)</f>
        <v>0</v>
      </c>
      <c r="R47" s="120">
        <f>IFERROR(__xludf.DUMMYFUNCTION("IFNA(QUERY(OptionsPositions, ""SELECT SUM(V) WHERE A = '"" &amp; A47 &amp; ""' LABEL SUM(V) ''""), 0)"),0.0)</f>
        <v>0</v>
      </c>
      <c r="S47" s="120">
        <f>IFERROR(__xludf.DUMMYFUNCTION("IFNA(QUERY(OptionsPositions, ""SELECT SUM(W) WHERE A = '"" &amp; A47 &amp; ""' LABEL SUM(W) ''""), 0)"),0.0)</f>
        <v>0</v>
      </c>
      <c r="T47" s="120">
        <f>IFERROR(__xludf.DUMMYFUNCTION("IFNA(QUERY(OptionsPositions, ""SELECT SUM(X) WHERE A = '"" &amp; A47 &amp; ""' LABEL SUM(X) ''""), 0)"),0.0)</f>
        <v>0</v>
      </c>
      <c r="U47" s="117" t="str">
        <f>IFERROR(__xludf.DUMMYFUNCTION("IFNA(QUERY(OptionsPositions, ""SELECT AVG(Y) WHERE A = '"" &amp; A47 &amp; ""' LABEL AVG(Y) ''""), 0)"),"")</f>
        <v/>
      </c>
      <c r="V47" s="121">
        <f>IFERROR(__xludf.DUMMYFUNCTION("IFNA(QUERY(OptionsPositions, ""SELECT SUM(Z) WHERE A = '"" &amp; A47 &amp; ""' LABEL SUM(Z) ''""), 0)"),55.19)</f>
        <v>55.19</v>
      </c>
      <c r="W47" s="117">
        <f>IFERROR(__xludf.DUMMYFUNCTION("IFNA(QUERY(OptionsPositions, ""SELECT AVG(AA) WHERE A = '"" &amp; A47 &amp; ""' LABEL AVG(AA) ''""), 0)"),41.37931034482759)</f>
        <v>41.37931034</v>
      </c>
      <c r="X47" s="122" t="str">
        <f>IFERROR(__xludf.DUMMYFUNCTION("IFNA(QUERY(OptionsPositions, ""SELECT AVG(AB) WHERE A = '"" &amp; A47 &amp; ""' LABEL AVG(AB) ''""), 0)"),"")</f>
        <v/>
      </c>
      <c r="Y47" s="123">
        <f t="shared" si="3"/>
        <v>0</v>
      </c>
      <c r="Z47" s="118">
        <f>IFERROR(__xludf.DUMMYFUNCTION("QUERY(OptionsPositions, ""SELECT SUM(L) WHERE A = '"" &amp; A47 &amp; ""' LABEL SUM(L) ''"")"),0.325)</f>
        <v>0.325</v>
      </c>
    </row>
    <row r="48" ht="22.5" customHeight="1">
      <c r="A48" s="3" t="s">
        <v>251</v>
      </c>
      <c r="B48" s="112">
        <f>IFERROR(__xludf.DUMMYFUNCTION("IF(COUNT(QUERY(OptionsPositions, ""SELECT 1 WHERE A = '"" &amp; A48  &amp; ""' AND C is not null AND E is null""))&gt;0, QUERY(OptionsPositions, ""SELECT C WHERE A = '"" &amp; A48  &amp; ""' AND E is null ORDER BY C ASC LIMIT 1""), """")"),46045.0)</f>
        <v>46045</v>
      </c>
      <c r="C48" s="26" t="str">
        <f>IFERROR(__xludf.DUMMYFUNCTION("IF(COUNT(QUERY(OptionsPositions, ""SELECT 1 WHERE A = '"" &amp; A48  &amp; ""' AND C is not null AND E is null""))&gt;0, """", QUERY(OptionsPositions, ""SELECT E WHERE A = '"" &amp; A48  &amp; ""' ORDER BY E DESC LIMIT 1""))"),"")</f>
        <v/>
      </c>
      <c r="D48" s="113">
        <f>IF(OptionInstruments[Opened] &lt;&gt; "",IF(OptionInstruments[Closed] = "", TODAY(), OptionInstruments[Closed]) - OptionInstruments[Opened], "")</f>
        <v>55</v>
      </c>
      <c r="E48" s="113">
        <f>IFERROR(__xludf.DUMMYFUNCTION("IFNA(QUERY(OptionsPositions, ""SELECT D WHERE A = '"" &amp; A48 &amp; ""' AND E IS null ORDER BY D LIMIT 1"") - TODAY(), 0)"),1.0)</f>
        <v>1</v>
      </c>
      <c r="F48" s="114" t="str">
        <f t="shared" si="1"/>
        <v>Open</v>
      </c>
      <c r="G48" s="115" t="str">
        <f>IFERROR(__xludf.DUMMYFUNCTION("QUERY(TradeLog, ""SELECT G WHERE A = '"" &amp; A48 &amp; ""' ORDER BY G DESC LIMIT 1"")"),"Speculative")</f>
        <v>Speculative</v>
      </c>
      <c r="H48" s="116" t="str">
        <f>IFERROR(__xludf.DUMMYFUNCTION("IFNA(QUERY(TradeLog, ""SELECT C WHERE A = '"" &amp; A48 &amp; ""' ORDER BY B DESC LIMIT 1""), """")"),"Long Strangle")</f>
        <v>Long Strangle</v>
      </c>
      <c r="I48" s="14" t="str">
        <f>IFERROR(__xludf.DUMMYFUNCTION("TEXTJOIN("", "", TRUE,IFNA(QUERY(OptionsPositions, ""SELECT H WHERE A = '"" &amp; A48  &amp; ""' AND C is not null AND E is null ORDER BY H""), """"))"),"12, 17")</f>
        <v>12, 17</v>
      </c>
      <c r="J48" s="14" t="str">
        <f>IFERROR(__xludf.DUMMYFUNCTION("QUERY(TradeLog, ""SELECT S WHERE A = '"" &amp; A48 &amp; ""' ORDER BY B DESC LIMIT 1"")  "),"NO SL")</f>
        <v>NO SL</v>
      </c>
      <c r="K48" s="117">
        <f t="shared" si="2"/>
        <v>95.902</v>
      </c>
      <c r="L48" s="117">
        <f>IFERROR(__xludf.DUMMYFUNCTION("IFNA(QUERY(OptionsPositions, ""SELECT SUM(P) WHERE A = '"" &amp; A48 &amp; ""' LABEL SUM(P) ''""), 0)"),95.90199999999999)</f>
        <v>95.902</v>
      </c>
      <c r="M48" s="118">
        <f>IFERROR(__xludf.DUMMYFUNCTION("IFNA(ROUND(QUERY(OptionsPositions, ""SELECT AVG(Q) WHERE A = '"" &amp; A48 &amp; ""' LABEL AVG(Q) ''""), 2), 0)"),541.0)</f>
        <v>541</v>
      </c>
      <c r="N48" s="117">
        <f>IFERROR(__xludf.DUMMYFUNCTION("IFNA(QUERY(OptionsPositions, ""SELECT SUM(R) WHERE A = '"" &amp; A48 &amp; ""' LABEL SUM(R) ''""), 0)"),0.0)</f>
        <v>0</v>
      </c>
      <c r="O48" s="117">
        <f>IFERROR(__xludf.DUMMYFUNCTION("IFNA(QUERY(OptionsPositions, ""SELECT AVG(S) WHERE A = '"" &amp; A48 &amp; ""' LABEL AVG(S) ''""), 0)"),0.0)</f>
        <v>0</v>
      </c>
      <c r="P48" s="118">
        <f>IFERROR(__xludf.DUMMYFUNCTION("IFNA(QUERY(OptionsPositions, ""SELECT SUM(T) WHERE A = '"" &amp; A48 &amp; ""' LABEL SUM(T) ''""), 0)"),0.17)</f>
        <v>0.17</v>
      </c>
      <c r="Q48" s="119">
        <f>IFERROR(__xludf.DUMMYFUNCTION("IFNA(QUERY(OptionsPositions, ""SELECT SUM(U) WHERE A = '"" &amp; A48 &amp; ""' LABEL SUM(U) ''""), 0)"),0.7871742899999999)</f>
        <v>0.78717429</v>
      </c>
      <c r="R48" s="120">
        <f>IFERROR(__xludf.DUMMYFUNCTION("IFNA(QUERY(OptionsPositions, ""SELECT SUM(V) WHERE A = '"" &amp; A48 &amp; ""' LABEL SUM(V) ''""), 0)"),-0.02160905)</f>
        <v>-0.02160905</v>
      </c>
      <c r="S48" s="120">
        <f>IFERROR(__xludf.DUMMYFUNCTION("IFNA(QUERY(OptionsPositions, ""SELECT SUM(W) WHERE A = '"" &amp; A48 &amp; ""' LABEL SUM(W) ''""), 0)"),0.21315932)</f>
        <v>0.21315932</v>
      </c>
      <c r="T48" s="120">
        <f>IFERROR(__xludf.DUMMYFUNCTION("IFNA(QUERY(OptionsPositions, ""SELECT SUM(X) WHERE A = '"" &amp; A48 &amp; ""' LABEL SUM(X) ''""), 0)"),0.0090294)</f>
        <v>0.0090294</v>
      </c>
      <c r="U48" s="117">
        <f>IFERROR(__xludf.DUMMYFUNCTION("IFNA(QUERY(OptionsPositions, ""SELECT AVG(Y) WHERE A = '"" &amp; A48 &amp; ""' LABEL AVG(Y) ''""), 0)"),69.0)</f>
        <v>69</v>
      </c>
      <c r="V48" s="121">
        <f>IFERROR(__xludf.DUMMYFUNCTION("IFNA(QUERY(OptionsPositions, ""SELECT SUM(Z) WHERE A = '"" &amp; A48 &amp; ""' LABEL SUM(Z) ''""), 0)"),115.36)</f>
        <v>115.36</v>
      </c>
      <c r="W48" s="117">
        <f>IFERROR(__xludf.DUMMYFUNCTION("IFNA(QUERY(OptionsPositions, ""SELECT AVG(AA) WHERE A = '"" &amp; A48 &amp; ""' LABEL AVG(AA) ''""), 0)"),-82223.21428571429)</f>
        <v>-82223.21429</v>
      </c>
      <c r="X48" s="122">
        <f>IFERROR(__xludf.DUMMYFUNCTION("IFNA(QUERY(OptionsPositions, ""SELECT AVG(AB) WHERE A = '"" &amp; A48 &amp; ""' LABEL AVG(AB) ''""), 0)"),376.3346779066957)</f>
        <v>376.3346779</v>
      </c>
      <c r="Y48" s="123">
        <f t="shared" si="3"/>
        <v>83.13280166</v>
      </c>
      <c r="Z48" s="118">
        <f>IFERROR(__xludf.DUMMYFUNCTION("QUERY(OptionsPositions, ""SELECT SUM(L) WHERE A = '"" &amp; A48 &amp; ""' LABEL SUM(L) ''"")"),1.16)</f>
        <v>1.16</v>
      </c>
    </row>
    <row r="49" ht="22.5" customHeight="1">
      <c r="A49" s="3" t="s">
        <v>310</v>
      </c>
      <c r="B49" s="112" t="str">
        <f>IFERROR(__xludf.DUMMYFUNCTION("IF(COUNT(QUERY(OptionsPositions, ""SELECT 1 WHERE A = '"" &amp; A49  &amp; ""' AND C is not null AND E is null""))&gt;0, QUERY(OptionsPositions, ""SELECT C WHERE A = '"" &amp; A49  &amp; ""' AND E is null ORDER BY C ASC LIMIT 1""), """")"),"")</f>
        <v/>
      </c>
      <c r="C49" s="26">
        <f>IFERROR(__xludf.DUMMYFUNCTION("IF(COUNT(QUERY(OptionsPositions, ""SELECT 1 WHERE A = '"" &amp; A49  &amp; ""' AND C is not null AND E is null""))&gt;0, """", QUERY(OptionsPositions, ""SELECT E WHERE A = '"" &amp; A49  &amp; ""' ORDER BY E DESC LIMIT 1""))"),46079.0)</f>
        <v>46079</v>
      </c>
      <c r="D49" s="113" t="str">
        <f>IF(OptionInstruments[Opened] &lt;&gt; "",IF(OptionInstruments[Closed] = "", TODAY(), OptionInstruments[Closed]) - OptionInstruments[Opened], "")</f>
        <v/>
      </c>
      <c r="E49" s="113">
        <f>IFERROR(__xludf.DUMMYFUNCTION("IFNA(QUERY(OptionsPositions, ""SELECT D WHERE A = '"" &amp; A49 &amp; ""' AND E IS null ORDER BY D LIMIT 1"") - TODAY(), 0)"),0.0)</f>
        <v>0</v>
      </c>
      <c r="F49" s="114" t="str">
        <f t="shared" si="1"/>
        <v>Closed</v>
      </c>
      <c r="G49" s="115" t="str">
        <f>IFERROR(__xludf.DUMMYFUNCTION("QUERY(TradeLog, ""SELECT G WHERE A = '"" &amp; A49 &amp; ""' ORDER BY G DESC LIMIT 1"")"),"Speculative")</f>
        <v>Speculative</v>
      </c>
      <c r="H49" s="116" t="str">
        <f>IFERROR(__xludf.DUMMYFUNCTION("IFNA(QUERY(TradeLog, ""SELECT C WHERE A = '"" &amp; A49 &amp; ""' ORDER BY B DESC LIMIT 1""), """")"),"Long Put Vertical")</f>
        <v>Long Put Vertical</v>
      </c>
      <c r="I49" s="14" t="str">
        <f>IFERROR(__xludf.DUMMYFUNCTION("TEXTJOIN("", "", TRUE,IFNA(QUERY(OptionsPositions, ""SELECT H WHERE A = '"" &amp; A49  &amp; ""' AND C is not null AND E is null ORDER BY H""), """"))"),"")</f>
        <v/>
      </c>
      <c r="J49" s="14" t="str">
        <f>IFERROR(__xludf.DUMMYFUNCTION("QUERY(TradeLog, ""SELECT S WHERE A = '"" &amp; A49 &amp; ""' ORDER BY B DESC LIMIT 1"")  "),"Close above 15.5")</f>
        <v>Close above 15.5</v>
      </c>
      <c r="K49" s="117">
        <f t="shared" si="2"/>
        <v>29.499</v>
      </c>
      <c r="L49" s="117">
        <f>IFERROR(__xludf.DUMMYFUNCTION("IFNA(QUERY(OptionsPositions, ""SELECT SUM(P) WHERE A = '"" &amp; A49 &amp; ""' LABEL SUM(P) ''""), 0)"),0.0)</f>
        <v>0</v>
      </c>
      <c r="M49" s="118">
        <f>IFERROR(__xludf.DUMMYFUNCTION("IFNA(ROUND(QUERY(OptionsPositions, ""SELECT AVG(Q) WHERE A = '"" &amp; A49 &amp; ""' LABEL AVG(Q) ''""), 2), 0)"),0.0)</f>
        <v>0</v>
      </c>
      <c r="N49" s="117">
        <f>IFERROR(__xludf.DUMMYFUNCTION("IFNA(QUERY(OptionsPositions, ""SELECT SUM(R) WHERE A = '"" &amp; A49 &amp; ""' LABEL SUM(R) ''""), 0)"),29.498999999999995)</f>
        <v>29.499</v>
      </c>
      <c r="O49" s="117">
        <f>IFERROR(__xludf.DUMMYFUNCTION("IFNA(QUERY(OptionsPositions, ""SELECT AVG(S) WHERE A = '"" &amp; A49 &amp; ""' LABEL AVG(S) ''""), 0)"),-5.0)</f>
        <v>-5</v>
      </c>
      <c r="P49" s="118">
        <f>IFERROR(__xludf.DUMMYFUNCTION("IFNA(QUERY(OptionsPositions, ""SELECT SUM(T) WHERE A = '"" &amp; A49 &amp; ""' LABEL SUM(T) ''""), 0)"),0.0)</f>
        <v>0</v>
      </c>
      <c r="Q49" s="119">
        <f>IFERROR(__xludf.DUMMYFUNCTION("IFNA(QUERY(OptionsPositions, ""SELECT SUM(U) WHERE A = '"" &amp; A49 &amp; ""' LABEL SUM(U) ''""), 0)"),0.0)</f>
        <v>0</v>
      </c>
      <c r="R49" s="120">
        <f>IFERROR(__xludf.DUMMYFUNCTION("IFNA(QUERY(OptionsPositions, ""SELECT SUM(V) WHERE A = '"" &amp; A49 &amp; ""' LABEL SUM(V) ''""), 0)"),0.0)</f>
        <v>0</v>
      </c>
      <c r="S49" s="120">
        <f>IFERROR(__xludf.DUMMYFUNCTION("IFNA(QUERY(OptionsPositions, ""SELECT SUM(W) WHERE A = '"" &amp; A49 &amp; ""' LABEL SUM(W) ''""), 0)"),0.0)</f>
        <v>0</v>
      </c>
      <c r="T49" s="120">
        <f>IFERROR(__xludf.DUMMYFUNCTION("IFNA(QUERY(OptionsPositions, ""SELECT SUM(X) WHERE A = '"" &amp; A49 &amp; ""' LABEL SUM(X) ''""), 0)"),0.0)</f>
        <v>0</v>
      </c>
      <c r="U49" s="117" t="str">
        <f>IFERROR(__xludf.DUMMYFUNCTION("IFNA(QUERY(OptionsPositions, ""SELECT AVG(Y) WHERE A = '"" &amp; A49 &amp; ""' LABEL AVG(Y) ''""), 0)"),"")</f>
        <v/>
      </c>
      <c r="V49" s="121">
        <f>IFERROR(__xludf.DUMMYFUNCTION("IFNA(QUERY(OptionsPositions, ""SELECT SUM(Z) WHERE A = '"" &amp; A49 &amp; ""' LABEL SUM(Z) ''""), 0)"),269.91)</f>
        <v>269.91</v>
      </c>
      <c r="W49" s="117">
        <f>IFERROR(__xludf.DUMMYFUNCTION("IFNA(QUERY(OptionsPositions, ""SELECT AVG(AA) WHERE A = '"" &amp; A49 &amp; ""' LABEL AVG(AA) ''""), 0)"),42.10526315789474)</f>
        <v>42.10526316</v>
      </c>
      <c r="X49" s="122" t="str">
        <f>IFERROR(__xludf.DUMMYFUNCTION("IFNA(QUERY(OptionsPositions, ""SELECT AVG(AB) WHERE A = '"" &amp; A49 &amp; ""' LABEL AVG(AB) ''""), 0)"),"")</f>
        <v/>
      </c>
      <c r="Y49" s="123">
        <f t="shared" si="3"/>
        <v>0</v>
      </c>
      <c r="Z49" s="118">
        <f>IFERROR(__xludf.DUMMYFUNCTION("QUERY(OptionsPositions, ""SELECT SUM(L) WHERE A = '"" &amp; A49 &amp; ""' LABEL SUM(L) ''"")"),3.3600000000000003)</f>
        <v>3.36</v>
      </c>
    </row>
    <row r="50" ht="22.5" customHeight="1">
      <c r="A50" s="3" t="s">
        <v>394</v>
      </c>
      <c r="B50" s="112">
        <f>IFERROR(__xludf.DUMMYFUNCTION("IF(COUNT(QUERY(OptionsPositions, ""SELECT 1 WHERE A = '"" &amp; A50  &amp; ""' AND C is not null AND E is null""))&gt;0, QUERY(OptionsPositions, ""SELECT C WHERE A = '"" &amp; A50  &amp; ""' AND E is null ORDER BY C ASC LIMIT 1""), """")"),46084.0)</f>
        <v>46084</v>
      </c>
      <c r="C50" s="26" t="str">
        <f>IFERROR(__xludf.DUMMYFUNCTION("IF(COUNT(QUERY(OptionsPositions, ""SELECT 1 WHERE A = '"" &amp; A50  &amp; ""' AND C is not null AND E is null""))&gt;0, """", QUERY(OptionsPositions, ""SELECT E WHERE A = '"" &amp; A50  &amp; ""' ORDER BY E DESC LIMIT 1""))"),"")</f>
        <v/>
      </c>
      <c r="D50" s="113">
        <f>IF(OptionInstruments[Opened] &lt;&gt; "",IF(OptionInstruments[Closed] = "", TODAY(), OptionInstruments[Closed]) - OptionInstruments[Opened], "")</f>
        <v>16</v>
      </c>
      <c r="E50" s="113">
        <f>IFERROR(__xludf.DUMMYFUNCTION("IFNA(QUERY(OptionsPositions, ""SELECT D WHERE A = '"" &amp; A50 &amp; ""' AND E IS null ORDER BY D LIMIT 1"") - TODAY(), 0)"),29.0)</f>
        <v>29</v>
      </c>
      <c r="F50" s="114" t="str">
        <f t="shared" si="1"/>
        <v>Open</v>
      </c>
      <c r="G50" s="115" t="str">
        <f>IFERROR(__xludf.DUMMYFUNCTION("QUERY(TradeLog, ""SELECT G WHERE A = '"" &amp; A50 &amp; ""' ORDER BY G DESC LIMIT 1"")"),"Core")</f>
        <v>Core</v>
      </c>
      <c r="H50" s="116" t="str">
        <f>IFERROR(__xludf.DUMMYFUNCTION("IFNA(QUERY(TradeLog, ""SELECT C WHERE A = '"" &amp; A50 &amp; ""' ORDER BY B DESC LIMIT 1""), """")"),"Long Call")</f>
        <v>Long Call</v>
      </c>
      <c r="I50" s="14" t="str">
        <f>IFERROR(__xludf.DUMMYFUNCTION("TEXTJOIN("", "", TRUE,IFNA(QUERY(OptionsPositions, ""SELECT H WHERE A = '"" &amp; A50  &amp; ""' AND C is not null AND E is null ORDER BY H""), """"))"),"10")</f>
        <v>10</v>
      </c>
      <c r="J50" s="14" t="str">
        <f>IFERROR(__xludf.DUMMYFUNCTION("QUERY(TradeLog, ""SELECT S WHERE A = '"" &amp; A50 &amp; ""' ORDER BY B DESC LIMIT 1"")  "),"")</f>
        <v/>
      </c>
      <c r="K50" s="117">
        <f t="shared" si="2"/>
        <v>-10.048</v>
      </c>
      <c r="L50" s="117">
        <f>IFERROR(__xludf.DUMMYFUNCTION("IFNA(QUERY(OptionsPositions, ""SELECT SUM(P) WHERE A = '"" &amp; A50 &amp; ""' LABEL SUM(P) ''""), 0)"),-10.048000000000002)</f>
        <v>-10.048</v>
      </c>
      <c r="M50" s="118">
        <f>IFERROR(__xludf.DUMMYFUNCTION("IFNA(ROUND(QUERY(OptionsPositions, ""SELECT AVG(Q) WHERE A = '"" &amp; A50 &amp; ""' LABEL AVG(Q) ''""), 2), 0)"),-30.0)</f>
        <v>-30</v>
      </c>
      <c r="N50" s="117">
        <f>IFERROR(__xludf.DUMMYFUNCTION("IFNA(QUERY(OptionsPositions, ""SELECT SUM(R) WHERE A = '"" &amp; A50 &amp; ""' LABEL SUM(R) ''""), 0)"),0.0)</f>
        <v>0</v>
      </c>
      <c r="O50" s="117">
        <f>IFERROR(__xludf.DUMMYFUNCTION("IFNA(QUERY(OptionsPositions, ""SELECT AVG(S) WHERE A = '"" &amp; A50 &amp; ""' LABEL AVG(S) ''""), 0)"),0.0)</f>
        <v>0</v>
      </c>
      <c r="P50" s="118">
        <f>IFERROR(__xludf.DUMMYFUNCTION("IFNA(QUERY(OptionsPositions, ""SELECT SUM(T) WHERE A = '"" &amp; A50 &amp; ""' LABEL SUM(T) ''""), 0)"),0.24)</f>
        <v>0.24</v>
      </c>
      <c r="Q50" s="119">
        <f>IFERROR(__xludf.DUMMYFUNCTION("IFNA(QUERY(OptionsPositions, ""SELECT SUM(U) WHERE A = '"" &amp; A50 &amp; ""' LABEL SUM(U) ''""), 0)"),0.0)</f>
        <v>0</v>
      </c>
      <c r="R50" s="120">
        <f>IFERROR(__xludf.DUMMYFUNCTION("IFNA(QUERY(OptionsPositions, ""SELECT SUM(V) WHERE A = '"" &amp; A50 &amp; ""' LABEL SUM(V) ''""), 0)"),-0.00887365)</f>
        <v>-0.00887365</v>
      </c>
      <c r="S50" s="120">
        <f>IFERROR(__xludf.DUMMYFUNCTION("IFNA(QUERY(OptionsPositions, ""SELECT SUM(W) WHERE A = '"" &amp; A50 &amp; ""' LABEL SUM(W) ''""), 0)"),0.10864542)</f>
        <v>0.10864542</v>
      </c>
      <c r="T50" s="120">
        <f>IFERROR(__xludf.DUMMYFUNCTION("IFNA(QUERY(OptionsPositions, ""SELECT SUM(X) WHERE A = '"" &amp; A50 &amp; ""' LABEL SUM(X) ''""), 0)"),0.00577186)</f>
        <v>0.00577186</v>
      </c>
      <c r="U50" s="117">
        <f>IFERROR(__xludf.DUMMYFUNCTION("IFNA(QUERY(OptionsPositions, ""SELECT AVG(Y) WHERE A = '"" &amp; A50 &amp; ""' LABEL AVG(Y) ''""), 0)"),109.00000000000001)</f>
        <v>109</v>
      </c>
      <c r="V50" s="121">
        <f>IFERROR(__xludf.DUMMYFUNCTION("IFNA(QUERY(OptionsPositions, ""SELECT SUM(Z) WHERE A = '"" &amp; A50 &amp; ""' LABEL SUM(Z) ''""), 0)"),27.56)</f>
        <v>27.56</v>
      </c>
      <c r="W50" s="117">
        <f>IFERROR(__xludf.DUMMYFUNCTION("IFNA(QUERY(OptionsPositions, ""SELECT AVG(AA) WHERE A = '"" &amp; A50 &amp; ""' LABEL AVG(AA) ''""), 0)"),-102408.88888888889)</f>
        <v>-102408.8889</v>
      </c>
      <c r="X50" s="122">
        <f>IFERROR(__xludf.DUMMYFUNCTION("IFNA(QUERY(OptionsPositions, ""SELECT AVG(AB) WHERE A = '"" &amp; A50 &amp; ""' LABEL AVG(AB) ''""), 0)"),3413.6296296296296)</f>
        <v>3413.62963</v>
      </c>
      <c r="Y50" s="123">
        <f t="shared" si="3"/>
        <v>-36.4586357</v>
      </c>
      <c r="Z50" s="118">
        <f>IFERROR(__xludf.DUMMYFUNCTION("QUERY(OptionsPositions, ""SELECT SUM(L) WHERE A = '"" &amp; A50 &amp; ""' LABEL SUM(L) ''"")"),0.24)</f>
        <v>0.24</v>
      </c>
    </row>
    <row r="51" ht="22.5" customHeight="1">
      <c r="A51" s="3" t="s">
        <v>229</v>
      </c>
      <c r="B51" s="112" t="str">
        <f>IFERROR(__xludf.DUMMYFUNCTION("IF(COUNT(QUERY(OptionsPositions, ""SELECT 1 WHERE A = '"" &amp; A51  &amp; ""' AND C is not null AND E is null""))&gt;0, QUERY(OptionsPositions, ""SELECT C WHERE A = '"" &amp; A51  &amp; ""' AND E is null ORDER BY C ASC LIMIT 1""), """")"),"")</f>
        <v/>
      </c>
      <c r="C51" s="26">
        <f>IFERROR(__xludf.DUMMYFUNCTION("IF(COUNT(QUERY(OptionsPositions, ""SELECT 1 WHERE A = '"" &amp; A51  &amp; ""' AND C is not null AND E is null""))&gt;0, """", QUERY(OptionsPositions, ""SELECT E WHERE A = '"" &amp; A51  &amp; ""' ORDER BY E DESC LIMIT 1""))"),46064.0)</f>
        <v>46064</v>
      </c>
      <c r="D51" s="113" t="str">
        <f>IF(OptionInstruments[Opened] &lt;&gt; "",IF(OptionInstruments[Closed] = "", TODAY(), OptionInstruments[Closed]) - OptionInstruments[Opened], "")</f>
        <v/>
      </c>
      <c r="E51" s="113">
        <f>IFERROR(__xludf.DUMMYFUNCTION("IFNA(QUERY(OptionsPositions, ""SELECT D WHERE A = '"" &amp; A51 &amp; ""' AND E IS null ORDER BY D LIMIT 1"") - TODAY(), 0)"),0.0)</f>
        <v>0</v>
      </c>
      <c r="F51" s="114" t="str">
        <f t="shared" si="1"/>
        <v>Closed</v>
      </c>
      <c r="G51" s="115" t="str">
        <f>IFERROR(__xludf.DUMMYFUNCTION("QUERY(TradeLog, ""SELECT G WHERE A = '"" &amp; A51 &amp; ""' ORDER BY G DESC LIMIT 1"")"),"Speculative")</f>
        <v>Speculative</v>
      </c>
      <c r="H51" s="116" t="str">
        <f>IFERROR(__xludf.DUMMYFUNCTION("IFNA(QUERY(TradeLog, ""SELECT C WHERE A = '"" &amp; A51 &amp; ""' ORDER BY B DESC LIMIT 1""), """")"),"Long Put Vertical")</f>
        <v>Long Put Vertical</v>
      </c>
      <c r="I51" s="14" t="str">
        <f>IFERROR(__xludf.DUMMYFUNCTION("TEXTJOIN("", "", TRUE,IFNA(QUERY(OptionsPositions, ""SELECT H WHERE A = '"" &amp; A51  &amp; ""' AND C is not null AND E is null ORDER BY H""), """"))"),"")</f>
        <v/>
      </c>
      <c r="J51" s="14" t="str">
        <f>IFERROR(__xludf.DUMMYFUNCTION("QUERY(TradeLog, ""SELECT S WHERE A = '"" &amp; A51 &amp; ""' ORDER BY B DESC LIMIT 1"")  "),"")</f>
        <v/>
      </c>
      <c r="K51" s="117">
        <f t="shared" si="2"/>
        <v>71.894</v>
      </c>
      <c r="L51" s="117">
        <f>IFERROR(__xludf.DUMMYFUNCTION("IFNA(QUERY(OptionsPositions, ""SELECT SUM(P) WHERE A = '"" &amp; A51 &amp; ""' LABEL SUM(P) ''""), 0)"),0.0)</f>
        <v>0</v>
      </c>
      <c r="M51" s="118">
        <f>IFERROR(__xludf.DUMMYFUNCTION("IFNA(ROUND(QUERY(OptionsPositions, ""SELECT AVG(Q) WHERE A = '"" &amp; A51 &amp; ""' LABEL AVG(Q) ''""), 2), 0)"),0.0)</f>
        <v>0</v>
      </c>
      <c r="N51" s="117">
        <f>IFERROR(__xludf.DUMMYFUNCTION("IFNA(QUERY(OptionsPositions, ""SELECT SUM(R) WHERE A = '"" &amp; A51 &amp; ""' LABEL SUM(R) ''""), 0)"),71.89400000000005)</f>
        <v>71.894</v>
      </c>
      <c r="O51" s="117">
        <f>IFERROR(__xludf.DUMMYFUNCTION("IFNA(QUERY(OptionsPositions, ""SELECT AVG(S) WHERE A = '"" &amp; A51 &amp; ""' LABEL AVG(S) ''""), 0)"),5.0)</f>
        <v>5</v>
      </c>
      <c r="P51" s="118">
        <f>IFERROR(__xludf.DUMMYFUNCTION("IFNA(QUERY(OptionsPositions, ""SELECT SUM(T) WHERE A = '"" &amp; A51 &amp; ""' LABEL SUM(T) ''""), 0)"),0.0)</f>
        <v>0</v>
      </c>
      <c r="Q51" s="119">
        <f>IFERROR(__xludf.DUMMYFUNCTION("IFNA(QUERY(OptionsPositions, ""SELECT SUM(U) WHERE A = '"" &amp; A51 &amp; ""' LABEL SUM(U) ''""), 0)"),0.0)</f>
        <v>0</v>
      </c>
      <c r="R51" s="120">
        <f>IFERROR(__xludf.DUMMYFUNCTION("IFNA(QUERY(OptionsPositions, ""SELECT SUM(V) WHERE A = '"" &amp; A51 &amp; ""' LABEL SUM(V) ''""), 0)"),0.0)</f>
        <v>0</v>
      </c>
      <c r="S51" s="120">
        <f>IFERROR(__xludf.DUMMYFUNCTION("IFNA(QUERY(OptionsPositions, ""SELECT SUM(W) WHERE A = '"" &amp; A51 &amp; ""' LABEL SUM(W) ''""), 0)"),0.0)</f>
        <v>0</v>
      </c>
      <c r="T51" s="120">
        <f>IFERROR(__xludf.DUMMYFUNCTION("IFNA(QUERY(OptionsPositions, ""SELECT SUM(X) WHERE A = '"" &amp; A51 &amp; ""' LABEL SUM(X) ''""), 0)"),0.0)</f>
        <v>0</v>
      </c>
      <c r="U51" s="117" t="str">
        <f>IFERROR(__xludf.DUMMYFUNCTION("IFNA(QUERY(OptionsPositions, ""SELECT AVG(Y) WHERE A = '"" &amp; A51 &amp; ""' LABEL AVG(Y) ''""), 0)"),"")</f>
        <v/>
      </c>
      <c r="V51" s="121">
        <f>IFERROR(__xludf.DUMMYFUNCTION("IFNA(QUERY(OptionsPositions, ""SELECT SUM(Z) WHERE A = '"" &amp; A51 &amp; ""' LABEL SUM(Z) ''""), 0)"),681.68)</f>
        <v>681.68</v>
      </c>
      <c r="W51" s="117">
        <f>IFERROR(__xludf.DUMMYFUNCTION("IFNA(QUERY(OptionsPositions, ""SELECT AVG(AA) WHERE A = '"" &amp; A51 &amp; ""' LABEL AVG(AA) ''""), 0)"),70.0)</f>
        <v>70</v>
      </c>
      <c r="X51" s="122" t="str">
        <f>IFERROR(__xludf.DUMMYFUNCTION("IFNA(QUERY(OptionsPositions, ""SELECT AVG(AB) WHERE A = '"" &amp; A51 &amp; ""' LABEL AVG(AB) ''""), 0)"),"")</f>
        <v/>
      </c>
      <c r="Y51" s="123">
        <f t="shared" si="3"/>
        <v>0</v>
      </c>
      <c r="Z51" s="118">
        <f>IFERROR(__xludf.DUMMYFUNCTION("QUERY(OptionsPositions, ""SELECT SUM(L) WHERE A = '"" &amp; A51 &amp; ""' LABEL SUM(L) ''"")"),5.47)</f>
        <v>5.47</v>
      </c>
    </row>
    <row r="52" ht="22.5" customHeight="1">
      <c r="A52" s="3" t="s">
        <v>42</v>
      </c>
      <c r="B52" s="112">
        <f>IFERROR(__xludf.DUMMYFUNCTION("IF(COUNT(QUERY(OptionsPositions, ""SELECT 1 WHERE A = '"" &amp; A52  &amp; ""' AND C is not null AND E is null""))&gt;0, QUERY(OptionsPositions, ""SELECT C WHERE A = '"" &amp; A52  &amp; ""' AND E is null ORDER BY C ASC LIMIT 1""), """")"),46045.0)</f>
        <v>46045</v>
      </c>
      <c r="C52" s="26" t="str">
        <f>IFERROR(__xludf.DUMMYFUNCTION("IF(COUNT(QUERY(OptionsPositions, ""SELECT 1 WHERE A = '"" &amp; A52  &amp; ""' AND C is not null AND E is null""))&gt;0, """", QUERY(OptionsPositions, ""SELECT E WHERE A = '"" &amp; A52  &amp; ""' ORDER BY E DESC LIMIT 1""))"),"")</f>
        <v/>
      </c>
      <c r="D52" s="113">
        <f>IF(OptionInstruments[Opened] &lt;&gt; "",IF(OptionInstruments[Closed] = "", TODAY(), OptionInstruments[Closed]) - OptionInstruments[Opened], "")</f>
        <v>55</v>
      </c>
      <c r="E52" s="113">
        <f>IFERROR(__xludf.DUMMYFUNCTION("IFNA(QUERY(OptionsPositions, ""SELECT D WHERE A = '"" &amp; A52 &amp; ""' AND E IS null ORDER BY D LIMIT 1"") - TODAY(), 0)"),1.0)</f>
        <v>1</v>
      </c>
      <c r="F52" s="114" t="str">
        <f t="shared" si="1"/>
        <v>Open</v>
      </c>
      <c r="G52" s="115" t="str">
        <f>IFERROR(__xludf.DUMMYFUNCTION("QUERY(TradeLog, ""SELECT G WHERE A = '"" &amp; A52 &amp; ""' ORDER BY G DESC LIMIT 1"")"),"Core")</f>
        <v>Core</v>
      </c>
      <c r="H52" s="116" t="str">
        <f>IFERROR(__xludf.DUMMYFUNCTION("IFNA(QUERY(TradeLog, ""SELECT C WHERE A = '"" &amp; A52 &amp; ""' ORDER BY B DESC LIMIT 1""), """")"),"Short Strangle")</f>
        <v>Short Strangle</v>
      </c>
      <c r="I52" s="14" t="str">
        <f>IFERROR(__xludf.DUMMYFUNCTION("TEXTJOIN("", "", TRUE,IFNA(QUERY(OptionsPositions, ""SELECT H WHERE A = '"" &amp; A52  &amp; ""' AND C is not null AND E is null ORDER BY H""), """"))"),"77")</f>
        <v>77</v>
      </c>
      <c r="J52" s="14" t="str">
        <f>IFERROR(__xludf.DUMMYFUNCTION("QUERY(TradeLog, ""SELECT S WHERE A = '"" &amp; A52 &amp; ""' ORDER BY B DESC LIMIT 1"")  "),"Strangle Playbook")</f>
        <v>Strangle Playbook</v>
      </c>
      <c r="K52" s="117">
        <f t="shared" si="2"/>
        <v>-184.161</v>
      </c>
      <c r="L52" s="117">
        <f>IFERROR(__xludf.DUMMYFUNCTION("IFNA(QUERY(OptionsPositions, ""SELECT SUM(P) WHERE A = '"" &amp; A52 &amp; ""' LABEL SUM(P) ''""), 0)"),45.36799999999999)</f>
        <v>45.368</v>
      </c>
      <c r="M52" s="118">
        <f>IFERROR(__xludf.DUMMYFUNCTION("IFNA(ROUND(QUERY(OptionsPositions, ""SELECT AVG(Q) WHERE A = '"" &amp; A52 &amp; ""' LABEL AVG(Q) ''""), 2), 0)"),14.0)</f>
        <v>14</v>
      </c>
      <c r="N52" s="117">
        <f>IFERROR(__xludf.DUMMYFUNCTION("IFNA(QUERY(OptionsPositions, ""SELECT SUM(R) WHERE A = '"" &amp; A52 &amp; ""' LABEL SUM(R) ''""), 0)"),-229.52900000000005)</f>
        <v>-229.529</v>
      </c>
      <c r="O52" s="117">
        <f>IFERROR(__xludf.DUMMYFUNCTION("IFNA(QUERY(OptionsPositions, ""SELECT AVG(S) WHERE A = '"" &amp; A52 &amp; ""' LABEL AVG(S) ''""), 0)"),-51.111111111111114)</f>
        <v>-51.11111111</v>
      </c>
      <c r="P52" s="118">
        <f>IFERROR(__xludf.DUMMYFUNCTION("IFNA(QUERY(OptionsPositions, ""SELECT SUM(T) WHERE A = '"" &amp; A52 &amp; ""' LABEL SUM(T) ''""), 0)"),2.74)</f>
        <v>2.74</v>
      </c>
      <c r="Q52" s="119">
        <f>IFERROR(__xludf.DUMMYFUNCTION("IFNA(QUERY(OptionsPositions, ""SELECT SUM(U) WHERE A = '"" &amp; A52 &amp; ""' LABEL SUM(U) ''""), 0)"),0.33109367)</f>
        <v>0.33109367</v>
      </c>
      <c r="R52" s="120">
        <f>IFERROR(__xludf.DUMMYFUNCTION("IFNA(QUERY(OptionsPositions, ""SELECT SUM(V) WHERE A = '"" &amp; A52 &amp; ""' LABEL SUM(V) ''""), 0)"),0.15484973)</f>
        <v>0.15484973</v>
      </c>
      <c r="S52" s="120">
        <f>IFERROR(__xludf.DUMMYFUNCTION("IFNA(QUERY(OptionsPositions, ""SELECT SUM(W) WHERE A = '"" &amp; A52 &amp; ""' LABEL SUM(W) ''""), 0)"),0.04215103)</f>
        <v>0.04215103</v>
      </c>
      <c r="T52" s="120">
        <f>IFERROR(__xludf.DUMMYFUNCTION("IFNA(QUERY(OptionsPositions, ""SELECT SUM(X) WHERE A = '"" &amp; A52 &amp; ""' LABEL SUM(X) ''""), 0)"),0.049461)</f>
        <v>0.049461</v>
      </c>
      <c r="U52" s="117">
        <f>IFERROR(__xludf.DUMMYFUNCTION("IFNA(QUERY(OptionsPositions, ""SELECT AVG(Y) WHERE A = '"" &amp; A52 &amp; ""' LABEL AVG(Y) ''""), 0)"),65.0)</f>
        <v>65</v>
      </c>
      <c r="V52" s="121">
        <f>IFERROR(__xludf.DUMMYFUNCTION("IFNA(QUERY(OptionsPositions, ""SELECT SUM(Z) WHERE A = '"" &amp; A52 &amp; ""' LABEL SUM(Z) ''""), 0)"),3798.7700000000004)</f>
        <v>3798.77</v>
      </c>
      <c r="W52" s="117">
        <f>IFERROR(__xludf.DUMMYFUNCTION("IFNA(QUERY(OptionsPositions, ""SELECT AVG(AA) WHERE A = '"" &amp; A52 &amp; ""' LABEL AVG(AA) ''""), 0)"),-9111.008978250358)</f>
        <v>-9111.008978</v>
      </c>
      <c r="X52" s="122">
        <f>IFERROR(__xludf.DUMMYFUNCTION("IFNA(QUERY(OptionsPositions, ""SELECT AVG(AB) WHERE A = '"" &amp; A52 &amp; ""' LABEL AVG(AB) ''""), 0)"),-5873.086734693877)</f>
        <v>-5873.086735</v>
      </c>
      <c r="Y52" s="123">
        <f t="shared" si="3"/>
        <v>1.194281307</v>
      </c>
      <c r="Z52" s="118">
        <f>IFERROR(__xludf.DUMMYFUNCTION("QUERY(OptionsPositions, ""SELECT SUM(L) WHERE A = '"" &amp; A52 &amp; ""' LABEL SUM(L) ''"")"),22.67)</f>
        <v>22.67</v>
      </c>
    </row>
    <row r="53" ht="22.5" customHeight="1">
      <c r="A53" s="3" t="s">
        <v>283</v>
      </c>
      <c r="B53" s="112" t="str">
        <f>IFERROR(__xludf.DUMMYFUNCTION("IF(COUNT(QUERY(OptionsPositions, ""SELECT 1 WHERE A = '"" &amp; A53  &amp; ""' AND C is not null AND E is null""))&gt;0, QUERY(OptionsPositions, ""SELECT C WHERE A = '"" &amp; A53  &amp; ""' AND E is null ORDER BY C ASC LIMIT 1""), """")"),"")</f>
        <v/>
      </c>
      <c r="C53" s="26">
        <f>IFERROR(__xludf.DUMMYFUNCTION("IF(COUNT(QUERY(OptionsPositions, ""SELECT 1 WHERE A = '"" &amp; A53  &amp; ""' AND C is not null AND E is null""))&gt;0, """", QUERY(OptionsPositions, ""SELECT E WHERE A = '"" &amp; A53  &amp; ""' ORDER BY E DESC LIMIT 1""))"),46063.0)</f>
        <v>46063</v>
      </c>
      <c r="D53" s="113" t="str">
        <f>IF(OptionInstruments[Opened] &lt;&gt; "",IF(OptionInstruments[Closed] = "", TODAY(), OptionInstruments[Closed]) - OptionInstruments[Opened], "")</f>
        <v/>
      </c>
      <c r="E53" s="113">
        <f>IFERROR(__xludf.DUMMYFUNCTION("IFNA(QUERY(OptionsPositions, ""SELECT D WHERE A = '"" &amp; A53 &amp; ""' AND E IS null ORDER BY D LIMIT 1"") - TODAY(), 0)"),0.0)</f>
        <v>0</v>
      </c>
      <c r="F53" s="114" t="str">
        <f t="shared" si="1"/>
        <v>Closed</v>
      </c>
      <c r="G53" s="115" t="str">
        <f>IFERROR(__xludf.DUMMYFUNCTION("QUERY(TradeLog, ""SELECT G WHERE A = '"" &amp; A53 &amp; ""' ORDER BY G DESC LIMIT 1"")"),"Speculative")</f>
        <v>Speculative</v>
      </c>
      <c r="H53" s="116" t="str">
        <f>IFERROR(__xludf.DUMMYFUNCTION("IFNA(QUERY(TradeLog, ""SELECT C WHERE A = '"" &amp; A53 &amp; ""' ORDER BY B DESC LIMIT 1""), """")"),"Short Put Vertical")</f>
        <v>Short Put Vertical</v>
      </c>
      <c r="I53" s="14" t="str">
        <f>IFERROR(__xludf.DUMMYFUNCTION("TEXTJOIN("", "", TRUE,IFNA(QUERY(OptionsPositions, ""SELECT H WHERE A = '"" &amp; A53  &amp; ""' AND C is not null AND E is null ORDER BY H""), """"))"),"")</f>
        <v/>
      </c>
      <c r="J53" s="14" t="str">
        <f>IFERROR(__xludf.DUMMYFUNCTION("QUERY(TradeLog, ""SELECT S WHERE A = '"" &amp; A53 &amp; ""' ORDER BY B DESC LIMIT 1"")  "),"")</f>
        <v/>
      </c>
      <c r="K53" s="117">
        <f t="shared" si="2"/>
        <v>207.499</v>
      </c>
      <c r="L53" s="117">
        <f>IFERROR(__xludf.DUMMYFUNCTION("IFNA(QUERY(OptionsPositions, ""SELECT SUM(P) WHERE A = '"" &amp; A53 &amp; ""' LABEL SUM(P) ''""), 0)"),0.0)</f>
        <v>0</v>
      </c>
      <c r="M53" s="118">
        <f>IFERROR(__xludf.DUMMYFUNCTION("IFNA(ROUND(QUERY(OptionsPositions, ""SELECT AVG(Q) WHERE A = '"" &amp; A53 &amp; ""' LABEL AVG(Q) ''""), 2), 0)"),0.0)</f>
        <v>0</v>
      </c>
      <c r="N53" s="117">
        <f>IFERROR(__xludf.DUMMYFUNCTION("IFNA(QUERY(OptionsPositions, ""SELECT SUM(R) WHERE A = '"" &amp; A53 &amp; ""' LABEL SUM(R) ''""), 0)"),207.49899999999994)</f>
        <v>207.499</v>
      </c>
      <c r="O53" s="117">
        <f>IFERROR(__xludf.DUMMYFUNCTION("IFNA(QUERY(OptionsPositions, ""SELECT AVG(S) WHERE A = '"" &amp; A53 &amp; ""' LABEL AVG(S) ''""), 0)"),0.0)</f>
        <v>0</v>
      </c>
      <c r="P53" s="118">
        <f>IFERROR(__xludf.DUMMYFUNCTION("IFNA(QUERY(OptionsPositions, ""SELECT SUM(T) WHERE A = '"" &amp; A53 &amp; ""' LABEL SUM(T) ''""), 0)"),0.0)</f>
        <v>0</v>
      </c>
      <c r="Q53" s="119">
        <f>IFERROR(__xludf.DUMMYFUNCTION("IFNA(QUERY(OptionsPositions, ""SELECT SUM(U) WHERE A = '"" &amp; A53 &amp; ""' LABEL SUM(U) ''""), 0)"),0.0)</f>
        <v>0</v>
      </c>
      <c r="R53" s="120">
        <f>IFERROR(__xludf.DUMMYFUNCTION("IFNA(QUERY(OptionsPositions, ""SELECT SUM(V) WHERE A = '"" &amp; A53 &amp; ""' LABEL SUM(V) ''""), 0)"),0.0)</f>
        <v>0</v>
      </c>
      <c r="S53" s="120">
        <f>IFERROR(__xludf.DUMMYFUNCTION("IFNA(QUERY(OptionsPositions, ""SELECT SUM(W) WHERE A = '"" &amp; A53 &amp; ""' LABEL SUM(W) ''""), 0)"),0.0)</f>
        <v>0</v>
      </c>
      <c r="T53" s="120">
        <f>IFERROR(__xludf.DUMMYFUNCTION("IFNA(QUERY(OptionsPositions, ""SELECT SUM(X) WHERE A = '"" &amp; A53 &amp; ""' LABEL SUM(X) ''""), 0)"),0.0)</f>
        <v>0</v>
      </c>
      <c r="U53" s="117" t="str">
        <f>IFERROR(__xludf.DUMMYFUNCTION("IFNA(QUERY(OptionsPositions, ""SELECT AVG(Y) WHERE A = '"" &amp; A53 &amp; ""' LABEL AVG(Y) ''""), 0)"),"")</f>
        <v/>
      </c>
      <c r="V53" s="121">
        <f>IFERROR(__xludf.DUMMYFUNCTION("IFNA(QUERY(OptionsPositions, ""SELECT SUM(Z) WHERE A = '"" &amp; A53 &amp; ""' LABEL SUM(Z) ''""), 0)"),12388.84)</f>
        <v>12388.84</v>
      </c>
      <c r="W53" s="117">
        <f>IFERROR(__xludf.DUMMYFUNCTION("IFNA(QUERY(OptionsPositions, ""SELECT AVG(AA) WHERE A = '"" &amp; A53 &amp; ""' LABEL AVG(AA) ''""), 0)"),22.448979591836736)</f>
        <v>22.44897959</v>
      </c>
      <c r="X53" s="122" t="str">
        <f>IFERROR(__xludf.DUMMYFUNCTION("IFNA(QUERY(OptionsPositions, ""SELECT AVG(AB) WHERE A = '"" &amp; A53 &amp; ""' LABEL AVG(AB) ''""), 0)"),"")</f>
        <v/>
      </c>
      <c r="Y53" s="123">
        <f t="shared" si="3"/>
        <v>0</v>
      </c>
      <c r="Z53" s="118">
        <f>IFERROR(__xludf.DUMMYFUNCTION("QUERY(OptionsPositions, ""SELECT SUM(L) WHERE A = '"" &amp; A53 &amp; ""' LABEL SUM(L) ''"")"),4.09)</f>
        <v>4.09</v>
      </c>
    </row>
    <row r="54" ht="22.5" customHeight="1">
      <c r="A54" s="3" t="s">
        <v>293</v>
      </c>
      <c r="B54" s="112" t="str">
        <f>IFERROR(__xludf.DUMMYFUNCTION("IF(COUNT(QUERY(OptionsPositions, ""SELECT 1 WHERE A = '"" &amp; A54  &amp; ""' AND C is not null AND E is null""))&gt;0, QUERY(OptionsPositions, ""SELECT C WHERE A = '"" &amp; A54  &amp; ""' AND E is null ORDER BY C ASC LIMIT 1""), """")"),"")</f>
        <v/>
      </c>
      <c r="C54" s="26">
        <f>IFERROR(__xludf.DUMMYFUNCTION("IF(COUNT(QUERY(OptionsPositions, ""SELECT 1 WHERE A = '"" &amp; A54  &amp; ""' AND C is not null AND E is null""))&gt;0, """", QUERY(OptionsPositions, ""SELECT E WHERE A = '"" &amp; A54  &amp; ""' ORDER BY E DESC LIMIT 1""))"),46064.0)</f>
        <v>46064</v>
      </c>
      <c r="D54" s="113" t="str">
        <f>IF(OptionInstruments[Opened] &lt;&gt; "",IF(OptionInstruments[Closed] = "", TODAY(), OptionInstruments[Closed]) - OptionInstruments[Opened], "")</f>
        <v/>
      </c>
      <c r="E54" s="113">
        <f>IFERROR(__xludf.DUMMYFUNCTION("IFNA(QUERY(OptionsPositions, ""SELECT D WHERE A = '"" &amp; A54 &amp; ""' AND E IS null ORDER BY D LIMIT 1"") - TODAY(), 0)"),0.0)</f>
        <v>0</v>
      </c>
      <c r="F54" s="114" t="str">
        <f t="shared" si="1"/>
        <v>Closed</v>
      </c>
      <c r="G54" s="115" t="str">
        <f>IFERROR(__xludf.DUMMYFUNCTION("QUERY(TradeLog, ""SELECT G WHERE A = '"" &amp; A54 &amp; ""' ORDER BY G DESC LIMIT 1"")"),"Speculative")</f>
        <v>Speculative</v>
      </c>
      <c r="H54" s="116" t="str">
        <f>IFERROR(__xludf.DUMMYFUNCTION("IFNA(QUERY(TradeLog, ""SELECT C WHERE A = '"" &amp; A54 &amp; ""' ORDER BY B DESC LIMIT 1""), """")"),"Long Put")</f>
        <v>Long Put</v>
      </c>
      <c r="I54" s="14" t="str">
        <f>IFERROR(__xludf.DUMMYFUNCTION("TEXTJOIN("", "", TRUE,IFNA(QUERY(OptionsPositions, ""SELECT H WHERE A = '"" &amp; A54  &amp; ""' AND C is not null AND E is null ORDER BY H""), """"))"),"")</f>
        <v/>
      </c>
      <c r="J54" s="14" t="str">
        <f>IFERROR(__xludf.DUMMYFUNCTION("QUERY(TradeLog, ""SELECT S WHERE A = '"" &amp; A54 &amp; ""' ORDER BY B DESC LIMIT 1"")  "),"")</f>
        <v/>
      </c>
      <c r="K54" s="117">
        <f t="shared" si="2"/>
        <v>3.949</v>
      </c>
      <c r="L54" s="117">
        <f>IFERROR(__xludf.DUMMYFUNCTION("IFNA(QUERY(OptionsPositions, ""SELECT SUM(P) WHERE A = '"" &amp; A54 &amp; ""' LABEL SUM(P) ''""), 0)"),0.0)</f>
        <v>0</v>
      </c>
      <c r="M54" s="118">
        <f>IFERROR(__xludf.DUMMYFUNCTION("IFNA(ROUND(QUERY(OptionsPositions, ""SELECT AVG(Q) WHERE A = '"" &amp; A54 &amp; ""' LABEL AVG(Q) ''""), 2), 0)"),0.0)</f>
        <v>0</v>
      </c>
      <c r="N54" s="117">
        <f>IFERROR(__xludf.DUMMYFUNCTION("IFNA(QUERY(OptionsPositions, ""SELECT SUM(R) WHERE A = '"" &amp; A54 &amp; ""' LABEL SUM(R) ''""), 0)"),3.9490000000000007)</f>
        <v>3.949</v>
      </c>
      <c r="O54" s="117">
        <f>IFERROR(__xludf.DUMMYFUNCTION("IFNA(QUERY(OptionsPositions, ""SELECT AVG(S) WHERE A = '"" &amp; A54 &amp; ""' LABEL AVG(S) ''""), 0)"),20.0)</f>
        <v>20</v>
      </c>
      <c r="P54" s="118">
        <f>IFERROR(__xludf.DUMMYFUNCTION("IFNA(QUERY(OptionsPositions, ""SELECT SUM(T) WHERE A = '"" &amp; A54 &amp; ""' LABEL SUM(T) ''""), 0)"),0.0)</f>
        <v>0</v>
      </c>
      <c r="Q54" s="119">
        <f>IFERROR(__xludf.DUMMYFUNCTION("IFNA(QUERY(OptionsPositions, ""SELECT SUM(U) WHERE A = '"" &amp; A54 &amp; ""' LABEL SUM(U) ''""), 0)"),0.0)</f>
        <v>0</v>
      </c>
      <c r="R54" s="120">
        <f>IFERROR(__xludf.DUMMYFUNCTION("IFNA(QUERY(OptionsPositions, ""SELECT SUM(V) WHERE A = '"" &amp; A54 &amp; ""' LABEL SUM(V) ''""), 0)"),0.0)</f>
        <v>0</v>
      </c>
      <c r="S54" s="120">
        <f>IFERROR(__xludf.DUMMYFUNCTION("IFNA(QUERY(OptionsPositions, ""SELECT SUM(W) WHERE A = '"" &amp; A54 &amp; ""' LABEL SUM(W) ''""), 0)"),0.0)</f>
        <v>0</v>
      </c>
      <c r="T54" s="120">
        <f>IFERROR(__xludf.DUMMYFUNCTION("IFNA(QUERY(OptionsPositions, ""SELECT SUM(X) WHERE A = '"" &amp; A54 &amp; ""' LABEL SUM(X) ''""), 0)"),0.0)</f>
        <v>0</v>
      </c>
      <c r="U54" s="117" t="str">
        <f>IFERROR(__xludf.DUMMYFUNCTION("IFNA(QUERY(OptionsPositions, ""SELECT AVG(Y) WHERE A = '"" &amp; A54 &amp; ""' LABEL AVG(Y) ''""), 0)"),"")</f>
        <v/>
      </c>
      <c r="V54" s="121">
        <f>IFERROR(__xludf.DUMMYFUNCTION("IFNA(QUERY(OptionsPositions, ""SELECT SUM(Z) WHERE A = '"" &amp; A54 &amp; ""' LABEL SUM(Z) ''""), 0)"),95.92)</f>
        <v>95.92</v>
      </c>
      <c r="W54" s="117">
        <f>IFERROR(__xludf.DUMMYFUNCTION("IFNA(QUERY(OptionsPositions, ""SELECT AVG(AA) WHERE A = '"" &amp; A54 &amp; ""' LABEL AVG(AA) ''""), 0)"),50.0)</f>
        <v>50</v>
      </c>
      <c r="X54" s="122" t="str">
        <f>IFERROR(__xludf.DUMMYFUNCTION("IFNA(QUERY(OptionsPositions, ""SELECT AVG(AB) WHERE A = '"" &amp; A54 &amp; ""' LABEL AVG(AB) ''""), 0)"),"")</f>
        <v/>
      </c>
      <c r="Y54" s="123">
        <f t="shared" si="3"/>
        <v>0</v>
      </c>
      <c r="Z54" s="118">
        <f>IFERROR(__xludf.DUMMYFUNCTION("QUERY(OptionsPositions, ""SELECT SUM(L) WHERE A = '"" &amp; A54 &amp; ""' LABEL SUM(L) ''"")"),0.17)</f>
        <v>0.17</v>
      </c>
    </row>
    <row r="55" ht="22.5" customHeight="1">
      <c r="A55" s="3" t="s">
        <v>259</v>
      </c>
      <c r="B55" s="112" t="str">
        <f>IFERROR(__xludf.DUMMYFUNCTION("IF(COUNT(QUERY(OptionsPositions, ""SELECT 1 WHERE A = '"" &amp; A55  &amp; ""' AND C is not null AND E is null""))&gt;0, QUERY(OptionsPositions, ""SELECT C WHERE A = '"" &amp; A55  &amp; ""' AND E is null ORDER BY C ASC LIMIT 1""), """")"),"")</f>
        <v/>
      </c>
      <c r="C55" s="26">
        <f>IFERROR(__xludf.DUMMYFUNCTION("IF(COUNT(QUERY(OptionsPositions, ""SELECT 1 WHERE A = '"" &amp; A55  &amp; ""' AND C is not null AND E is null""))&gt;0, """", QUERY(OptionsPositions, ""SELECT E WHERE A = '"" &amp; A55  &amp; ""' ORDER BY E DESC LIMIT 1""))"),46066.0)</f>
        <v>46066</v>
      </c>
      <c r="D55" s="113" t="str">
        <f>IF(OptionInstruments[Opened] &lt;&gt; "",IF(OptionInstruments[Closed] = "", TODAY(), OptionInstruments[Closed]) - OptionInstruments[Opened], "")</f>
        <v/>
      </c>
      <c r="E55" s="113">
        <f>IFERROR(__xludf.DUMMYFUNCTION("IFNA(QUERY(OptionsPositions, ""SELECT D WHERE A = '"" &amp; A55 &amp; ""' AND E IS null ORDER BY D LIMIT 1"") - TODAY(), 0)"),0.0)</f>
        <v>0</v>
      </c>
      <c r="F55" s="114" t="str">
        <f t="shared" si="1"/>
        <v>Closed</v>
      </c>
      <c r="G55" s="115" t="str">
        <f>IFERROR(__xludf.DUMMYFUNCTION("QUERY(TradeLog, ""SELECT G WHERE A = '"" &amp; A55 &amp; ""' ORDER BY G DESC LIMIT 1"")"),"Speculative")</f>
        <v>Speculative</v>
      </c>
      <c r="H55" s="116" t="str">
        <f>IFERROR(__xludf.DUMMYFUNCTION("IFNA(QUERY(TradeLog, ""SELECT C WHERE A = '"" &amp; A55 &amp; ""' ORDER BY B DESC LIMIT 1""), """")"),"Long Call")</f>
        <v>Long Call</v>
      </c>
      <c r="I55" s="14" t="str">
        <f>IFERROR(__xludf.DUMMYFUNCTION("TEXTJOIN("", "", TRUE,IFNA(QUERY(OptionsPositions, ""SELECT H WHERE A = '"" &amp; A55  &amp; ""' AND C is not null AND E is null ORDER BY H""), """"))"),"")</f>
        <v/>
      </c>
      <c r="J55" s="14" t="str">
        <f>IFERROR(__xludf.DUMMYFUNCTION("QUERY(TradeLog, ""SELECT S WHERE A = '"" &amp; A55 &amp; ""' ORDER BY B DESC LIMIT 1"")  "),"Break below 82.5")</f>
        <v>Break below 82.5</v>
      </c>
      <c r="K55" s="117">
        <f t="shared" si="2"/>
        <v>204.951</v>
      </c>
      <c r="L55" s="117">
        <f>IFERROR(__xludf.DUMMYFUNCTION("IFNA(QUERY(OptionsPositions, ""SELECT SUM(P) WHERE A = '"" &amp; A55 &amp; ""' LABEL SUM(P) ''""), 0)"),0.0)</f>
        <v>0</v>
      </c>
      <c r="M55" s="118">
        <f>IFERROR(__xludf.DUMMYFUNCTION("IFNA(ROUND(QUERY(OptionsPositions, ""SELECT AVG(Q) WHERE A = '"" &amp; A55 &amp; ""' LABEL AVG(Q) ''""), 2), 0)"),0.0)</f>
        <v>0</v>
      </c>
      <c r="N55" s="117">
        <f>IFERROR(__xludf.DUMMYFUNCTION("IFNA(QUERY(OptionsPositions, ""SELECT SUM(R) WHERE A = '"" &amp; A55 &amp; ""' LABEL SUM(R) ''""), 0)"),204.951)</f>
        <v>204.951</v>
      </c>
      <c r="O55" s="117">
        <f>IFERROR(__xludf.DUMMYFUNCTION("IFNA(QUERY(OptionsPositions, ""SELECT AVG(S) WHERE A = '"" &amp; A55 &amp; ""' LABEL AVG(S) ''""), 0)"),850.0)</f>
        <v>850</v>
      </c>
      <c r="P55" s="118">
        <f>IFERROR(__xludf.DUMMYFUNCTION("IFNA(QUERY(OptionsPositions, ""SELECT SUM(T) WHERE A = '"" &amp; A55 &amp; ""' LABEL SUM(T) ''""), 0)"),0.0)</f>
        <v>0</v>
      </c>
      <c r="Q55" s="119">
        <f>IFERROR(__xludf.DUMMYFUNCTION("IFNA(QUERY(OptionsPositions, ""SELECT SUM(U) WHERE A = '"" &amp; A55 &amp; ""' LABEL SUM(U) ''""), 0)"),0.0)</f>
        <v>0</v>
      </c>
      <c r="R55" s="120">
        <f>IFERROR(__xludf.DUMMYFUNCTION("IFNA(QUERY(OptionsPositions, ""SELECT SUM(V) WHERE A = '"" &amp; A55 &amp; ""' LABEL SUM(V) ''""), 0)"),0.0)</f>
        <v>0</v>
      </c>
      <c r="S55" s="120">
        <f>IFERROR(__xludf.DUMMYFUNCTION("IFNA(QUERY(OptionsPositions, ""SELECT SUM(W) WHERE A = '"" &amp; A55 &amp; ""' LABEL SUM(W) ''""), 0)"),0.0)</f>
        <v>0</v>
      </c>
      <c r="T55" s="120">
        <f>IFERROR(__xludf.DUMMYFUNCTION("IFNA(QUERY(OptionsPositions, ""SELECT SUM(X) WHERE A = '"" &amp; A55 &amp; ""' LABEL SUM(X) ''""), 0)"),0.0)</f>
        <v>0</v>
      </c>
      <c r="U55" s="117" t="str">
        <f>IFERROR(__xludf.DUMMYFUNCTION("IFNA(QUERY(OptionsPositions, ""SELECT AVG(Y) WHERE A = '"" &amp; A55 &amp; ""' LABEL AVG(Y) ''""), 0)"),"")</f>
        <v/>
      </c>
      <c r="V55" s="121">
        <f>IFERROR(__xludf.DUMMYFUNCTION("IFNA(QUERY(OptionsPositions, ""SELECT SUM(Z) WHERE A = '"" &amp; A55 &amp; ""' LABEL SUM(Z) ''""), 0)"),231.5)</f>
        <v>231.5</v>
      </c>
      <c r="W55" s="117">
        <f>IFERROR(__xludf.DUMMYFUNCTION("IFNA(QUERY(OptionsPositions, ""SELECT AVG(AA) WHERE A = '"" &amp; A55 &amp; ""' LABEL AVG(AA) ''""), 0)"),69.56521739130434)</f>
        <v>69.56521739</v>
      </c>
      <c r="X55" s="122" t="str">
        <f>IFERROR(__xludf.DUMMYFUNCTION("IFNA(QUERY(OptionsPositions, ""SELECT AVG(AB) WHERE A = '"" &amp; A55 &amp; ""' LABEL AVG(AB) ''""), 0)"),"")</f>
        <v/>
      </c>
      <c r="Y55" s="123">
        <f t="shared" si="3"/>
        <v>0</v>
      </c>
      <c r="Z55" s="118">
        <f>IFERROR(__xludf.DUMMYFUNCTION("QUERY(OptionsPositions, ""SELECT SUM(L) WHERE A = '"" &amp; A55 &amp; ""' LABEL SUM(L) ''"")"),2.6)</f>
        <v>2.6</v>
      </c>
    </row>
    <row r="56" ht="22.5" customHeight="1">
      <c r="A56" s="3" t="s">
        <v>286</v>
      </c>
      <c r="B56" s="112">
        <f>IFERROR(__xludf.DUMMYFUNCTION("IF(COUNT(QUERY(OptionsPositions, ""SELECT 1 WHERE A = '"" &amp; A56  &amp; ""' AND C is not null AND E is null""))&gt;0, QUERY(OptionsPositions, ""SELECT C WHERE A = '"" &amp; A56  &amp; ""' AND E is null ORDER BY C ASC LIMIT 1""), """")"),46059.0)</f>
        <v>46059</v>
      </c>
      <c r="C56" s="26" t="str">
        <f>IFERROR(__xludf.DUMMYFUNCTION("IF(COUNT(QUERY(OptionsPositions, ""SELECT 1 WHERE A = '"" &amp; A56  &amp; ""' AND C is not null AND E is null""))&gt;0, """", QUERY(OptionsPositions, ""SELECT E WHERE A = '"" &amp; A56  &amp; ""' ORDER BY E DESC LIMIT 1""))"),"")</f>
        <v/>
      </c>
      <c r="D56" s="113">
        <f>IF(OptionInstruments[Opened] &lt;&gt; "",IF(OptionInstruments[Closed] = "", TODAY(), OptionInstruments[Closed]) - OptionInstruments[Opened], "")</f>
        <v>41</v>
      </c>
      <c r="E56" s="113">
        <f>IFERROR(__xludf.DUMMYFUNCTION("IFNA(QUERY(OptionsPositions, ""SELECT D WHERE A = '"" &amp; A56 &amp; ""' AND E IS null ORDER BY D LIMIT 1"") - TODAY(), 0)"),1.0)</f>
        <v>1</v>
      </c>
      <c r="F56" s="114" t="str">
        <f t="shared" si="1"/>
        <v>Open</v>
      </c>
      <c r="G56" s="115" t="str">
        <f>IFERROR(__xludf.DUMMYFUNCTION("QUERY(TradeLog, ""SELECT G WHERE A = '"" &amp; A56 &amp; ""' ORDER BY G DESC LIMIT 1"")"),"Speculative")</f>
        <v>Speculative</v>
      </c>
      <c r="H56" s="116" t="str">
        <f>IFERROR(__xludf.DUMMYFUNCTION("IFNA(QUERY(TradeLog, ""SELECT C WHERE A = '"" &amp; A56 &amp; ""' ORDER BY B DESC LIMIT 1""), """")"),"Long Call")</f>
        <v>Long Call</v>
      </c>
      <c r="I56" s="14" t="str">
        <f>IFERROR(__xludf.DUMMYFUNCTION("TEXTJOIN("", "", TRUE,IFNA(QUERY(OptionsPositions, ""SELECT H WHERE A = '"" &amp; A56  &amp; ""' AND C is not null AND E is null ORDER BY H""), """"))"),"27, 31")</f>
        <v>27, 31</v>
      </c>
      <c r="J56" s="14" t="str">
        <f>IFERROR(__xludf.DUMMYFUNCTION("QUERY(TradeLog, ""SELECT S WHERE A = '"" &amp; A56 &amp; ""' ORDER BY B DESC LIMIT 1"")  "),"")</f>
        <v/>
      </c>
      <c r="K56" s="117">
        <f t="shared" si="2"/>
        <v>3.394</v>
      </c>
      <c r="L56" s="117">
        <f>IFERROR(__xludf.DUMMYFUNCTION("IFNA(QUERY(OptionsPositions, ""SELECT SUM(P) WHERE A = '"" &amp; A56 &amp; ""' LABEL SUM(P) ''""), 0)"),-66.557)</f>
        <v>-66.557</v>
      </c>
      <c r="M56" s="118">
        <f>IFERROR(__xludf.DUMMYFUNCTION("IFNA(ROUND(QUERY(OptionsPositions, ""SELECT AVG(Q) WHERE A = '"" &amp; A56 &amp; ""' LABEL AVG(Q) ''""), 2), 0)"),-62.5)</f>
        <v>-62.5</v>
      </c>
      <c r="N56" s="117">
        <f>IFERROR(__xludf.DUMMYFUNCTION("IFNA(QUERY(OptionsPositions, ""SELECT SUM(R) WHERE A = '"" &amp; A56 &amp; ""' LABEL SUM(R) ''""), 0)"),69.951)</f>
        <v>69.951</v>
      </c>
      <c r="O56" s="117">
        <f>IFERROR(__xludf.DUMMYFUNCTION("IFNA(QUERY(OptionsPositions, ""SELECT AVG(S) WHERE A = '"" &amp; A56 &amp; ""' LABEL AVG(S) ''""), 0)"),46.666666666666664)</f>
        <v>46.66666667</v>
      </c>
      <c r="P56" s="118">
        <f>IFERROR(__xludf.DUMMYFUNCTION("IFNA(QUERY(OptionsPositions, ""SELECT SUM(T) WHERE A = '"" &amp; A56 &amp; ""' LABEL SUM(T) ''""), 0)"),0.37)</f>
        <v>0.37</v>
      </c>
      <c r="Q56" s="119">
        <f>IFERROR(__xludf.DUMMYFUNCTION("IFNA(QUERY(OptionsPositions, ""SELECT SUM(U) WHERE A = '"" &amp; A56 &amp; ""' LABEL SUM(U) ''""), 0)"),-0.18060257000000002)</f>
        <v>-0.18060257</v>
      </c>
      <c r="R56" s="120">
        <f>IFERROR(__xludf.DUMMYFUNCTION("IFNA(QUERY(OptionsPositions, ""SELECT SUM(V) WHERE A = '"" &amp; A56 &amp; ""' LABEL SUM(V) ''""), 0)"),-0.02886442)</f>
        <v>-0.02886442</v>
      </c>
      <c r="S56" s="120">
        <f>IFERROR(__xludf.DUMMYFUNCTION("IFNA(QUERY(OptionsPositions, ""SELECT SUM(W) WHERE A = '"" &amp; A56 &amp; ""' LABEL SUM(W) ''""), 0)"),0.32338796000000003)</f>
        <v>0.32338796</v>
      </c>
      <c r="T56" s="120">
        <f>IFERROR(__xludf.DUMMYFUNCTION("IFNA(QUERY(OptionsPositions, ""SELECT SUM(X) WHERE A = '"" &amp; A56 &amp; ""' LABEL SUM(X) ''""), 0)"),0.03322925)</f>
        <v>0.03322925</v>
      </c>
      <c r="U56" s="117">
        <f>IFERROR(__xludf.DUMMYFUNCTION("IFNA(QUERY(OptionsPositions, ""SELECT AVG(Y) WHERE A = '"" &amp; A56 &amp; ""' LABEL AVG(Y) ''""), 0)"),28.5)</f>
        <v>28.5</v>
      </c>
      <c r="V56" s="121">
        <f>IFERROR(__xludf.DUMMYFUNCTION("IFNA(QUERY(OptionsPositions, ""SELECT SUM(Z) WHERE A = '"" &amp; A56 &amp; ""' LABEL SUM(Z) ''""), 0)"),205.97)</f>
        <v>205.97</v>
      </c>
      <c r="W56" s="117">
        <f>IFERROR(__xludf.DUMMYFUNCTION("IFNA(QUERY(OptionsPositions, ""SELECT AVG(AA) WHERE A = '"" &amp; A56 &amp; ""' LABEL AVG(AA) ''""), 0)"),-71449.27334570192)</f>
        <v>-71449.27335</v>
      </c>
      <c r="X56" s="122">
        <f>IFERROR(__xludf.DUMMYFUNCTION("IFNA(QUERY(OptionsPositions, ""SELECT AVG(AB) WHERE A = '"" &amp; A56 &amp; ""' LABEL AVG(AB) ''""), 0)"),1718.4056056937413)</f>
        <v>1718.405606</v>
      </c>
      <c r="Y56" s="123">
        <f t="shared" si="3"/>
        <v>-32.31392921</v>
      </c>
      <c r="Z56" s="118">
        <f>IFERROR(__xludf.DUMMYFUNCTION("QUERY(OptionsPositions, ""SELECT SUM(L) WHERE A = '"" &amp; A56 &amp; ""' LABEL SUM(L) ''"")"),1.9600000000000002)</f>
        <v>1.96</v>
      </c>
    </row>
    <row r="57" ht="22.5" customHeight="1">
      <c r="A57" s="3" t="s">
        <v>386</v>
      </c>
      <c r="B57" s="112">
        <f>IFERROR(__xludf.DUMMYFUNCTION("IF(COUNT(QUERY(OptionsPositions, ""SELECT 1 WHERE A = '"" &amp; A57  &amp; ""' AND C is not null AND E is null""))&gt;0, QUERY(OptionsPositions, ""SELECT C WHERE A = '"" &amp; A57  &amp; ""' AND E is null ORDER BY C ASC LIMIT 1""), """")"),46083.0)</f>
        <v>46083</v>
      </c>
      <c r="C57" s="26" t="str">
        <f>IFERROR(__xludf.DUMMYFUNCTION("IF(COUNT(QUERY(OptionsPositions, ""SELECT 1 WHERE A = '"" &amp; A57  &amp; ""' AND C is not null AND E is null""))&gt;0, """", QUERY(OptionsPositions, ""SELECT E WHERE A = '"" &amp; A57  &amp; ""' ORDER BY E DESC LIMIT 1""))"),"")</f>
        <v/>
      </c>
      <c r="D57" s="113">
        <f>IF(OptionInstruments[Opened] &lt;&gt; "",IF(OptionInstruments[Closed] = "", TODAY(), OptionInstruments[Closed]) - OptionInstruments[Opened], "")</f>
        <v>17</v>
      </c>
      <c r="E57" s="113">
        <f>IFERROR(__xludf.DUMMYFUNCTION("IFNA(QUERY(OptionsPositions, ""SELECT D WHERE A = '"" &amp; A57 &amp; ""' AND E IS null ORDER BY D LIMIT 1"") - TODAY(), 0)"),1.0)</f>
        <v>1</v>
      </c>
      <c r="F57" s="114" t="str">
        <f t="shared" si="1"/>
        <v>Open</v>
      </c>
      <c r="G57" s="115" t="str">
        <f>IFERROR(__xludf.DUMMYFUNCTION("QUERY(TradeLog, ""SELECT G WHERE A = '"" &amp; A57 &amp; ""' ORDER BY G DESC LIMIT 1"")"),"Speculative")</f>
        <v>Speculative</v>
      </c>
      <c r="H57" s="116" t="str">
        <f>IFERROR(__xludf.DUMMYFUNCTION("IFNA(QUERY(TradeLog, ""SELECT C WHERE A = '"" &amp; A57 &amp; ""' ORDER BY B DESC LIMIT 1""), """")"),"Long Call")</f>
        <v>Long Call</v>
      </c>
      <c r="I57" s="14" t="str">
        <f>IFERROR(__xludf.DUMMYFUNCTION("TEXTJOIN("", "", TRUE,IFNA(QUERY(OptionsPositions, ""SELECT H WHERE A = '"" &amp; A57  &amp; ""' AND C is not null AND E is null ORDER BY H""), """"))"),"80")</f>
        <v>80</v>
      </c>
      <c r="J57" s="14" t="str">
        <f>IFERROR(__xludf.DUMMYFUNCTION("QUERY(TradeLog, ""SELECT S WHERE A = '"" &amp; A57 &amp; ""' ORDER BY B DESC LIMIT 1"")  "),"")</f>
        <v/>
      </c>
      <c r="K57" s="117">
        <f t="shared" si="2"/>
        <v>-7.048</v>
      </c>
      <c r="L57" s="117">
        <f>IFERROR(__xludf.DUMMYFUNCTION("IFNA(QUERY(OptionsPositions, ""SELECT SUM(P) WHERE A = '"" &amp; A57 &amp; ""' LABEL SUM(P) ''""), 0)"),-7.047999999999998)</f>
        <v>-7.048</v>
      </c>
      <c r="M57" s="118">
        <f>IFERROR(__xludf.DUMMYFUNCTION("IFNA(ROUND(QUERY(OptionsPositions, ""SELECT AVG(Q) WHERE A = '"" &amp; A57 &amp; ""' LABEL AVG(Q) ''""), 2), 0)"),-20.0)</f>
        <v>-20</v>
      </c>
      <c r="N57" s="117">
        <f>IFERROR(__xludf.DUMMYFUNCTION("IFNA(QUERY(OptionsPositions, ""SELECT SUM(R) WHERE A = '"" &amp; A57 &amp; ""' LABEL SUM(R) ''""), 0)"),0.0)</f>
        <v>0</v>
      </c>
      <c r="O57" s="117">
        <f>IFERROR(__xludf.DUMMYFUNCTION("IFNA(QUERY(OptionsPositions, ""SELECT AVG(S) WHERE A = '"" &amp; A57 &amp; ""' LABEL AVG(S) ''""), 0)"),0.0)</f>
        <v>0</v>
      </c>
      <c r="P57" s="118">
        <f>IFERROR(__xludf.DUMMYFUNCTION("IFNA(QUERY(OptionsPositions, ""SELECT SUM(T) WHERE A = '"" &amp; A57 &amp; ""' LABEL SUM(T) ''""), 0)"),0.28)</f>
        <v>0.28</v>
      </c>
      <c r="Q57" s="119">
        <f>IFERROR(__xludf.DUMMYFUNCTION("IFNA(QUERY(OptionsPositions, ""SELECT SUM(U) WHERE A = '"" &amp; A57 &amp; ""' LABEL SUM(U) ''""), 0)"),0.10187668)</f>
        <v>0.10187668</v>
      </c>
      <c r="R57" s="120">
        <f>IFERROR(__xludf.DUMMYFUNCTION("IFNA(QUERY(OptionsPositions, ""SELECT SUM(V) WHERE A = '"" &amp; A57 &amp; ""' LABEL SUM(V) ''""), 0)"),-0.0468774)</f>
        <v>-0.0468774</v>
      </c>
      <c r="S57" s="120">
        <f>IFERROR(__xludf.DUMMYFUNCTION("IFNA(QUERY(OptionsPositions, ""SELECT SUM(W) WHERE A = '"" &amp; A57 &amp; ""' LABEL SUM(W) ''""), 0)"),0.03440642)</f>
        <v>0.03440642</v>
      </c>
      <c r="T57" s="120">
        <f>IFERROR(__xludf.DUMMYFUNCTION("IFNA(QUERY(OptionsPositions, ""SELECT SUM(X) WHERE A = '"" &amp; A57 &amp; ""' LABEL SUM(X) ''""), 0)"),0.02205004)</f>
        <v>0.02205004</v>
      </c>
      <c r="U57" s="117">
        <f>IFERROR(__xludf.DUMMYFUNCTION("IFNA(QUERY(OptionsPositions, ""SELECT AVG(Y) WHERE A = '"" &amp; A57 &amp; ""' LABEL AVG(Y) ''""), 0)"),43.0)</f>
        <v>43</v>
      </c>
      <c r="V57" s="121">
        <f>IFERROR(__xludf.DUMMYFUNCTION("IFNA(QUERY(OptionsPositions, ""SELECT SUM(Z) WHERE A = '"" &amp; A57 &amp; ""' LABEL SUM(Z) ''""), 0)"),62.31)</f>
        <v>62.31</v>
      </c>
      <c r="W57" s="117">
        <f>IFERROR(__xludf.DUMMYFUNCTION("IFNA(QUERY(OptionsPositions, ""SELECT AVG(AA) WHERE A = '"" &amp; A57 &amp; ""' LABEL AVG(AA) ''""), 0)"),-256016.66666666666)</f>
        <v>-256016.6667</v>
      </c>
      <c r="X57" s="122">
        <f>IFERROR(__xludf.DUMMYFUNCTION("IFNA(QUERY(OptionsPositions, ""SELECT AVG(AB) WHERE A = '"" &amp; A57 &amp; ""' LABEL AVG(AB) ''""), 0)"),12800.833333333332)</f>
        <v>12800.83333</v>
      </c>
      <c r="Y57" s="123">
        <f t="shared" si="3"/>
        <v>-11.31118601</v>
      </c>
      <c r="Z57" s="118">
        <f>IFERROR(__xludf.DUMMYFUNCTION("QUERY(OptionsPositions, ""SELECT SUM(L) WHERE A = '"" &amp; A57 &amp; ""' LABEL SUM(L) ''"")"),0.28)</f>
        <v>0.28</v>
      </c>
    </row>
    <row r="58" ht="22.5" customHeight="1">
      <c r="A58" s="3" t="s">
        <v>183</v>
      </c>
      <c r="B58" s="112">
        <f>IFERROR(__xludf.DUMMYFUNCTION("IF(COUNT(QUERY(OptionsPositions, ""SELECT 1 WHERE A = '"" &amp; A58  &amp; ""' AND C is not null AND E is null""))&gt;0, QUERY(OptionsPositions, ""SELECT C WHERE A = '"" &amp; A58  &amp; ""' AND E is null ORDER BY C ASC LIMIT 1""), """")"),46057.0)</f>
        <v>46057</v>
      </c>
      <c r="C58" s="26" t="str">
        <f>IFERROR(__xludf.DUMMYFUNCTION("IF(COUNT(QUERY(OptionsPositions, ""SELECT 1 WHERE A = '"" &amp; A58  &amp; ""' AND C is not null AND E is null""))&gt;0, """", QUERY(OptionsPositions, ""SELECT E WHERE A = '"" &amp; A58  &amp; ""' ORDER BY E DESC LIMIT 1""))"),"")</f>
        <v/>
      </c>
      <c r="D58" s="113">
        <f>IF(OptionInstruments[Opened] &lt;&gt; "",IF(OptionInstruments[Closed] = "", TODAY(), OptionInstruments[Closed]) - OptionInstruments[Opened], "")</f>
        <v>43</v>
      </c>
      <c r="E58" s="113">
        <f>IFERROR(__xludf.DUMMYFUNCTION("IFNA(QUERY(OptionsPositions, ""SELECT D WHERE A = '"" &amp; A58 &amp; ""' AND E IS null ORDER BY D LIMIT 1"") - TODAY(), 0)"),1.0)</f>
        <v>1</v>
      </c>
      <c r="F58" s="114" t="str">
        <f t="shared" si="1"/>
        <v>Open</v>
      </c>
      <c r="G58" s="115" t="str">
        <f>IFERROR(__xludf.DUMMYFUNCTION("QUERY(TradeLog, ""SELECT G WHERE A = '"" &amp; A58 &amp; ""' ORDER BY G DESC LIMIT 1"")"),"Core")</f>
        <v>Core</v>
      </c>
      <c r="H58" s="116" t="str">
        <f>IFERROR(__xludf.DUMMYFUNCTION("IFNA(QUERY(TradeLog, ""SELECT C WHERE A = '"" &amp; A58 &amp; ""' ORDER BY B DESC LIMIT 1""), """")"),"Syntetic Long")</f>
        <v>Syntetic Long</v>
      </c>
      <c r="I58" s="14" t="str">
        <f>IFERROR(__xludf.DUMMYFUNCTION("TEXTJOIN("", "", TRUE,IFNA(QUERY(OptionsPositions, ""SELECT H WHERE A = '"" &amp; A58  &amp; ""' AND C is not null AND E is null ORDER BY H""), """"))"),"42, 57.5")</f>
        <v>42, 57.5</v>
      </c>
      <c r="J58" s="14" t="str">
        <f>IFERROR(__xludf.DUMMYFUNCTION("QUERY(TradeLog, ""SELECT S WHERE A = '"" &amp; A58 &amp; ""' ORDER BY B DESC LIMIT 1"")  "),"")</f>
        <v/>
      </c>
      <c r="K58" s="117">
        <f t="shared" si="2"/>
        <v>-21.264</v>
      </c>
      <c r="L58" s="117">
        <f>IFERROR(__xludf.DUMMYFUNCTION("IFNA(QUERY(OptionsPositions, ""SELECT SUM(P) WHERE A = '"" &amp; A58 &amp; ""' LABEL SUM(P) ''""), 0)"),88.89699999999999)</f>
        <v>88.897</v>
      </c>
      <c r="M58" s="118">
        <f>IFERROR(__xludf.DUMMYFUNCTION("IFNA(ROUND(QUERY(OptionsPositions, ""SELECT AVG(Q) WHERE A = '"" &amp; A58 &amp; ""' LABEL AVG(Q) ''""), 2), 0)"),20.67)</f>
        <v>20.67</v>
      </c>
      <c r="N58" s="117">
        <f>IFERROR(__xludf.DUMMYFUNCTION("IFNA(QUERY(OptionsPositions, ""SELECT SUM(R) WHERE A = '"" &amp; A58 &amp; ""' LABEL SUM(R) ''""), 0)"),-110.16099999999999)</f>
        <v>-110.161</v>
      </c>
      <c r="O58" s="117">
        <f>IFERROR(__xludf.DUMMYFUNCTION("IFNA(QUERY(OptionsPositions, ""SELECT AVG(S) WHERE A = '"" &amp; A58 &amp; ""' LABEL AVG(S) ''""), 0)"),-5.0)</f>
        <v>-5</v>
      </c>
      <c r="P58" s="118">
        <f>IFERROR(__xludf.DUMMYFUNCTION("IFNA(QUERY(OptionsPositions, ""SELECT SUM(T) WHERE A = '"" &amp; A58 &amp; ""' LABEL SUM(T) ''""), 0)"),0.8800000000000001)</f>
        <v>0.88</v>
      </c>
      <c r="Q58" s="119">
        <f>IFERROR(__xludf.DUMMYFUNCTION("IFNA(QUERY(OptionsPositions, ""SELECT SUM(U) WHERE A = '"" &amp; A58 &amp; ""' LABEL SUM(U) ''""), 0)"),0.17698780000000003)</f>
        <v>0.1769878</v>
      </c>
      <c r="R58" s="120">
        <f>IFERROR(__xludf.DUMMYFUNCTION("IFNA(QUERY(OptionsPositions, ""SELECT SUM(V) WHERE A = '"" &amp; A58 &amp; ""' LABEL SUM(V) ''""), 0)"),0.08623841)</f>
        <v>0.08623841</v>
      </c>
      <c r="S58" s="120">
        <f>IFERROR(__xludf.DUMMYFUNCTION("IFNA(QUERY(OptionsPositions, ""SELECT SUM(W) WHERE A = '"" &amp; A58 &amp; ""' LABEL SUM(W) ''""), 0)"),0.06143137)</f>
        <v>0.06143137</v>
      </c>
      <c r="T58" s="120">
        <f>IFERROR(__xludf.DUMMYFUNCTION("IFNA(QUERY(OptionsPositions, ""SELECT SUM(X) WHERE A = '"" &amp; A58 &amp; ""' LABEL SUM(X) ''""), 0)"),0.03660573)</f>
        <v>0.03660573</v>
      </c>
      <c r="U58" s="117">
        <f>IFERROR(__xludf.DUMMYFUNCTION("IFNA(QUERY(OptionsPositions, ""SELECT AVG(Y) WHERE A = '"" &amp; A58 &amp; ""' LABEL AVG(Y) ''""), 0)"),69.0)</f>
        <v>69</v>
      </c>
      <c r="V58" s="121">
        <f>IFERROR(__xludf.DUMMYFUNCTION("IFNA(QUERY(OptionsPositions, ""SELECT SUM(Z) WHERE A = '"" &amp; A58 &amp; ""' LABEL SUM(Z) ''""), 0)"),1529.7)</f>
        <v>1529.7</v>
      </c>
      <c r="W58" s="117">
        <f>IFERROR(__xludf.DUMMYFUNCTION("IFNA(QUERY(OptionsPositions, ""SELECT AVG(AA) WHERE A = '"" &amp; A58 &amp; ""' LABEL AVG(AA) ''""), 0)"),-34842.68851303735)</f>
        <v>-34842.68851</v>
      </c>
      <c r="X58" s="122">
        <f>IFERROR(__xludf.DUMMYFUNCTION("IFNA(QUERY(OptionsPositions, ""SELECT AVG(AB) WHERE A = '"" &amp; A58 &amp; ""' LABEL AVG(AB) ''""), 0)"),-181.50176969159682)</f>
        <v>-181.5017697</v>
      </c>
      <c r="Y58" s="123">
        <f t="shared" si="3"/>
        <v>5.811400928</v>
      </c>
      <c r="Z58" s="118">
        <f>IFERROR(__xludf.DUMMYFUNCTION("QUERY(OptionsPositions, ""SELECT SUM(L) WHERE A = '"" &amp; A58 &amp; ""' LABEL SUM(L) ''"")"),4.289999999999999)</f>
        <v>4.29</v>
      </c>
    </row>
    <row r="59" ht="22.5" customHeight="1">
      <c r="A59" s="3" t="s">
        <v>314</v>
      </c>
      <c r="B59" s="112" t="str">
        <f>IFERROR(__xludf.DUMMYFUNCTION("IF(COUNT(QUERY(OptionsPositions, ""SELECT 1 WHERE A = '"" &amp; A59  &amp; ""' AND C is not null AND E is null""))&gt;0, QUERY(OptionsPositions, ""SELECT C WHERE A = '"" &amp; A59  &amp; ""' AND E is null ORDER BY C ASC LIMIT 1""), """")"),"")</f>
        <v/>
      </c>
      <c r="C59" s="26">
        <f>IFERROR(__xludf.DUMMYFUNCTION("IF(COUNT(QUERY(OptionsPositions, ""SELECT 1 WHERE A = '"" &amp; A59  &amp; ""' AND C is not null AND E is null""))&gt;0, """", QUERY(OptionsPositions, ""SELECT E WHERE A = '"" &amp; A59  &amp; ""' ORDER BY E DESC LIMIT 1""))"),46092.0)</f>
        <v>46092</v>
      </c>
      <c r="D59" s="113" t="str">
        <f>IF(OptionInstruments[Opened] &lt;&gt; "",IF(OptionInstruments[Closed] = "", TODAY(), OptionInstruments[Closed]) - OptionInstruments[Opened], "")</f>
        <v/>
      </c>
      <c r="E59" s="113">
        <f>IFERROR(__xludf.DUMMYFUNCTION("IFNA(QUERY(OptionsPositions, ""SELECT D WHERE A = '"" &amp; A59 &amp; ""' AND E IS null ORDER BY D LIMIT 1"") - TODAY(), 0)"),0.0)</f>
        <v>0</v>
      </c>
      <c r="F59" s="114" t="str">
        <f t="shared" si="1"/>
        <v>Closed</v>
      </c>
      <c r="G59" s="115" t="str">
        <f>IFERROR(__xludf.DUMMYFUNCTION("QUERY(TradeLog, ""SELECT G WHERE A = '"" &amp; A59 &amp; ""' ORDER BY G DESC LIMIT 1"")"),"Speculative")</f>
        <v>Speculative</v>
      </c>
      <c r="H59" s="116" t="str">
        <f>IFERROR(__xludf.DUMMYFUNCTION("IFNA(QUERY(TradeLog, ""SELECT C WHERE A = '"" &amp; A59 &amp; ""' ORDER BY B DESC LIMIT 1""), """")"),"Short Put")</f>
        <v>Short Put</v>
      </c>
      <c r="I59" s="14" t="str">
        <f>IFERROR(__xludf.DUMMYFUNCTION("TEXTJOIN("", "", TRUE,IFNA(QUERY(OptionsPositions, ""SELECT H WHERE A = '"" &amp; A59  &amp; ""' AND C is not null AND E is null ORDER BY H""), """"))"),"")</f>
        <v/>
      </c>
      <c r="J59" s="14" t="str">
        <f>IFERROR(__xludf.DUMMYFUNCTION("QUERY(TradeLog, ""SELECT S WHERE A = '"" &amp; A59 &amp; ""' ORDER BY B DESC LIMIT 1"")  "),"Close below 350 the last GLB")</f>
        <v>Close below 350 the last GLB</v>
      </c>
      <c r="K59" s="117">
        <f t="shared" si="2"/>
        <v>15.148</v>
      </c>
      <c r="L59" s="117">
        <f>IFERROR(__xludf.DUMMYFUNCTION("IFNA(QUERY(OptionsPositions, ""SELECT SUM(P) WHERE A = '"" &amp; A59 &amp; ""' LABEL SUM(P) ''""), 0)"),0.0)</f>
        <v>0</v>
      </c>
      <c r="M59" s="118">
        <f>IFERROR(__xludf.DUMMYFUNCTION("IFNA(ROUND(QUERY(OptionsPositions, ""SELECT AVG(Q) WHERE A = '"" &amp; A59 &amp; ""' LABEL AVG(Q) ''""), 2), 0)"),0.0)</f>
        <v>0</v>
      </c>
      <c r="N59" s="117">
        <f>IFERROR(__xludf.DUMMYFUNCTION("IFNA(QUERY(OptionsPositions, ""SELECT SUM(R) WHERE A = '"" &amp; A59 &amp; ""' LABEL SUM(R) ''""), 0)"),15.148000000000007)</f>
        <v>15.148</v>
      </c>
      <c r="O59" s="117">
        <f>IFERROR(__xludf.DUMMYFUNCTION("IFNA(QUERY(OptionsPositions, ""SELECT AVG(S) WHERE A = '"" &amp; A59 &amp; ""' LABEL AVG(S) ''""), 0)"),0.0)</f>
        <v>0</v>
      </c>
      <c r="P59" s="118">
        <f>IFERROR(__xludf.DUMMYFUNCTION("IFNA(QUERY(OptionsPositions, ""SELECT SUM(T) WHERE A = '"" &amp; A59 &amp; ""' LABEL SUM(T) ''""), 0)"),0.0)</f>
        <v>0</v>
      </c>
      <c r="Q59" s="119">
        <f>IFERROR(__xludf.DUMMYFUNCTION("IFNA(QUERY(OptionsPositions, ""SELECT SUM(U) WHERE A = '"" &amp; A59 &amp; ""' LABEL SUM(U) ''""), 0)"),0.0)</f>
        <v>0</v>
      </c>
      <c r="R59" s="120">
        <f>IFERROR(__xludf.DUMMYFUNCTION("IFNA(QUERY(OptionsPositions, ""SELECT SUM(V) WHERE A = '"" &amp; A59 &amp; ""' LABEL SUM(V) ''""), 0)"),0.0)</f>
        <v>0</v>
      </c>
      <c r="S59" s="120">
        <f>IFERROR(__xludf.DUMMYFUNCTION("IFNA(QUERY(OptionsPositions, ""SELECT SUM(W) WHERE A = '"" &amp; A59 &amp; ""' LABEL SUM(W) ''""), 0)"),0.0)</f>
        <v>0</v>
      </c>
      <c r="T59" s="120">
        <f>IFERROR(__xludf.DUMMYFUNCTION("IFNA(QUERY(OptionsPositions, ""SELECT SUM(X) WHERE A = '"" &amp; A59 &amp; ""' LABEL SUM(X) ''""), 0)"),0.0)</f>
        <v>0</v>
      </c>
      <c r="U59" s="117" t="str">
        <f>IFERROR(__xludf.DUMMYFUNCTION("IFNA(QUERY(OptionsPositions, ""SELECT AVG(Y) WHERE A = '"" &amp; A59 &amp; ""' LABEL AVG(Y) ''""), 0)"),"")</f>
        <v/>
      </c>
      <c r="V59" s="121">
        <f>IFERROR(__xludf.DUMMYFUNCTION("IFNA(QUERY(OptionsPositions, ""SELECT SUM(Z) WHERE A = '"" &amp; A59 &amp; ""' LABEL SUM(Z) ''""), 0)"),3716.06)</f>
        <v>3716.06</v>
      </c>
      <c r="W59" s="117">
        <f>IFERROR(__xludf.DUMMYFUNCTION("IFNA(QUERY(OptionsPositions, ""SELECT AVG(AA) WHERE A = '"" &amp; A59 &amp; ""' LABEL AVG(AA) ''""), 0)"),75.67567567567568)</f>
        <v>75.67567568</v>
      </c>
      <c r="X59" s="122" t="str">
        <f>IFERROR(__xludf.DUMMYFUNCTION("IFNA(QUERY(OptionsPositions, ""SELECT AVG(AB) WHERE A = '"" &amp; A59 &amp; ""' LABEL AVG(AB) ''""), 0)"),"")</f>
        <v/>
      </c>
      <c r="Y59" s="123">
        <f t="shared" si="3"/>
        <v>0</v>
      </c>
      <c r="Z59" s="118">
        <f>IFERROR(__xludf.DUMMYFUNCTION("QUERY(OptionsPositions, ""SELECT SUM(L) WHERE A = '"" &amp; A59 &amp; ""' LABEL SUM(L) ''"")"),5.7)</f>
        <v>5.7</v>
      </c>
    </row>
    <row r="60" ht="22.5" customHeight="1">
      <c r="A60" s="3" t="s">
        <v>264</v>
      </c>
      <c r="B60" s="112">
        <f>IFERROR(__xludf.DUMMYFUNCTION("IF(COUNT(QUERY(OptionsPositions, ""SELECT 1 WHERE A = '"" &amp; A60  &amp; ""' AND C is not null AND E is null""))&gt;0, QUERY(OptionsPositions, ""SELECT C WHERE A = '"" &amp; A60  &amp; ""' AND E is null ORDER BY C ASC LIMIT 1""), """")"),46050.0)</f>
        <v>46050</v>
      </c>
      <c r="C60" s="26" t="str">
        <f>IFERROR(__xludf.DUMMYFUNCTION("IF(COUNT(QUERY(OptionsPositions, ""SELECT 1 WHERE A = '"" &amp; A60  &amp; ""' AND C is not null AND E is null""))&gt;0, """", QUERY(OptionsPositions, ""SELECT E WHERE A = '"" &amp; A60  &amp; ""' ORDER BY E DESC LIMIT 1""))"),"")</f>
        <v/>
      </c>
      <c r="D60" s="113">
        <f>IF(OptionInstruments[Opened] &lt;&gt; "",IF(OptionInstruments[Closed] = "", TODAY(), OptionInstruments[Closed]) - OptionInstruments[Opened], "")</f>
        <v>50</v>
      </c>
      <c r="E60" s="113">
        <f>IFERROR(__xludf.DUMMYFUNCTION("IFNA(QUERY(OptionsPositions, ""SELECT D WHERE A = '"" &amp; A60 &amp; ""' AND E IS null ORDER BY D LIMIT 1"") - TODAY(), 0)"),1.0)</f>
        <v>1</v>
      </c>
      <c r="F60" s="114" t="str">
        <f t="shared" si="1"/>
        <v>Open</v>
      </c>
      <c r="G60" s="115" t="str">
        <f>IFERROR(__xludf.DUMMYFUNCTION("QUERY(TradeLog, ""SELECT G WHERE A = '"" &amp; A60 &amp; ""' ORDER BY G DESC LIMIT 1"")"),"Speculative")</f>
        <v>Speculative</v>
      </c>
      <c r="H60" s="116" t="str">
        <f>IFERROR(__xludf.DUMMYFUNCTION("IFNA(QUERY(TradeLog, ""SELECT C WHERE A = '"" &amp; A60 &amp; ""' ORDER BY B DESC LIMIT 1""), """")"),"Long Call Vertical")</f>
        <v>Long Call Vertical</v>
      </c>
      <c r="I60" s="14" t="str">
        <f>IFERROR(__xludf.DUMMYFUNCTION("TEXTJOIN("", "", TRUE,IFNA(QUERY(OptionsPositions, ""SELECT H WHERE A = '"" &amp; A60  &amp; ""' AND C is not null AND E is null ORDER BY H""), """"))"),"240, 250")</f>
        <v>240, 250</v>
      </c>
      <c r="J60" s="14" t="str">
        <f>IFERROR(__xludf.DUMMYFUNCTION("QUERY(TradeLog, ""SELECT S WHERE A = '"" &amp; A60 &amp; ""' ORDER BY B DESC LIMIT 1"")  "),"")</f>
        <v/>
      </c>
      <c r="K60" s="117">
        <f t="shared" si="2"/>
        <v>75.599</v>
      </c>
      <c r="L60" s="117">
        <f>IFERROR(__xludf.DUMMYFUNCTION("IFNA(QUERY(OptionsPositions, ""SELECT SUM(P) WHERE A = '"" &amp; A60 &amp; ""' LABEL SUM(P) ''""), 0)"),75.59899999999993)</f>
        <v>75.599</v>
      </c>
      <c r="M60" s="118">
        <f>IFERROR(__xludf.DUMMYFUNCTION("IFNA(ROUND(QUERY(OptionsPositions, ""SELECT AVG(Q) WHERE A = '"" &amp; A60 &amp; ""' LABEL AVG(Q) ''""), 2), 0)"),-3.5)</f>
        <v>-3.5</v>
      </c>
      <c r="N60" s="117">
        <f>IFERROR(__xludf.DUMMYFUNCTION("IFNA(QUERY(OptionsPositions, ""SELECT SUM(R) WHERE A = '"" &amp; A60 &amp; ""' LABEL SUM(R) ''""), 0)"),0.0)</f>
        <v>0</v>
      </c>
      <c r="O60" s="117">
        <f>IFERROR(__xludf.DUMMYFUNCTION("IFNA(QUERY(OptionsPositions, ""SELECT AVG(S) WHERE A = '"" &amp; A60 &amp; ""' LABEL AVG(S) ''""), 0)"),0.0)</f>
        <v>0</v>
      </c>
      <c r="P60" s="118">
        <f>IFERROR(__xludf.DUMMYFUNCTION("IFNA(QUERY(OptionsPositions, ""SELECT SUM(T) WHERE A = '"" &amp; A60 &amp; ""' LABEL SUM(T) ''""), 0)"),6.3)</f>
        <v>6.3</v>
      </c>
      <c r="Q60" s="119">
        <f>IFERROR(__xludf.DUMMYFUNCTION("IFNA(QUERY(OptionsPositions, ""SELECT SUM(U) WHERE A = '"" &amp; A60 &amp; ""' LABEL SUM(U) ''""), 0)"),0.12113590999999999)</f>
        <v>0.12113591</v>
      </c>
      <c r="R60" s="120">
        <f>IFERROR(__xludf.DUMMYFUNCTION("IFNA(QUERY(OptionsPositions, ""SELECT SUM(V) WHERE A = '"" &amp; A60 &amp; ""' LABEL SUM(V) ''""), 0)"),-0.03377801)</f>
        <v>-0.03377801</v>
      </c>
      <c r="S60" s="120">
        <f>IFERROR(__xludf.DUMMYFUNCTION("IFNA(QUERY(OptionsPositions, ""SELECT SUM(W) WHERE A = '"" &amp; A60 &amp; ""' LABEL SUM(W) ''""), 0)"),0.02688294)</f>
        <v>0.02688294</v>
      </c>
      <c r="T60" s="120">
        <f>IFERROR(__xludf.DUMMYFUNCTION("IFNA(QUERY(OptionsPositions, ""SELECT SUM(X) WHERE A = '"" &amp; A60 &amp; ""' LABEL SUM(X) ''""), 0)"),0.38373316)</f>
        <v>0.38373316</v>
      </c>
      <c r="U60" s="117">
        <f>IFERROR(__xludf.DUMMYFUNCTION("IFNA(QUERY(OptionsPositions, ""SELECT AVG(Y) WHERE A = '"" &amp; A60 &amp; ""' LABEL AVG(Y) ''""), 0)"),34.5)</f>
        <v>34.5</v>
      </c>
      <c r="V60" s="121">
        <f>IFERROR(__xludf.DUMMYFUNCTION("IFNA(QUERY(OptionsPositions, ""SELECT SUM(Z) WHERE A = '"" &amp; A60 &amp; ""' LABEL SUM(Z) ''""), 0)"),1986.1100000000001)</f>
        <v>1986.11</v>
      </c>
      <c r="W60" s="117">
        <f>IFERROR(__xludf.DUMMYFUNCTION("IFNA(QUERY(OptionsPositions, ""SELECT AVG(AA) WHERE A = '"" &amp; A60 &amp; ""' LABEL AVG(AA) ''""), 0)"),-90294.11764705883)</f>
        <v>-90294.11765</v>
      </c>
      <c r="X60" s="122">
        <f>IFERROR(__xludf.DUMMYFUNCTION("IFNA(QUERY(OptionsPositions, ""SELECT AVG(AB) WHERE A = '"" &amp; A60 &amp; ""' LABEL AVG(AB) ''""), 0)"),-52.72429292037134)</f>
        <v>-52.72429292</v>
      </c>
      <c r="Y60" s="123">
        <f t="shared" si="3"/>
        <v>3.806385346</v>
      </c>
      <c r="Z60" s="118">
        <f>IFERROR(__xludf.DUMMYFUNCTION("QUERY(OptionsPositions, ""SELECT SUM(L) WHERE A = '"" &amp; A60 &amp; ""' LABEL SUM(L) ''"")"),6.3)</f>
        <v>6.3</v>
      </c>
    </row>
    <row r="61" ht="22.5" customHeight="1">
      <c r="A61" s="3" t="s">
        <v>271</v>
      </c>
      <c r="B61" s="112" t="str">
        <f>IFERROR(__xludf.DUMMYFUNCTION("IF(COUNT(QUERY(OptionsPositions, ""SELECT 1 WHERE A = '"" &amp; A61  &amp; ""' AND C is not null AND E is null""))&gt;0, QUERY(OptionsPositions, ""SELECT C WHERE A = '"" &amp; A61  &amp; ""' AND E is null ORDER BY C ASC LIMIT 1""), """")"),"")</f>
        <v/>
      </c>
      <c r="C61" s="26">
        <f>IFERROR(__xludf.DUMMYFUNCTION("IF(COUNT(QUERY(OptionsPositions, ""SELECT 1 WHERE A = '"" &amp; A61  &amp; ""' AND C is not null AND E is null""))&gt;0, """", QUERY(OptionsPositions, ""SELECT E WHERE A = '"" &amp; A61  &amp; ""' ORDER BY E DESC LIMIT 1""))"),46073.0)</f>
        <v>46073</v>
      </c>
      <c r="D61" s="113" t="str">
        <f>IF(OptionInstruments[Opened] &lt;&gt; "",IF(OptionInstruments[Closed] = "", TODAY(), OptionInstruments[Closed]) - OptionInstruments[Opened], "")</f>
        <v/>
      </c>
      <c r="E61" s="113">
        <f>IFERROR(__xludf.DUMMYFUNCTION("IFNA(QUERY(OptionsPositions, ""SELECT D WHERE A = '"" &amp; A61 &amp; ""' AND E IS null ORDER BY D LIMIT 1"") - TODAY(), 0)"),0.0)</f>
        <v>0</v>
      </c>
      <c r="F61" s="114" t="str">
        <f t="shared" si="1"/>
        <v>Closed</v>
      </c>
      <c r="G61" s="115" t="str">
        <f>IFERROR(__xludf.DUMMYFUNCTION("QUERY(TradeLog, ""SELECT G WHERE A = '"" &amp; A61 &amp; ""' ORDER BY G DESC LIMIT 1"")"),"Speculative")</f>
        <v>Speculative</v>
      </c>
      <c r="H61" s="116" t="str">
        <f>IFERROR(__xludf.DUMMYFUNCTION("IFNA(QUERY(TradeLog, ""SELECT C WHERE A = '"" &amp; A61 &amp; ""' ORDER BY B DESC LIMIT 1""), """")"),"Long Put")</f>
        <v>Long Put</v>
      </c>
      <c r="I61" s="14" t="str">
        <f>IFERROR(__xludf.DUMMYFUNCTION("TEXTJOIN("", "", TRUE,IFNA(QUERY(OptionsPositions, ""SELECT H WHERE A = '"" &amp; A61  &amp; ""' AND C is not null AND E is null ORDER BY H""), """"))"),"")</f>
        <v/>
      </c>
      <c r="J61" s="14" t="str">
        <f>IFERROR(__xludf.DUMMYFUNCTION("QUERY(TradeLog, ""SELECT S WHERE A = '"" &amp; A61 &amp; ""' ORDER BY B DESC LIMIT 1"")  "),"")</f>
        <v/>
      </c>
      <c r="K61" s="117">
        <f t="shared" si="2"/>
        <v>-27.051</v>
      </c>
      <c r="L61" s="117">
        <f>IFERROR(__xludf.DUMMYFUNCTION("IFNA(QUERY(OptionsPositions, ""SELECT SUM(P) WHERE A = '"" &amp; A61 &amp; ""' LABEL SUM(P) ''""), 0)"),0.0)</f>
        <v>0</v>
      </c>
      <c r="M61" s="118">
        <f>IFERROR(__xludf.DUMMYFUNCTION("IFNA(ROUND(QUERY(OptionsPositions, ""SELECT AVG(Q) WHERE A = '"" &amp; A61 &amp; ""' LABEL AVG(Q) ''""), 2), 0)"),0.0)</f>
        <v>0</v>
      </c>
      <c r="N61" s="117">
        <f>IFERROR(__xludf.DUMMYFUNCTION("IFNA(QUERY(OptionsPositions, ""SELECT SUM(R) WHERE A = '"" &amp; A61 &amp; ""' LABEL SUM(R) ''""), 0)"),-27.051000000000002)</f>
        <v>-27.051</v>
      </c>
      <c r="O61" s="117">
        <f>IFERROR(__xludf.DUMMYFUNCTION("IFNA(QUERY(OptionsPositions, ""SELECT AVG(S) WHERE A = '"" &amp; A61 &amp; ""' LABEL AVG(S) ''""), 0)"),-100.0)</f>
        <v>-100</v>
      </c>
      <c r="P61" s="118">
        <f>IFERROR(__xludf.DUMMYFUNCTION("IFNA(QUERY(OptionsPositions, ""SELECT SUM(T) WHERE A = '"" &amp; A61 &amp; ""' LABEL SUM(T) ''""), 0)"),0.0)</f>
        <v>0</v>
      </c>
      <c r="Q61" s="119">
        <f>IFERROR(__xludf.DUMMYFUNCTION("IFNA(QUERY(OptionsPositions, ""SELECT SUM(U) WHERE A = '"" &amp; A61 &amp; ""' LABEL SUM(U) ''""), 0)"),0.0)</f>
        <v>0</v>
      </c>
      <c r="R61" s="120">
        <f>IFERROR(__xludf.DUMMYFUNCTION("IFNA(QUERY(OptionsPositions, ""SELECT SUM(V) WHERE A = '"" &amp; A61 &amp; ""' LABEL SUM(V) ''""), 0)"),0.0)</f>
        <v>0</v>
      </c>
      <c r="S61" s="120">
        <f>IFERROR(__xludf.DUMMYFUNCTION("IFNA(QUERY(OptionsPositions, ""SELECT SUM(W) WHERE A = '"" &amp; A61 &amp; ""' LABEL SUM(W) ''""), 0)"),0.0)</f>
        <v>0</v>
      </c>
      <c r="T61" s="120">
        <f>IFERROR(__xludf.DUMMYFUNCTION("IFNA(QUERY(OptionsPositions, ""SELECT SUM(X) WHERE A = '"" &amp; A61 &amp; ""' LABEL SUM(X) ''""), 0)"),0.0)</f>
        <v>0</v>
      </c>
      <c r="U61" s="117" t="str">
        <f>IFERROR(__xludf.DUMMYFUNCTION("IFNA(QUERY(OptionsPositions, ""SELECT AVG(Y) WHERE A = '"" &amp; A61 &amp; ""' LABEL AVG(Y) ''""), 0)"),"")</f>
        <v/>
      </c>
      <c r="V61" s="121">
        <f>IFERROR(__xludf.DUMMYFUNCTION("IFNA(QUERY(OptionsPositions, ""SELECT SUM(Z) WHERE A = '"" &amp; A61 &amp; ""' LABEL SUM(Z) ''""), 0)"),17.25)</f>
        <v>17.25</v>
      </c>
      <c r="W61" s="117">
        <f>IFERROR(__xludf.DUMMYFUNCTION("IFNA(QUERY(OptionsPositions, ""SELECT AVG(AA) WHERE A = '"" &amp; A61 &amp; ""' LABEL AVG(AA) ''""), 0)"),100.0)</f>
        <v>100</v>
      </c>
      <c r="X61" s="122" t="str">
        <f>IFERROR(__xludf.DUMMYFUNCTION("IFNA(QUERY(OptionsPositions, ""SELECT AVG(AB) WHERE A = '"" &amp; A61 &amp; ""' LABEL AVG(AB) ''""), 0)"),"")</f>
        <v/>
      </c>
      <c r="Y61" s="123">
        <f t="shared" si="3"/>
        <v>0</v>
      </c>
      <c r="Z61" s="118">
        <f>IFERROR(__xludf.DUMMYFUNCTION("QUERY(OptionsPositions, ""SELECT SUM(L) WHERE A = '"" &amp; A61 &amp; ""' LABEL SUM(L) ''"")"),0.0)</f>
        <v>0</v>
      </c>
    </row>
    <row r="62" ht="22.5" customHeight="1">
      <c r="A62" s="3" t="s">
        <v>337</v>
      </c>
      <c r="B62" s="112">
        <f>IFERROR(__xludf.DUMMYFUNCTION("IF(COUNT(QUERY(OptionsPositions, ""SELECT 1 WHERE A = '"" &amp; A62  &amp; ""' AND C is not null AND E is null""))&gt;0, QUERY(OptionsPositions, ""SELECT C WHERE A = '"" &amp; A62  &amp; ""' AND E is null ORDER BY C ASC LIMIT 1""), """")"),46065.0)</f>
        <v>46065</v>
      </c>
      <c r="C62" s="26" t="str">
        <f>IFERROR(__xludf.DUMMYFUNCTION("IF(COUNT(QUERY(OptionsPositions, ""SELECT 1 WHERE A = '"" &amp; A62  &amp; ""' AND C is not null AND E is null""))&gt;0, """", QUERY(OptionsPositions, ""SELECT E WHERE A = '"" &amp; A62  &amp; ""' ORDER BY E DESC LIMIT 1""))"),"")</f>
        <v/>
      </c>
      <c r="D62" s="113">
        <f>IF(OptionInstruments[Opened] &lt;&gt; "",IF(OptionInstruments[Closed] = "", TODAY(), OptionInstruments[Closed]) - OptionInstruments[Opened], "")</f>
        <v>35</v>
      </c>
      <c r="E62" s="113">
        <f>IFERROR(__xludf.DUMMYFUNCTION("IFNA(QUERY(OptionsPositions, ""SELECT D WHERE A = '"" &amp; A62 &amp; ""' AND E IS null ORDER BY D LIMIT 1"") - TODAY(), 0)"),1.0)</f>
        <v>1</v>
      </c>
      <c r="F62" s="114" t="str">
        <f t="shared" si="1"/>
        <v>Open</v>
      </c>
      <c r="G62" s="115" t="str">
        <f>IFERROR(__xludf.DUMMYFUNCTION("QUERY(TradeLog, ""SELECT G WHERE A = '"" &amp; A62 &amp; ""' ORDER BY G DESC LIMIT 1"")"),"Speculative")</f>
        <v>Speculative</v>
      </c>
      <c r="H62" s="116" t="str">
        <f>IFERROR(__xludf.DUMMYFUNCTION("IFNA(QUERY(TradeLog, ""SELECT C WHERE A = '"" &amp; A62 &amp; ""' ORDER BY B DESC LIMIT 1""), """")"),"Long Put")</f>
        <v>Long Put</v>
      </c>
      <c r="I62" s="14" t="str">
        <f>IFERROR(__xludf.DUMMYFUNCTION("TEXTJOIN("", "", TRUE,IFNA(QUERY(OptionsPositions, ""SELECT H WHERE A = '"" &amp; A62  &amp; ""' AND C is not null AND E is null ORDER BY H""), """"))"),"60")</f>
        <v>60</v>
      </c>
      <c r="J62" s="14" t="str">
        <f>IFERROR(__xludf.DUMMYFUNCTION("QUERY(TradeLog, ""SELECT S WHERE A = '"" &amp; A62 &amp; ""' ORDER BY B DESC LIMIT 1"")  "),"Close above 74")</f>
        <v>Close above 74</v>
      </c>
      <c r="K62" s="117">
        <f t="shared" si="2"/>
        <v>-39.799</v>
      </c>
      <c r="L62" s="117">
        <f>IFERROR(__xludf.DUMMYFUNCTION("IFNA(QUERY(OptionsPositions, ""SELECT SUM(P) WHERE A = '"" &amp; A62 &amp; ""' LABEL SUM(P) ''""), 0)"),-39.799)</f>
        <v>-39.799</v>
      </c>
      <c r="M62" s="118">
        <f>IFERROR(__xludf.DUMMYFUNCTION("IFNA(ROUND(QUERY(OptionsPositions, ""SELECT AVG(Q) WHERE A = '"" &amp; A62 &amp; ""' LABEL AVG(Q) ''""), 2), 0)"),-85.0)</f>
        <v>-85</v>
      </c>
      <c r="N62" s="117">
        <f>IFERROR(__xludf.DUMMYFUNCTION("IFNA(QUERY(OptionsPositions, ""SELECT SUM(R) WHERE A = '"" &amp; A62 &amp; ""' LABEL SUM(R) ''""), 0)"),0.0)</f>
        <v>0</v>
      </c>
      <c r="O62" s="117">
        <f>IFERROR(__xludf.DUMMYFUNCTION("IFNA(QUERY(OptionsPositions, ""SELECT AVG(S) WHERE A = '"" &amp; A62 &amp; ""' LABEL AVG(S) ''""), 0)"),0.0)</f>
        <v>0</v>
      </c>
      <c r="P62" s="118">
        <f>IFERROR(__xludf.DUMMYFUNCTION("IFNA(QUERY(OptionsPositions, ""SELECT SUM(T) WHERE A = '"" &amp; A62 &amp; ""' LABEL SUM(T) ''""), 0)"),0.07)</f>
        <v>0.07</v>
      </c>
      <c r="Q62" s="119">
        <f>IFERROR(__xludf.DUMMYFUNCTION("IFNA(QUERY(OptionsPositions, ""SELECT SUM(U) WHERE A = '"" &amp; A62 &amp; ""' LABEL SUM(U) ''""), 0)"),-0.02169918)</f>
        <v>-0.02169918</v>
      </c>
      <c r="R62" s="120">
        <f>IFERROR(__xludf.DUMMYFUNCTION("IFNA(QUERY(OptionsPositions, ""SELECT SUM(V) WHERE A = '"" &amp; A62 &amp; ""' LABEL SUM(V) ''""), 0)"),-0.01765739)</f>
        <v>-0.01765739</v>
      </c>
      <c r="S62" s="120">
        <f>IFERROR(__xludf.DUMMYFUNCTION("IFNA(QUERY(OptionsPositions, ""SELECT SUM(W) WHERE A = '"" &amp; A62 &amp; ""' LABEL SUM(W) ''""), 0)"),0.00659275)</f>
        <v>0.00659275</v>
      </c>
      <c r="T62" s="120">
        <f>IFERROR(__xludf.DUMMYFUNCTION("IFNA(QUERY(OptionsPositions, ""SELECT SUM(X) WHERE A = '"" &amp; A62 &amp; ""' LABEL SUM(X) ''""), 0)"),0.00734658)</f>
        <v>0.00734658</v>
      </c>
      <c r="U62" s="117">
        <f>IFERROR(__xludf.DUMMYFUNCTION("IFNA(QUERY(OptionsPositions, ""SELECT AVG(Y) WHERE A = '"" &amp; A62 &amp; ""' LABEL AVG(Y) ''""), 0)"),61.0)</f>
        <v>61</v>
      </c>
      <c r="V62" s="121">
        <f>IFERROR(__xludf.DUMMYFUNCTION("IFNA(QUERY(OptionsPositions, ""SELECT SUM(Z) WHERE A = '"" &amp; A62 &amp; ""' LABEL SUM(Z) ''""), 0)"),39.9)</f>
        <v>39.9</v>
      </c>
      <c r="W62" s="117">
        <f>IFERROR(__xludf.DUMMYFUNCTION("IFNA(QUERY(OptionsPositions, ""SELECT AVG(AA) WHERE A = '"" &amp; A62 &amp; ""' LABEL AVG(AA) ''""), 0)"),-127958.33333333333)</f>
        <v>-127958.3333</v>
      </c>
      <c r="X62" s="122">
        <f>IFERROR(__xludf.DUMMYFUNCTION("IFNA(QUERY(OptionsPositions, ""SELECT AVG(AB) WHERE A = '"" &amp; A62 &amp; ""' LABEL AVG(AB) ''""), 0)"),1505.392156862745)</f>
        <v>1505.392157</v>
      </c>
      <c r="Y62" s="123">
        <f t="shared" si="3"/>
        <v>-99.74686717</v>
      </c>
      <c r="Z62" s="118">
        <f>IFERROR(__xludf.DUMMYFUNCTION("QUERY(OptionsPositions, ""SELECT SUM(L) WHERE A = '"" &amp; A62 &amp; ""' LABEL SUM(L) ''"")"),0.07)</f>
        <v>0.07</v>
      </c>
    </row>
    <row r="63" ht="22.5" customHeight="1">
      <c r="A63" s="3" t="s">
        <v>305</v>
      </c>
      <c r="B63" s="112" t="str">
        <f>IFERROR(__xludf.DUMMYFUNCTION("IF(COUNT(QUERY(OptionsPositions, ""SELECT 1 WHERE A = '"" &amp; A63  &amp; ""' AND C is not null AND E is null""))&gt;0, QUERY(OptionsPositions, ""SELECT C WHERE A = '"" &amp; A63  &amp; ""' AND E is null ORDER BY C ASC LIMIT 1""), """")"),"")</f>
        <v/>
      </c>
      <c r="C63" s="26">
        <f>IFERROR(__xludf.DUMMYFUNCTION("IF(COUNT(QUERY(OptionsPositions, ""SELECT 1 WHERE A = '"" &amp; A63  &amp; ""' AND C is not null AND E is null""))&gt;0, """", QUERY(OptionsPositions, ""SELECT E WHERE A = '"" &amp; A63  &amp; ""' ORDER BY E DESC LIMIT 1""))"),46090.0)</f>
        <v>46090</v>
      </c>
      <c r="D63" s="113" t="str">
        <f>IF(OptionInstruments[Opened] &lt;&gt; "",IF(OptionInstruments[Closed] = "", TODAY(), OptionInstruments[Closed]) - OptionInstruments[Opened], "")</f>
        <v/>
      </c>
      <c r="E63" s="113">
        <f>IFERROR(__xludf.DUMMYFUNCTION("IFNA(QUERY(OptionsPositions, ""SELECT D WHERE A = '"" &amp; A63 &amp; ""' AND E IS null ORDER BY D LIMIT 1"") - TODAY(), 0)"),0.0)</f>
        <v>0</v>
      </c>
      <c r="F63" s="114" t="str">
        <f t="shared" si="1"/>
        <v>Closed</v>
      </c>
      <c r="G63" s="115" t="str">
        <f>IFERROR(__xludf.DUMMYFUNCTION("QUERY(TradeLog, ""SELECT G WHERE A = '"" &amp; A63 &amp; ""' ORDER BY G DESC LIMIT 1"")"),"Speculative")</f>
        <v>Speculative</v>
      </c>
      <c r="H63" s="116" t="str">
        <f>IFERROR(__xludf.DUMMYFUNCTION("IFNA(QUERY(TradeLog, ""SELECT C WHERE A = '"" &amp; A63 &amp; ""' ORDER BY B DESC LIMIT 1""), """")"),"Long Put")</f>
        <v>Long Put</v>
      </c>
      <c r="I63" s="14" t="str">
        <f>IFERROR(__xludf.DUMMYFUNCTION("TEXTJOIN("", "", TRUE,IFNA(QUERY(OptionsPositions, ""SELECT H WHERE A = '"" &amp; A63  &amp; ""' AND C is not null AND E is null ORDER BY H""), """"))"),"")</f>
        <v/>
      </c>
      <c r="J63" s="14" t="str">
        <f>IFERROR(__xludf.DUMMYFUNCTION("QUERY(TradeLog, ""SELECT S WHERE A = '"" &amp; A63 &amp; ""' ORDER BY B DESC LIMIT 1"")  "),"45 Earnings GAP")</f>
        <v>45 Earnings GAP</v>
      </c>
      <c r="K63" s="117">
        <f t="shared" si="2"/>
        <v>86.951</v>
      </c>
      <c r="L63" s="117">
        <f>IFERROR(__xludf.DUMMYFUNCTION("IFNA(QUERY(OptionsPositions, ""SELECT SUM(P) WHERE A = '"" &amp; A63 &amp; ""' LABEL SUM(P) ''""), 0)"),0.0)</f>
        <v>0</v>
      </c>
      <c r="M63" s="118">
        <f>IFERROR(__xludf.DUMMYFUNCTION("IFNA(ROUND(QUERY(OptionsPositions, ""SELECT AVG(Q) WHERE A = '"" &amp; A63 &amp; ""' LABEL AVG(Q) ''""), 2), 0)"),0.0)</f>
        <v>0</v>
      </c>
      <c r="N63" s="117">
        <f>IFERROR(__xludf.DUMMYFUNCTION("IFNA(QUERY(OptionsPositions, ""SELECT SUM(R) WHERE A = '"" &amp; A63 &amp; ""' LABEL SUM(R) ''""), 0)"),86.95100000000001)</f>
        <v>86.951</v>
      </c>
      <c r="O63" s="117">
        <f>IFERROR(__xludf.DUMMYFUNCTION("IFNA(QUERY(OptionsPositions, ""SELECT AVG(S) WHERE A = '"" &amp; A63 &amp; ""' LABEL AVG(S) ''""), 0)"),200.0)</f>
        <v>200</v>
      </c>
      <c r="P63" s="118">
        <f>IFERROR(__xludf.DUMMYFUNCTION("IFNA(QUERY(OptionsPositions, ""SELECT SUM(T) WHERE A = '"" &amp; A63 &amp; ""' LABEL SUM(T) ''""), 0)"),0.0)</f>
        <v>0</v>
      </c>
      <c r="Q63" s="119">
        <f>IFERROR(__xludf.DUMMYFUNCTION("IFNA(QUERY(OptionsPositions, ""SELECT SUM(U) WHERE A = '"" &amp; A63 &amp; ""' LABEL SUM(U) ''""), 0)"),0.0)</f>
        <v>0</v>
      </c>
      <c r="R63" s="120">
        <f>IFERROR(__xludf.DUMMYFUNCTION("IFNA(QUERY(OptionsPositions, ""SELECT SUM(V) WHERE A = '"" &amp; A63 &amp; ""' LABEL SUM(V) ''""), 0)"),0.0)</f>
        <v>0</v>
      </c>
      <c r="S63" s="120">
        <f>IFERROR(__xludf.DUMMYFUNCTION("IFNA(QUERY(OptionsPositions, ""SELECT SUM(W) WHERE A = '"" &amp; A63 &amp; ""' LABEL SUM(W) ''""), 0)"),0.0)</f>
        <v>0</v>
      </c>
      <c r="T63" s="120">
        <f>IFERROR(__xludf.DUMMYFUNCTION("IFNA(QUERY(OptionsPositions, ""SELECT SUM(X) WHERE A = '"" &amp; A63 &amp; ""' LABEL SUM(X) ''""), 0)"),0.0)</f>
        <v>0</v>
      </c>
      <c r="U63" s="117" t="str">
        <f>IFERROR(__xludf.DUMMYFUNCTION("IFNA(QUERY(OptionsPositions, ""SELECT AVG(Y) WHERE A = '"" &amp; A63 &amp; ""' LABEL AVG(Y) ''""), 0)"),"")</f>
        <v/>
      </c>
      <c r="V63" s="121">
        <f>IFERROR(__xludf.DUMMYFUNCTION("IFNA(QUERY(OptionsPositions, ""SELECT SUM(Z) WHERE A = '"" &amp; A63 &amp; ""' LABEL SUM(Z) ''""), 0)"),174.86)</f>
        <v>174.86</v>
      </c>
      <c r="W63" s="117">
        <f>IFERROR(__xludf.DUMMYFUNCTION("IFNA(QUERY(OptionsPositions, ""SELECT AVG(AA) WHERE A = '"" &amp; A63 &amp; ""' LABEL AVG(AA) ''""), 0)"),73.80952380952381)</f>
        <v>73.80952381</v>
      </c>
      <c r="X63" s="122" t="str">
        <f>IFERROR(__xludf.DUMMYFUNCTION("IFNA(QUERY(OptionsPositions, ""SELECT AVG(AB) WHERE A = '"" &amp; A63 &amp; ""' LABEL AVG(AB) ''""), 0)"),"")</f>
        <v/>
      </c>
      <c r="Y63" s="123">
        <f t="shared" si="3"/>
        <v>0</v>
      </c>
      <c r="Z63" s="118">
        <f>IFERROR(__xludf.DUMMYFUNCTION("QUERY(OptionsPositions, ""SELECT SUM(L) WHERE A = '"" &amp; A63 &amp; ""' LABEL SUM(L) ''"")"),1.8)</f>
        <v>1.8</v>
      </c>
    </row>
    <row r="64" ht="22.5" customHeight="1">
      <c r="A64" s="3" t="s">
        <v>274</v>
      </c>
      <c r="B64" s="112" t="str">
        <f>IFERROR(__xludf.DUMMYFUNCTION("IF(COUNT(QUERY(OptionsPositions, ""SELECT 1 WHERE A = '"" &amp; A64  &amp; ""' AND C is not null AND E is null""))&gt;0, QUERY(OptionsPositions, ""SELECT C WHERE A = '"" &amp; A64  &amp; ""' AND E is null ORDER BY C ASC LIMIT 1""), """")"),"")</f>
        <v/>
      </c>
      <c r="C64" s="26">
        <f>IFERROR(__xludf.DUMMYFUNCTION("IF(COUNT(QUERY(OptionsPositions, ""SELECT 1 WHERE A = '"" &amp; A64  &amp; ""' AND C is not null AND E is null""))&gt;0, """", QUERY(OptionsPositions, ""SELECT E WHERE A = '"" &amp; A64  &amp; ""' ORDER BY E DESC LIMIT 1""))"),46073.0)</f>
        <v>46073</v>
      </c>
      <c r="D64" s="113" t="str">
        <f>IF(OptionInstruments[Opened] &lt;&gt; "",IF(OptionInstruments[Closed] = "", TODAY(), OptionInstruments[Closed]) - OptionInstruments[Opened], "")</f>
        <v/>
      </c>
      <c r="E64" s="113">
        <f>IFERROR(__xludf.DUMMYFUNCTION("IFNA(QUERY(OptionsPositions, ""SELECT D WHERE A = '"" &amp; A64 &amp; ""' AND E IS null ORDER BY D LIMIT 1"") - TODAY(), 0)"),0.0)</f>
        <v>0</v>
      </c>
      <c r="F64" s="114" t="str">
        <f t="shared" si="1"/>
        <v>Closed</v>
      </c>
      <c r="G64" s="115" t="str">
        <f>IFERROR(__xludf.DUMMYFUNCTION("QUERY(TradeLog, ""SELECT G WHERE A = '"" &amp; A64 &amp; ""' ORDER BY G DESC LIMIT 1"")"),"Speculative")</f>
        <v>Speculative</v>
      </c>
      <c r="H64" s="116" t="str">
        <f>IFERROR(__xludf.DUMMYFUNCTION("IFNA(QUERY(TradeLog, ""SELECT C WHERE A = '"" &amp; A64 &amp; ""' ORDER BY B DESC LIMIT 1""), """")"),"Long Call")</f>
        <v>Long Call</v>
      </c>
      <c r="I64" s="14" t="str">
        <f>IFERROR(__xludf.DUMMYFUNCTION("TEXTJOIN("", "", TRUE,IFNA(QUERY(OptionsPositions, ""SELECT H WHERE A = '"" &amp; A64  &amp; ""' AND C is not null AND E is null ORDER BY H""), """"))"),"")</f>
        <v/>
      </c>
      <c r="J64" s="14" t="str">
        <f>IFERROR(__xludf.DUMMYFUNCTION("QUERY(TradeLog, ""SELECT S WHERE A = '"" &amp; A64 &amp; ""' ORDER BY B DESC LIMIT 1"")  "),"")</f>
        <v/>
      </c>
      <c r="K64" s="117">
        <f t="shared" si="2"/>
        <v>-15.999</v>
      </c>
      <c r="L64" s="117">
        <f>IFERROR(__xludf.DUMMYFUNCTION("IFNA(QUERY(OptionsPositions, ""SELECT SUM(P) WHERE A = '"" &amp; A64 &amp; ""' LABEL SUM(P) ''""), 0)"),0.0)</f>
        <v>0</v>
      </c>
      <c r="M64" s="118">
        <f>IFERROR(__xludf.DUMMYFUNCTION("IFNA(ROUND(QUERY(OptionsPositions, ""SELECT AVG(Q) WHERE A = '"" &amp; A64 &amp; ""' LABEL AVG(Q) ''""), 2), 0)"),0.0)</f>
        <v>0</v>
      </c>
      <c r="N64" s="117">
        <f>IFERROR(__xludf.DUMMYFUNCTION("IFNA(QUERY(OptionsPositions, ""SELECT SUM(R) WHERE A = '"" &amp; A64 &amp; ""' LABEL SUM(R) ''""), 0)"),-15.999)</f>
        <v>-15.999</v>
      </c>
      <c r="O64" s="117">
        <f>IFERROR(__xludf.DUMMYFUNCTION("IFNA(QUERY(OptionsPositions, ""SELECT AVG(S) WHERE A = '"" &amp; A64 &amp; ""' LABEL AVG(S) ''""), 0)"),-110.00000000000001)</f>
        <v>-110</v>
      </c>
      <c r="P64" s="118">
        <f>IFERROR(__xludf.DUMMYFUNCTION("IFNA(QUERY(OptionsPositions, ""SELECT SUM(T) WHERE A = '"" &amp; A64 &amp; ""' LABEL SUM(T) ''""), 0)"),0.0)</f>
        <v>0</v>
      </c>
      <c r="Q64" s="119">
        <f>IFERROR(__xludf.DUMMYFUNCTION("IFNA(QUERY(OptionsPositions, ""SELECT SUM(U) WHERE A = '"" &amp; A64 &amp; ""' LABEL SUM(U) ''""), 0)"),0.0)</f>
        <v>0</v>
      </c>
      <c r="R64" s="120">
        <f>IFERROR(__xludf.DUMMYFUNCTION("IFNA(QUERY(OptionsPositions, ""SELECT SUM(V) WHERE A = '"" &amp; A64 &amp; ""' LABEL SUM(V) ''""), 0)"),0.0)</f>
        <v>0</v>
      </c>
      <c r="S64" s="120">
        <f>IFERROR(__xludf.DUMMYFUNCTION("IFNA(QUERY(OptionsPositions, ""SELECT SUM(W) WHERE A = '"" &amp; A64 &amp; ""' LABEL SUM(W) ''""), 0)"),0.0)</f>
        <v>0</v>
      </c>
      <c r="T64" s="120">
        <f>IFERROR(__xludf.DUMMYFUNCTION("IFNA(QUERY(OptionsPositions, ""SELECT SUM(X) WHERE A = '"" &amp; A64 &amp; ""' LABEL SUM(X) ''""), 0)"),0.0)</f>
        <v>0</v>
      </c>
      <c r="U64" s="117" t="str">
        <f>IFERROR(__xludf.DUMMYFUNCTION("IFNA(QUERY(OptionsPositions, ""SELECT AVG(Y) WHERE A = '"" &amp; A64 &amp; ""' LABEL AVG(Y) ''""), 0)"),"")</f>
        <v/>
      </c>
      <c r="V64" s="121">
        <f>IFERROR(__xludf.DUMMYFUNCTION("IFNA(QUERY(OptionsPositions, ""SELECT SUM(Z) WHERE A = '"" &amp; A64 &amp; ""' LABEL SUM(Z) ''""), 0)"),10.12)</f>
        <v>10.12</v>
      </c>
      <c r="W64" s="117">
        <f>IFERROR(__xludf.DUMMYFUNCTION("IFNA(QUERY(OptionsPositions, ""SELECT AVG(AA) WHERE A = '"" &amp; A64 &amp; ""' LABEL AVG(AA) ''""), 0)"),100.0)</f>
        <v>100</v>
      </c>
      <c r="X64" s="122" t="str">
        <f>IFERROR(__xludf.DUMMYFUNCTION("IFNA(QUERY(OptionsPositions, ""SELECT AVG(AB) WHERE A = '"" &amp; A64 &amp; ""' LABEL AVG(AB) ''""), 0)"),"")</f>
        <v/>
      </c>
      <c r="Y64" s="123">
        <f t="shared" si="3"/>
        <v>0</v>
      </c>
      <c r="Z64" s="118">
        <f>IFERROR(__xludf.DUMMYFUNCTION("QUERY(OptionsPositions, ""SELECT SUM(L) WHERE A = '"" &amp; A64 &amp; ""' LABEL SUM(L) ''"")"),0.0)</f>
        <v>0</v>
      </c>
    </row>
    <row r="65" ht="22.5" customHeight="1">
      <c r="A65" s="3" t="s">
        <v>318</v>
      </c>
      <c r="B65" s="112">
        <f>IFERROR(__xludf.DUMMYFUNCTION("IF(COUNT(QUERY(OptionsPositions, ""SELECT 1 WHERE A = '"" &amp; A65  &amp; ""' AND C is not null AND E is null""))&gt;0, QUERY(OptionsPositions, ""SELECT C WHERE A = '"" &amp; A65  &amp; ""' AND E is null ORDER BY C ASC LIMIT 1""), """")"),46085.0)</f>
        <v>46085</v>
      </c>
      <c r="C65" s="26" t="str">
        <f>IFERROR(__xludf.DUMMYFUNCTION("IF(COUNT(QUERY(OptionsPositions, ""SELECT 1 WHERE A = '"" &amp; A65  &amp; ""' AND C is not null AND E is null""))&gt;0, """", QUERY(OptionsPositions, ""SELECT E WHERE A = '"" &amp; A65  &amp; ""' ORDER BY E DESC LIMIT 1""))"),"")</f>
        <v/>
      </c>
      <c r="D65" s="113">
        <f>IF(OptionInstruments[Opened] &lt;&gt; "",IF(OptionInstruments[Closed] = "", TODAY(), OptionInstruments[Closed]) - OptionInstruments[Opened], "")</f>
        <v>15</v>
      </c>
      <c r="E65" s="113">
        <f>IFERROR(__xludf.DUMMYFUNCTION("IFNA(QUERY(OptionsPositions, ""SELECT D WHERE A = '"" &amp; A65 &amp; ""' AND E IS null ORDER BY D LIMIT 1"") - TODAY(), 0)"),29.0)</f>
        <v>29</v>
      </c>
      <c r="F65" s="114" t="str">
        <f t="shared" si="1"/>
        <v>Open</v>
      </c>
      <c r="G65" s="115" t="str">
        <f>IFERROR(__xludf.DUMMYFUNCTION("QUERY(TradeLog, ""SELECT G WHERE A = '"" &amp; A65 &amp; ""' ORDER BY G DESC LIMIT 1"")"),"Speculative")</f>
        <v>Speculative</v>
      </c>
      <c r="H65" s="116" t="str">
        <f>IFERROR(__xludf.DUMMYFUNCTION("IFNA(QUERY(TradeLog, ""SELECT C WHERE A = '"" &amp; A65 &amp; ""' ORDER BY B DESC LIMIT 1""), """")"),"Long Call")</f>
        <v>Long Call</v>
      </c>
      <c r="I65" s="14" t="str">
        <f>IFERROR(__xludf.DUMMYFUNCTION("TEXTJOIN("", "", TRUE,IFNA(QUERY(OptionsPositions, ""SELECT H WHERE A = '"" &amp; A65  &amp; ""' AND C is not null AND E is null ORDER BY H""), """"))"),"55")</f>
        <v>55</v>
      </c>
      <c r="J65" s="14" t="str">
        <f>IFERROR(__xludf.DUMMYFUNCTION("QUERY(TradeLog, ""SELECT S WHERE A = '"" &amp; A65 &amp; ""' ORDER BY B DESC LIMIT 1"")  "),"Close below 47.5")</f>
        <v>Close below 47.5</v>
      </c>
      <c r="K65" s="117">
        <f t="shared" si="2"/>
        <v>8.151</v>
      </c>
      <c r="L65" s="117">
        <f>IFERROR(__xludf.DUMMYFUNCTION("IFNA(QUERY(OptionsPositions, ""SELECT SUM(P) WHERE A = '"" &amp; A65 &amp; ""' LABEL SUM(P) ''""), 0)"),-14.049999999999999)</f>
        <v>-14.05</v>
      </c>
      <c r="M65" s="118">
        <f>IFERROR(__xludf.DUMMYFUNCTION("IFNA(ROUND(QUERY(OptionsPositions, ""SELECT AVG(Q) WHERE A = '"" &amp; A65 &amp; ""' LABEL AVG(Q) ''""), 2), 0)"),-39.0)</f>
        <v>-39</v>
      </c>
      <c r="N65" s="117">
        <f>IFERROR(__xludf.DUMMYFUNCTION("IFNA(QUERY(OptionsPositions, ""SELECT SUM(R) WHERE A = '"" &amp; A65 &amp; ""' LABEL SUM(R) ''""), 0)"),22.201)</f>
        <v>22.201</v>
      </c>
      <c r="O65" s="117">
        <f>IFERROR(__xludf.DUMMYFUNCTION("IFNA(QUERY(OptionsPositions, ""SELECT AVG(S) WHERE A = '"" &amp; A65 &amp; ""' LABEL AVG(S) ''""), 0)"),50.0)</f>
        <v>50</v>
      </c>
      <c r="P65" s="118">
        <f>IFERROR(__xludf.DUMMYFUNCTION("IFNA(QUERY(OptionsPositions, ""SELECT SUM(T) WHERE A = '"" &amp; A65 &amp; ""' LABEL SUM(T) ''""), 0)"),0.22)</f>
        <v>0.22</v>
      </c>
      <c r="Q65" s="119">
        <f>IFERROR(__xludf.DUMMYFUNCTION("IFNA(QUERY(OptionsPositions, ""SELECT SUM(U) WHERE A = '"" &amp; A65 &amp; ""' LABEL SUM(U) ''""), 0)"),0.13350187)</f>
        <v>0.13350187</v>
      </c>
      <c r="R65" s="120">
        <f>IFERROR(__xludf.DUMMYFUNCTION("IFNA(QUERY(OptionsPositions, ""SELECT SUM(V) WHERE A = '"" &amp; A65 &amp; ""' LABEL SUM(V) ''""), 0)"),-0.01167875)</f>
        <v>-0.01167875</v>
      </c>
      <c r="S65" s="120">
        <f>IFERROR(__xludf.DUMMYFUNCTION("IFNA(QUERY(OptionsPositions, ""SELECT SUM(W) WHERE A = '"" &amp; A65 &amp; ""' LABEL SUM(W) ''""), 0)"),0.06199145)</f>
        <v>0.06199145</v>
      </c>
      <c r="T65" s="120">
        <f>IFERROR(__xludf.DUMMYFUNCTION("IFNA(QUERY(OptionsPositions, ""SELECT SUM(X) WHERE A = '"" &amp; A65 &amp; ""' LABEL SUM(X) ''""), 0)"),0.03502232)</f>
        <v>0.03502232</v>
      </c>
      <c r="U65" s="117">
        <f>IFERROR(__xludf.DUMMYFUNCTION("IFNA(QUERY(OptionsPositions, ""SELECT AVG(Y) WHERE A = '"" &amp; A65 &amp; ""' LABEL AVG(Y) ''""), 0)"),23.0)</f>
        <v>23</v>
      </c>
      <c r="V65" s="121">
        <f>IFERROR(__xludf.DUMMYFUNCTION("IFNA(QUERY(OptionsPositions, ""SELECT SUM(Z) WHERE A = '"" &amp; A65 &amp; ""' LABEL SUM(Z) ''""), 0)"),71.06)</f>
        <v>71.06</v>
      </c>
      <c r="W65" s="117">
        <f>IFERROR(__xludf.DUMMYFUNCTION("IFNA(QUERY(OptionsPositions, ""SELECT AVG(AA) WHERE A = '"" &amp; A65 &amp; ""' LABEL AVG(AA) ''""), 0)"),-52340.939803439804)</f>
        <v>-52340.9398</v>
      </c>
      <c r="X65" s="122">
        <f>IFERROR(__xludf.DUMMYFUNCTION("IFNA(QUERY(OptionsPositions, ""SELECT AVG(AB) WHERE A = '"" &amp; A65 &amp; ""' LABEL AVG(AB) ''""), 0)"),2685.6060606060605)</f>
        <v>2685.606061</v>
      </c>
      <c r="Y65" s="123">
        <f t="shared" si="3"/>
        <v>-19.77202364</v>
      </c>
      <c r="Z65" s="118">
        <f>IFERROR(__xludf.DUMMYFUNCTION("QUERY(OptionsPositions, ""SELECT SUM(L) WHERE A = '"" &amp; A65 &amp; ""' LABEL SUM(L) ''"")"),0.69)</f>
        <v>0.69</v>
      </c>
    </row>
    <row r="66" ht="22.5" customHeight="1">
      <c r="A66" s="3" t="s">
        <v>328</v>
      </c>
      <c r="B66" s="112" t="str">
        <f>IFERROR(__xludf.DUMMYFUNCTION("IF(COUNT(QUERY(OptionsPositions, ""SELECT 1 WHERE A = '"" &amp; A66  &amp; ""' AND C is not null AND E is null""))&gt;0, QUERY(OptionsPositions, ""SELECT C WHERE A = '"" &amp; A66  &amp; ""' AND E is null ORDER BY C ASC LIMIT 1""), """")"),"")</f>
        <v/>
      </c>
      <c r="C66" s="26">
        <f>IFERROR(__xludf.DUMMYFUNCTION("IF(COUNT(QUERY(OptionsPositions, ""SELECT 1 WHERE A = '"" &amp; A66  &amp; ""' AND C is not null AND E is null""))&gt;0, """", QUERY(OptionsPositions, ""SELECT E WHERE A = '"" &amp; A66  &amp; ""' ORDER BY E DESC LIMIT 1""))"),46077.0)</f>
        <v>46077</v>
      </c>
      <c r="D66" s="113" t="str">
        <f>IF(OptionInstruments[Opened] &lt;&gt; "",IF(OptionInstruments[Closed] = "", TODAY(), OptionInstruments[Closed]) - OptionInstruments[Opened], "")</f>
        <v/>
      </c>
      <c r="E66" s="113">
        <f>IFERROR(__xludf.DUMMYFUNCTION("IFNA(QUERY(OptionsPositions, ""SELECT D WHERE A = '"" &amp; A66 &amp; ""' AND E IS null ORDER BY D LIMIT 1"") - TODAY(), 0)"),0.0)</f>
        <v>0</v>
      </c>
      <c r="F66" s="114" t="str">
        <f t="shared" si="1"/>
        <v>Closed</v>
      </c>
      <c r="G66" s="115" t="str">
        <f>IFERROR(__xludf.DUMMYFUNCTION("QUERY(TradeLog, ""SELECT G WHERE A = '"" &amp; A66 &amp; ""' ORDER BY G DESC LIMIT 1"")"),"Speculative")</f>
        <v>Speculative</v>
      </c>
      <c r="H66" s="116" t="str">
        <f>IFERROR(__xludf.DUMMYFUNCTION("IFNA(QUERY(TradeLog, ""SELECT C WHERE A = '"" &amp; A66 &amp; ""' ORDER BY B DESC LIMIT 1""), """")"),"Short Put")</f>
        <v>Short Put</v>
      </c>
      <c r="I66" s="14" t="str">
        <f>IFERROR(__xludf.DUMMYFUNCTION("TEXTJOIN("", "", TRUE,IFNA(QUERY(OptionsPositions, ""SELECT H WHERE A = '"" &amp; A66  &amp; ""' AND C is not null AND E is null ORDER BY H""), """"))"),"")</f>
        <v/>
      </c>
      <c r="J66" s="14" t="str">
        <f>IFERROR(__xludf.DUMMYFUNCTION("QUERY(TradeLog, ""SELECT S WHERE A = '"" &amp; A66 &amp; ""' ORDER BY B DESC LIMIT 1"")  "),"Close below 20EMA")</f>
        <v>Close below 20EMA</v>
      </c>
      <c r="K66" s="117">
        <f t="shared" si="2"/>
        <v>39.198</v>
      </c>
      <c r="L66" s="117">
        <f>IFERROR(__xludf.DUMMYFUNCTION("IFNA(QUERY(OptionsPositions, ""SELECT SUM(P) WHERE A = '"" &amp; A66 &amp; ""' LABEL SUM(P) ''""), 0)"),0.0)</f>
        <v>0</v>
      </c>
      <c r="M66" s="118">
        <f>IFERROR(__xludf.DUMMYFUNCTION("IFNA(ROUND(QUERY(OptionsPositions, ""SELECT AVG(Q) WHERE A = '"" &amp; A66 &amp; ""' LABEL AVG(Q) ''""), 2), 0)"),0.0)</f>
        <v>0</v>
      </c>
      <c r="N66" s="117">
        <f>IFERROR(__xludf.DUMMYFUNCTION("IFNA(QUERY(OptionsPositions, ""SELECT SUM(R) WHERE A = '"" &amp; A66 &amp; ""' LABEL SUM(R) ''""), 0)"),39.198)</f>
        <v>39.198</v>
      </c>
      <c r="O66" s="117">
        <f>IFERROR(__xludf.DUMMYFUNCTION("IFNA(QUERY(OptionsPositions, ""SELECT AVG(S) WHERE A = '"" &amp; A66 &amp; ""' LABEL AVG(S) ''""), 0)"),20.0)</f>
        <v>20</v>
      </c>
      <c r="P66" s="118">
        <f>IFERROR(__xludf.DUMMYFUNCTION("IFNA(QUERY(OptionsPositions, ""SELECT SUM(T) WHERE A = '"" &amp; A66 &amp; ""' LABEL SUM(T) ''""), 0)"),0.0)</f>
        <v>0</v>
      </c>
      <c r="Q66" s="119">
        <f>IFERROR(__xludf.DUMMYFUNCTION("IFNA(QUERY(OptionsPositions, ""SELECT SUM(U) WHERE A = '"" &amp; A66 &amp; ""' LABEL SUM(U) ''""), 0)"),0.0)</f>
        <v>0</v>
      </c>
      <c r="R66" s="120">
        <f>IFERROR(__xludf.DUMMYFUNCTION("IFNA(QUERY(OptionsPositions, ""SELECT SUM(V) WHERE A = '"" &amp; A66 &amp; ""' LABEL SUM(V) ''""), 0)"),0.0)</f>
        <v>0</v>
      </c>
      <c r="S66" s="120">
        <f>IFERROR(__xludf.DUMMYFUNCTION("IFNA(QUERY(OptionsPositions, ""SELECT SUM(W) WHERE A = '"" &amp; A66 &amp; ""' LABEL SUM(W) ''""), 0)"),0.0)</f>
        <v>0</v>
      </c>
      <c r="T66" s="120">
        <f>IFERROR(__xludf.DUMMYFUNCTION("IFNA(QUERY(OptionsPositions, ""SELECT SUM(X) WHERE A = '"" &amp; A66 &amp; ""' LABEL SUM(X) ''""), 0)"),0.0)</f>
        <v>0</v>
      </c>
      <c r="U66" s="117" t="str">
        <f>IFERROR(__xludf.DUMMYFUNCTION("IFNA(QUERY(OptionsPositions, ""SELECT AVG(Y) WHERE A = '"" &amp; A66 &amp; ""' LABEL AVG(Y) ''""), 0)"),"")</f>
        <v/>
      </c>
      <c r="V66" s="121">
        <f>IFERROR(__xludf.DUMMYFUNCTION("IFNA(QUERY(OptionsPositions, ""SELECT SUM(Z) WHERE A = '"" &amp; A66 &amp; ""' LABEL SUM(Z) ''""), 0)"),2179.28)</f>
        <v>2179.28</v>
      </c>
      <c r="W66" s="117">
        <f>IFERROR(__xludf.DUMMYFUNCTION("IFNA(QUERY(OptionsPositions, ""SELECT AVG(AA) WHERE A = '"" &amp; A66 &amp; ""' LABEL AVG(AA) ''""), 0)"),33.333333333333336)</f>
        <v>33.33333333</v>
      </c>
      <c r="X66" s="122" t="str">
        <f>IFERROR(__xludf.DUMMYFUNCTION("IFNA(QUERY(OptionsPositions, ""SELECT AVG(AB) WHERE A = '"" &amp; A66 &amp; ""' LABEL AVG(AB) ''""), 0)"),"")</f>
        <v/>
      </c>
      <c r="Y66" s="123">
        <f t="shared" si="3"/>
        <v>0</v>
      </c>
      <c r="Z66" s="118">
        <f>IFERROR(__xludf.DUMMYFUNCTION("QUERY(OptionsPositions, ""SELECT SUM(L) WHERE A = '"" &amp; A66 &amp; ""' LABEL SUM(L) ''"")"),1.75)</f>
        <v>1.75</v>
      </c>
    </row>
    <row r="67" ht="22.5" customHeight="1">
      <c r="A67" s="3" t="s">
        <v>204</v>
      </c>
      <c r="B67" s="112" t="str">
        <f>IFERROR(__xludf.DUMMYFUNCTION("IF(COUNT(QUERY(OptionsPositions, ""SELECT 1 WHERE A = '"" &amp; A67  &amp; ""' AND C is not null AND E is null""))&gt;0, QUERY(OptionsPositions, ""SELECT C WHERE A = '"" &amp; A67  &amp; ""' AND E is null ORDER BY C ASC LIMIT 1""), """")"),"")</f>
        <v/>
      </c>
      <c r="C67" s="26">
        <f>IFERROR(__xludf.DUMMYFUNCTION("IF(COUNT(QUERY(OptionsPositions, ""SELECT 1 WHERE A = '"" &amp; A67  &amp; ""' AND C is not null AND E is null""))&gt;0, """", QUERY(OptionsPositions, ""SELECT E WHERE A = '"" &amp; A67  &amp; ""' ORDER BY E DESC LIMIT 1""))"),46065.0)</f>
        <v>46065</v>
      </c>
      <c r="D67" s="113" t="str">
        <f>IF(OptionInstruments[Opened] &lt;&gt; "",IF(OptionInstruments[Closed] = "", TODAY(), OptionInstruments[Closed]) - OptionInstruments[Opened], "")</f>
        <v/>
      </c>
      <c r="E67" s="113">
        <f>IFERROR(__xludf.DUMMYFUNCTION("IFNA(QUERY(OptionsPositions, ""SELECT D WHERE A = '"" &amp; A67 &amp; ""' AND E IS null ORDER BY D LIMIT 1"") - TODAY(), 0)"),0.0)</f>
        <v>0</v>
      </c>
      <c r="F67" s="114" t="str">
        <f t="shared" si="1"/>
        <v>Closed</v>
      </c>
      <c r="G67" s="115" t="str">
        <f>IFERROR(__xludf.DUMMYFUNCTION("QUERY(TradeLog, ""SELECT G WHERE A = '"" &amp; A67 &amp; ""' ORDER BY G DESC LIMIT 1"")"),"Speculative")</f>
        <v>Speculative</v>
      </c>
      <c r="H67" s="116" t="str">
        <f>IFERROR(__xludf.DUMMYFUNCTION("IFNA(QUERY(TradeLog, ""SELECT C WHERE A = '"" &amp; A67 &amp; ""' ORDER BY B DESC LIMIT 1""), """")"),"Long Put Vertical")</f>
        <v>Long Put Vertical</v>
      </c>
      <c r="I67" s="14" t="str">
        <f>IFERROR(__xludf.DUMMYFUNCTION("TEXTJOIN("", "", TRUE,IFNA(QUERY(OptionsPositions, ""SELECT H WHERE A = '"" &amp; A67  &amp; ""' AND C is not null AND E is null ORDER BY H""), """"))"),"")</f>
        <v/>
      </c>
      <c r="J67" s="14" t="str">
        <f>IFERROR(__xludf.DUMMYFUNCTION("QUERY(TradeLog, ""SELECT S WHERE A = '"" &amp; A67 &amp; ""' ORDER BY B DESC LIMIT 1"")  "),"Close above 88")</f>
        <v>Close above 88</v>
      </c>
      <c r="K67" s="117">
        <f t="shared" si="2"/>
        <v>63.905</v>
      </c>
      <c r="L67" s="117">
        <f>IFERROR(__xludf.DUMMYFUNCTION("IFNA(QUERY(OptionsPositions, ""SELECT SUM(P) WHERE A = '"" &amp; A67 &amp; ""' LABEL SUM(P) ''""), 0)"),0.0)</f>
        <v>0</v>
      </c>
      <c r="M67" s="118">
        <f>IFERROR(__xludf.DUMMYFUNCTION("IFNA(ROUND(QUERY(OptionsPositions, ""SELECT AVG(Q) WHERE A = '"" &amp; A67 &amp; ""' LABEL AVG(Q) ''""), 2), 0)"),0.0)</f>
        <v>0</v>
      </c>
      <c r="N67" s="117">
        <f>IFERROR(__xludf.DUMMYFUNCTION("IFNA(QUERY(OptionsPositions, ""SELECT SUM(R) WHERE A = '"" &amp; A67 &amp; ""' LABEL SUM(R) ''""), 0)"),63.905)</f>
        <v>63.905</v>
      </c>
      <c r="O67" s="117">
        <f>IFERROR(__xludf.DUMMYFUNCTION("IFNA(QUERY(OptionsPositions, ""SELECT AVG(S) WHERE A = '"" &amp; A67 &amp; ""' LABEL AVG(S) ''""), 0)"),23.333333333333332)</f>
        <v>23.33333333</v>
      </c>
      <c r="P67" s="118">
        <f>IFERROR(__xludf.DUMMYFUNCTION("IFNA(QUERY(OptionsPositions, ""SELECT SUM(T) WHERE A = '"" &amp; A67 &amp; ""' LABEL SUM(T) ''""), 0)"),0.0)</f>
        <v>0</v>
      </c>
      <c r="Q67" s="119">
        <f>IFERROR(__xludf.DUMMYFUNCTION("IFNA(QUERY(OptionsPositions, ""SELECT SUM(U) WHERE A = '"" &amp; A67 &amp; ""' LABEL SUM(U) ''""), 0)"),0.0)</f>
        <v>0</v>
      </c>
      <c r="R67" s="120">
        <f>IFERROR(__xludf.DUMMYFUNCTION("IFNA(QUERY(OptionsPositions, ""SELECT SUM(V) WHERE A = '"" &amp; A67 &amp; ""' LABEL SUM(V) ''""), 0)"),0.0)</f>
        <v>0</v>
      </c>
      <c r="S67" s="120">
        <f>IFERROR(__xludf.DUMMYFUNCTION("IFNA(QUERY(OptionsPositions, ""SELECT SUM(W) WHERE A = '"" &amp; A67 &amp; ""' LABEL SUM(W) ''""), 0)"),0.0)</f>
        <v>0</v>
      </c>
      <c r="T67" s="120">
        <f>IFERROR(__xludf.DUMMYFUNCTION("IFNA(QUERY(OptionsPositions, ""SELECT SUM(X) WHERE A = '"" &amp; A67 &amp; ""' LABEL SUM(X) ''""), 0)"),0.0)</f>
        <v>0</v>
      </c>
      <c r="U67" s="117" t="str">
        <f>IFERROR(__xludf.DUMMYFUNCTION("IFNA(QUERY(OptionsPositions, ""SELECT AVG(Y) WHERE A = '"" &amp; A67 &amp; ""' LABEL AVG(Y) ''""), 0)"),"")</f>
        <v/>
      </c>
      <c r="V67" s="121">
        <f>IFERROR(__xludf.DUMMYFUNCTION("IFNA(QUERY(OptionsPositions, ""SELECT SUM(Z) WHERE A = '"" &amp; A67 &amp; ""' LABEL SUM(Z) ''""), 0)"),1040.12)</f>
        <v>1040.12</v>
      </c>
      <c r="W67" s="117">
        <f>IFERROR(__xludf.DUMMYFUNCTION("IFNA(QUERY(OptionsPositions, ""SELECT AVG(AA) WHERE A = '"" &amp; A67 &amp; ""' LABEL AVG(AA) ''""), 0)"),39.52539859102706)</f>
        <v>39.52539859</v>
      </c>
      <c r="X67" s="122" t="str">
        <f>IFERROR(__xludf.DUMMYFUNCTION("IFNA(QUERY(OptionsPositions, ""SELECT AVG(AB) WHERE A = '"" &amp; A67 &amp; ""' LABEL AVG(AB) ''""), 0)"),"")</f>
        <v/>
      </c>
      <c r="Y67" s="123">
        <f t="shared" si="3"/>
        <v>0</v>
      </c>
      <c r="Z67" s="118">
        <f>IFERROR(__xludf.DUMMYFUNCTION("QUERY(OptionsPositions, ""SELECT SUM(L) WHERE A = '"" &amp; A67 &amp; ""' LABEL SUM(L) ''"")"),2.335)</f>
        <v>2.335</v>
      </c>
    </row>
    <row r="68" ht="22.5" customHeight="1">
      <c r="A68" s="3" t="s">
        <v>325</v>
      </c>
      <c r="B68" s="112" t="str">
        <f>IFERROR(__xludf.DUMMYFUNCTION("IF(COUNT(QUERY(OptionsPositions, ""SELECT 1 WHERE A = '"" &amp; A68  &amp; ""' AND C is not null AND E is null""))&gt;0, QUERY(OptionsPositions, ""SELECT C WHERE A = '"" &amp; A68  &amp; ""' AND E is null ORDER BY C ASC LIMIT 1""), """")"),"")</f>
        <v/>
      </c>
      <c r="C68" s="26">
        <f>IFERROR(__xludf.DUMMYFUNCTION("IF(COUNT(QUERY(OptionsPositions, ""SELECT 1 WHERE A = '"" &amp; A68  &amp; ""' AND C is not null AND E is null""))&gt;0, """", QUERY(OptionsPositions, ""SELECT E WHERE A = '"" &amp; A68  &amp; ""' ORDER BY E DESC LIMIT 1""))"),46085.0)</f>
        <v>46085</v>
      </c>
      <c r="D68" s="113" t="str">
        <f>IF(OptionInstruments[Opened] &lt;&gt; "",IF(OptionInstruments[Closed] = "", TODAY(), OptionInstruments[Closed]) - OptionInstruments[Opened], "")</f>
        <v/>
      </c>
      <c r="E68" s="113">
        <f>IFERROR(__xludf.DUMMYFUNCTION("IFNA(QUERY(OptionsPositions, ""SELECT D WHERE A = '"" &amp; A68 &amp; ""' AND E IS null ORDER BY D LIMIT 1"") - TODAY(), 0)"),0.0)</f>
        <v>0</v>
      </c>
      <c r="F68" s="114" t="str">
        <f t="shared" si="1"/>
        <v>Closed</v>
      </c>
      <c r="G68" s="115" t="str">
        <f>IFERROR(__xludf.DUMMYFUNCTION("QUERY(TradeLog, ""SELECT G WHERE A = '"" &amp; A68 &amp; ""' ORDER BY G DESC LIMIT 1"")"),"Speculative")</f>
        <v>Speculative</v>
      </c>
      <c r="H68" s="116" t="str">
        <f>IFERROR(__xludf.DUMMYFUNCTION("IFNA(QUERY(TradeLog, ""SELECT C WHERE A = '"" &amp; A68 &amp; ""' ORDER BY B DESC LIMIT 1""), """")"),"Long Call")</f>
        <v>Long Call</v>
      </c>
      <c r="I68" s="14" t="str">
        <f>IFERROR(__xludf.DUMMYFUNCTION("TEXTJOIN("", "", TRUE,IFNA(QUERY(OptionsPositions, ""SELECT H WHERE A = '"" &amp; A68  &amp; ""' AND C is not null AND E is null ORDER BY H""), """"))"),"")</f>
        <v/>
      </c>
      <c r="J68" s="14" t="str">
        <f>IFERROR(__xludf.DUMMYFUNCTION("QUERY(TradeLog, ""SELECT S WHERE A = '"" &amp; A68 &amp; ""' ORDER BY B DESC LIMIT 1"")  "),"Close below 69")</f>
        <v>Close below 69</v>
      </c>
      <c r="K68" s="117">
        <f t="shared" si="2"/>
        <v>7.751</v>
      </c>
      <c r="L68" s="117">
        <f>IFERROR(__xludf.DUMMYFUNCTION("IFNA(QUERY(OptionsPositions, ""SELECT SUM(P) WHERE A = '"" &amp; A68 &amp; ""' LABEL SUM(P) ''""), 0)"),0.0)</f>
        <v>0</v>
      </c>
      <c r="M68" s="118">
        <f>IFERROR(__xludf.DUMMYFUNCTION("IFNA(ROUND(QUERY(OptionsPositions, ""SELECT AVG(Q) WHERE A = '"" &amp; A68 &amp; ""' LABEL AVG(Q) ''""), 2), 0)"),0.0)</f>
        <v>0</v>
      </c>
      <c r="N68" s="117">
        <f>IFERROR(__xludf.DUMMYFUNCTION("IFNA(QUERY(OptionsPositions, ""SELECT SUM(R) WHERE A = '"" &amp; A68 &amp; ""' LABEL SUM(R) ''""), 0)"),7.751000000000003)</f>
        <v>7.751</v>
      </c>
      <c r="O68" s="117">
        <f>IFERROR(__xludf.DUMMYFUNCTION("IFNA(QUERY(OptionsPositions, ""SELECT AVG(S) WHERE A = '"" &amp; A68 &amp; ""' LABEL AVG(S) ''""), 0)"),30.0)</f>
        <v>30</v>
      </c>
      <c r="P68" s="118">
        <f>IFERROR(__xludf.DUMMYFUNCTION("IFNA(QUERY(OptionsPositions, ""SELECT SUM(T) WHERE A = '"" &amp; A68 &amp; ""' LABEL SUM(T) ''""), 0)"),0.0)</f>
        <v>0</v>
      </c>
      <c r="Q68" s="119">
        <f>IFERROR(__xludf.DUMMYFUNCTION("IFNA(QUERY(OptionsPositions, ""SELECT SUM(U) WHERE A = '"" &amp; A68 &amp; ""' LABEL SUM(U) ''""), 0)"),0.0)</f>
        <v>0</v>
      </c>
      <c r="R68" s="120">
        <f>IFERROR(__xludf.DUMMYFUNCTION("IFNA(QUERY(OptionsPositions, ""SELECT SUM(V) WHERE A = '"" &amp; A68 &amp; ""' LABEL SUM(V) ''""), 0)"),0.0)</f>
        <v>0</v>
      </c>
      <c r="S68" s="120">
        <f>IFERROR(__xludf.DUMMYFUNCTION("IFNA(QUERY(OptionsPositions, ""SELECT SUM(W) WHERE A = '"" &amp; A68 &amp; ""' LABEL SUM(W) ''""), 0)"),0.0)</f>
        <v>0</v>
      </c>
      <c r="T68" s="120">
        <f>IFERROR(__xludf.DUMMYFUNCTION("IFNA(QUERY(OptionsPositions, ""SELECT SUM(X) WHERE A = '"" &amp; A68 &amp; ""' LABEL SUM(X) ''""), 0)"),0.0)</f>
        <v>0</v>
      </c>
      <c r="U68" s="117" t="str">
        <f>IFERROR(__xludf.DUMMYFUNCTION("IFNA(QUERY(OptionsPositions, ""SELECT AVG(Y) WHERE A = '"" &amp; A68 &amp; ""' LABEL AVG(Y) ''""), 0)"),"")</f>
        <v/>
      </c>
      <c r="V68" s="121">
        <f>IFERROR(__xludf.DUMMYFUNCTION("IFNA(QUERY(OptionsPositions, ""SELECT SUM(Z) WHERE A = '"" &amp; A68 &amp; ""' LABEL SUM(Z) ''""), 0)"),44.0)</f>
        <v>44</v>
      </c>
      <c r="W68" s="117">
        <f>IFERROR(__xludf.DUMMYFUNCTION("IFNA(QUERY(OptionsPositions, ""SELECT AVG(AA) WHERE A = '"" &amp; A68 &amp; ""' LABEL AVG(AA) ''""), 0)"),56.75675675675676)</f>
        <v>56.75675676</v>
      </c>
      <c r="X68" s="122" t="str">
        <f>IFERROR(__xludf.DUMMYFUNCTION("IFNA(QUERY(OptionsPositions, ""SELECT AVG(AB) WHERE A = '"" &amp; A68 &amp; ""' LABEL AVG(AB) ''""), 0)"),"")</f>
        <v/>
      </c>
      <c r="Y68" s="123">
        <f t="shared" si="3"/>
        <v>0</v>
      </c>
      <c r="Z68" s="118">
        <f>IFERROR(__xludf.DUMMYFUNCTION("QUERY(OptionsPositions, ""SELECT SUM(L) WHERE A = '"" &amp; A68 &amp; ""' LABEL SUM(L) ''"")"),0.7)</f>
        <v>0.7</v>
      </c>
    </row>
    <row r="69" ht="22.5" customHeight="1">
      <c r="A69" s="3" t="s">
        <v>359</v>
      </c>
      <c r="B69" s="112" t="str">
        <f>IFERROR(__xludf.DUMMYFUNCTION("IF(COUNT(QUERY(OptionsPositions, ""SELECT 1 WHERE A = '"" &amp; A69  &amp; ""' AND C is not null AND E is null""))&gt;0, QUERY(OptionsPositions, ""SELECT C WHERE A = '"" &amp; A69  &amp; ""' AND E is null ORDER BY C ASC LIMIT 1""), """")"),"")</f>
        <v/>
      </c>
      <c r="C69" s="26">
        <f>IFERROR(__xludf.DUMMYFUNCTION("IF(COUNT(QUERY(OptionsPositions, ""SELECT 1 WHERE A = '"" &amp; A69  &amp; ""' AND C is not null AND E is null""))&gt;0, """", QUERY(OptionsPositions, ""SELECT E WHERE A = '"" &amp; A69  &amp; ""' ORDER BY E DESC LIMIT 1""))"),46092.0)</f>
        <v>46092</v>
      </c>
      <c r="D69" s="113" t="str">
        <f>IF(OptionInstruments[Opened] &lt;&gt; "",IF(OptionInstruments[Closed] = "", TODAY(), OptionInstruments[Closed]) - OptionInstruments[Opened], "")</f>
        <v/>
      </c>
      <c r="E69" s="113">
        <f>IFERROR(__xludf.DUMMYFUNCTION("IFNA(QUERY(OptionsPositions, ""SELECT D WHERE A = '"" &amp; A69 &amp; ""' AND E IS null ORDER BY D LIMIT 1"") - TODAY(), 0)"),0.0)</f>
        <v>0</v>
      </c>
      <c r="F69" s="114" t="str">
        <f t="shared" si="1"/>
        <v>Closed</v>
      </c>
      <c r="G69" s="115" t="str">
        <f>IFERROR(__xludf.DUMMYFUNCTION("QUERY(TradeLog, ""SELECT G WHERE A = '"" &amp; A69 &amp; ""' ORDER BY G DESC LIMIT 1"")"),"Speculative")</f>
        <v>Speculative</v>
      </c>
      <c r="H69" s="116" t="str">
        <f>IFERROR(__xludf.DUMMYFUNCTION("IFNA(QUERY(TradeLog, ""SELECT C WHERE A = '"" &amp; A69 &amp; ""' ORDER BY B DESC LIMIT 1""), """")"),"Long Call")</f>
        <v>Long Call</v>
      </c>
      <c r="I69" s="14" t="str">
        <f>IFERROR(__xludf.DUMMYFUNCTION("TEXTJOIN("", "", TRUE,IFNA(QUERY(OptionsPositions, ""SELECT H WHERE A = '"" &amp; A69  &amp; ""' AND C is not null AND E is null ORDER BY H""), """"))"),"")</f>
        <v/>
      </c>
      <c r="J69" s="14" t="str">
        <f>IFERROR(__xludf.DUMMYFUNCTION("QUERY(TradeLog, ""SELECT S WHERE A = '"" &amp; A69 &amp; ""' ORDER BY B DESC LIMIT 1"")  "),"Below 16")</f>
        <v>Below 16</v>
      </c>
      <c r="K69" s="117">
        <f t="shared" si="2"/>
        <v>-35.049</v>
      </c>
      <c r="L69" s="117">
        <f>IFERROR(__xludf.DUMMYFUNCTION("IFNA(QUERY(OptionsPositions, ""SELECT SUM(P) WHERE A = '"" &amp; A69 &amp; ""' LABEL SUM(P) ''""), 0)"),0.0)</f>
        <v>0</v>
      </c>
      <c r="M69" s="118">
        <f>IFERROR(__xludf.DUMMYFUNCTION("IFNA(ROUND(QUERY(OptionsPositions, ""SELECT AVG(Q) WHERE A = '"" &amp; A69 &amp; ""' LABEL AVG(Q) ''""), 2), 0)"),0.0)</f>
        <v>0</v>
      </c>
      <c r="N69" s="117">
        <f>IFERROR(__xludf.DUMMYFUNCTION("IFNA(QUERY(OptionsPositions, ""SELECT SUM(R) WHERE A = '"" &amp; A69 &amp; ""' LABEL SUM(R) ''""), 0)"),-35.049)</f>
        <v>-35.049</v>
      </c>
      <c r="O69" s="117">
        <f>IFERROR(__xludf.DUMMYFUNCTION("IFNA(QUERY(OptionsPositions, ""SELECT AVG(S) WHERE A = '"" &amp; A69 &amp; ""' LABEL AVG(S) ''""), 0)"),-90.0)</f>
        <v>-90</v>
      </c>
      <c r="P69" s="118">
        <f>IFERROR(__xludf.DUMMYFUNCTION("IFNA(QUERY(OptionsPositions, ""SELECT SUM(T) WHERE A = '"" &amp; A69 &amp; ""' LABEL SUM(T) ''""), 0)"),0.0)</f>
        <v>0</v>
      </c>
      <c r="Q69" s="119">
        <f>IFERROR(__xludf.DUMMYFUNCTION("IFNA(QUERY(OptionsPositions, ""SELECT SUM(U) WHERE A = '"" &amp; A69 &amp; ""' LABEL SUM(U) ''""), 0)"),0.0)</f>
        <v>0</v>
      </c>
      <c r="R69" s="120">
        <f>IFERROR(__xludf.DUMMYFUNCTION("IFNA(QUERY(OptionsPositions, ""SELECT SUM(V) WHERE A = '"" &amp; A69 &amp; ""' LABEL SUM(V) ''""), 0)"),0.0)</f>
        <v>0</v>
      </c>
      <c r="S69" s="120">
        <f>IFERROR(__xludf.DUMMYFUNCTION("IFNA(QUERY(OptionsPositions, ""SELECT SUM(W) WHERE A = '"" &amp; A69 &amp; ""' LABEL SUM(W) ''""), 0)"),0.0)</f>
        <v>0</v>
      </c>
      <c r="T69" s="120">
        <f>IFERROR(__xludf.DUMMYFUNCTION("IFNA(QUERY(OptionsPositions, ""SELECT SUM(X) WHERE A = '"" &amp; A69 &amp; ""' LABEL SUM(X) ''""), 0)"),0.0)</f>
        <v>0</v>
      </c>
      <c r="U69" s="117" t="str">
        <f>IFERROR(__xludf.DUMMYFUNCTION("IFNA(QUERY(OptionsPositions, ""SELECT AVG(Y) WHERE A = '"" &amp; A69 &amp; ""' LABEL AVG(Y) ''""), 0)"),"")</f>
        <v/>
      </c>
      <c r="V69" s="121">
        <f>IFERROR(__xludf.DUMMYFUNCTION("IFNA(QUERY(OptionsPositions, ""SELECT SUM(Z) WHERE A = '"" &amp; A69 &amp; ""' LABEL SUM(Z) ''""), 0)"),55.05)</f>
        <v>55.05</v>
      </c>
      <c r="W69" s="117">
        <f>IFERROR(__xludf.DUMMYFUNCTION("IFNA(QUERY(OptionsPositions, ""SELECT AVG(AA) WHERE A = '"" &amp; A69 &amp; ""' LABEL AVG(AA) ''""), 0)"),70.96774193548387)</f>
        <v>70.96774194</v>
      </c>
      <c r="X69" s="122" t="str">
        <f>IFERROR(__xludf.DUMMYFUNCTION("IFNA(QUERY(OptionsPositions, ""SELECT AVG(AB) WHERE A = '"" &amp; A69 &amp; ""' LABEL AVG(AB) ''""), 0)"),"")</f>
        <v/>
      </c>
      <c r="Y69" s="123">
        <f t="shared" si="3"/>
        <v>0</v>
      </c>
      <c r="Z69" s="118">
        <f>IFERROR(__xludf.DUMMYFUNCTION("QUERY(OptionsPositions, ""SELECT SUM(L) WHERE A = '"" &amp; A69 &amp; ""' LABEL SUM(L) ''"")"),0.05)</f>
        <v>0.05</v>
      </c>
    </row>
    <row r="70" ht="22.5" customHeight="1">
      <c r="A70" s="3" t="s">
        <v>377</v>
      </c>
      <c r="B70" s="112">
        <f>IFERROR(__xludf.DUMMYFUNCTION("IF(COUNT(QUERY(OptionsPositions, ""SELECT 1 WHERE A = '"" &amp; A70  &amp; ""' AND C is not null AND E is null""))&gt;0, QUERY(OptionsPositions, ""SELECT C WHERE A = '"" &amp; A70  &amp; ""' AND E is null ORDER BY C ASC LIMIT 1""), """")"),46080.0)</f>
        <v>46080</v>
      </c>
      <c r="C70" s="26" t="str">
        <f>IFERROR(__xludf.DUMMYFUNCTION("IF(COUNT(QUERY(OptionsPositions, ""SELECT 1 WHERE A = '"" &amp; A70  &amp; ""' AND C is not null AND E is null""))&gt;0, """", QUERY(OptionsPositions, ""SELECT E WHERE A = '"" &amp; A70  &amp; ""' ORDER BY E DESC LIMIT 1""))"),"")</f>
        <v/>
      </c>
      <c r="D70" s="113">
        <f>IF(OptionInstruments[Opened] &lt;&gt; "",IF(OptionInstruments[Closed] = "", TODAY(), OptionInstruments[Closed]) - OptionInstruments[Opened], "")</f>
        <v>20</v>
      </c>
      <c r="E70" s="113">
        <f>IFERROR(__xludf.DUMMYFUNCTION("IFNA(QUERY(OptionsPositions, ""SELECT D WHERE A = '"" &amp; A70 &amp; ""' AND E IS null ORDER BY D LIMIT 1"") - TODAY(), 0)"),29.0)</f>
        <v>29</v>
      </c>
      <c r="F70" s="114" t="str">
        <f t="shared" si="1"/>
        <v>Open</v>
      </c>
      <c r="G70" s="115" t="str">
        <f>IFERROR(__xludf.DUMMYFUNCTION("QUERY(TradeLog, ""SELECT G WHERE A = '"" &amp; A70 &amp; ""' ORDER BY G DESC LIMIT 1"")"),"Speculative")</f>
        <v>Speculative</v>
      </c>
      <c r="H70" s="116" t="str">
        <f>IFERROR(__xludf.DUMMYFUNCTION("IFNA(QUERY(TradeLog, ""SELECT C WHERE A = '"" &amp; A70 &amp; ""' ORDER BY B DESC LIMIT 1""), """")"),"Long Call")</f>
        <v>Long Call</v>
      </c>
      <c r="I70" s="14" t="str">
        <f>IFERROR(__xludf.DUMMYFUNCTION("TEXTJOIN("", "", TRUE,IFNA(QUERY(OptionsPositions, ""SELECT H WHERE A = '"" &amp; A70  &amp; ""' AND C is not null AND E is null ORDER BY H""), """"))"),"17.5")</f>
        <v>17.5</v>
      </c>
      <c r="J70" s="14" t="str">
        <f>IFERROR(__xludf.DUMMYFUNCTION("QUERY(TradeLog, ""SELECT S WHERE A = '"" &amp; A70 &amp; ""' ORDER BY B DESC LIMIT 1"")  "),"")</f>
        <v/>
      </c>
      <c r="K70" s="117">
        <f t="shared" si="2"/>
        <v>8.001</v>
      </c>
      <c r="L70" s="117">
        <f>IFERROR(__xludf.DUMMYFUNCTION("IFNA(QUERY(OptionsPositions, ""SELECT SUM(P) WHERE A = '"" &amp; A70 &amp; ""' LABEL SUM(P) ''""), 0)"),8.000999999999998)</f>
        <v>8.001</v>
      </c>
      <c r="M70" s="118">
        <f>IFERROR(__xludf.DUMMYFUNCTION("IFNA(ROUND(QUERY(OptionsPositions, ""SELECT AVG(Q) WHERE A = '"" &amp; A70 &amp; ""' LABEL AVG(Q) ''""), 2), 0)"),30.0)</f>
        <v>30</v>
      </c>
      <c r="N70" s="117">
        <f>IFERROR(__xludf.DUMMYFUNCTION("IFNA(QUERY(OptionsPositions, ""SELECT SUM(R) WHERE A = '"" &amp; A70 &amp; ""' LABEL SUM(R) ''""), 0)"),0.0)</f>
        <v>0</v>
      </c>
      <c r="O70" s="117">
        <f>IFERROR(__xludf.DUMMYFUNCTION("IFNA(QUERY(OptionsPositions, ""SELECT AVG(S) WHERE A = '"" &amp; A70 &amp; ""' LABEL AVG(S) ''""), 0)"),0.0)</f>
        <v>0</v>
      </c>
      <c r="P70" s="118">
        <f>IFERROR(__xludf.DUMMYFUNCTION("IFNA(QUERY(OptionsPositions, ""SELECT SUM(T) WHERE A = '"" &amp; A70 &amp; ""' LABEL SUM(T) ''""), 0)"),0.35)</f>
        <v>0.35</v>
      </c>
      <c r="Q70" s="119">
        <f>IFERROR(__xludf.DUMMYFUNCTION("IFNA(QUERY(OptionsPositions, ""SELECT SUM(U) WHERE A = '"" &amp; A70 &amp; ""' LABEL SUM(U) ''""), 0)"),0.13998355)</f>
        <v>0.13998355</v>
      </c>
      <c r="R70" s="120">
        <f>IFERROR(__xludf.DUMMYFUNCTION("IFNA(QUERY(OptionsPositions, ""SELECT SUM(V) WHERE A = '"" &amp; A70 &amp; ""' LABEL SUM(V) ''""), 0)"),-0.00897799)</f>
        <v>-0.00897799</v>
      </c>
      <c r="S70" s="120">
        <f>IFERROR(__xludf.DUMMYFUNCTION("IFNA(QUERY(OptionsPositions, ""SELECT SUM(W) WHERE A = '"" &amp; A70 &amp; ""' LABEL SUM(W) ''""), 0)"),0.06655633)</f>
        <v>0.06655633</v>
      </c>
      <c r="T70" s="120">
        <f>IFERROR(__xludf.DUMMYFUNCTION("IFNA(QUERY(OptionsPositions, ""SELECT SUM(X) WHERE A = '"" &amp; A70 &amp; ""' LABEL SUM(X) ''""), 0)"),0.00839931)</f>
        <v>0.00839931</v>
      </c>
      <c r="U70" s="117">
        <f>IFERROR(__xludf.DUMMYFUNCTION("IFNA(QUERY(OptionsPositions, ""SELECT AVG(Y) WHERE A = '"" &amp; A70 &amp; ""' LABEL AVG(Y) ''""), 0)"),59.0)</f>
        <v>59</v>
      </c>
      <c r="V70" s="121">
        <f>IFERROR(__xludf.DUMMYFUNCTION("IFNA(QUERY(OptionsPositions, ""SELECT SUM(Z) WHERE A = '"" &amp; A70 &amp; ""' LABEL SUM(Z) ''""), 0)"),28.96)</f>
        <v>28.96</v>
      </c>
      <c r="W70" s="117">
        <f>IFERROR(__xludf.DUMMYFUNCTION("IFNA(QUERY(OptionsPositions, ""SELECT AVG(AA) WHERE A = '"" &amp; A70 &amp; ""' LABEL AVG(AA) ''""), 0)"),-94040.8163265306)</f>
        <v>-94040.81633</v>
      </c>
      <c r="X70" s="122">
        <f>IFERROR(__xludf.DUMMYFUNCTION("IFNA(QUERY(OptionsPositions, ""SELECT AVG(AB) WHERE A = '"" &amp; A70 &amp; ""' LABEL AVG(AB) ''""), 0)"),-3134.6938775510203)</f>
        <v>-3134.693878</v>
      </c>
      <c r="Y70" s="123">
        <f t="shared" si="3"/>
        <v>27.62776243</v>
      </c>
      <c r="Z70" s="118">
        <f>IFERROR(__xludf.DUMMYFUNCTION("QUERY(OptionsPositions, ""SELECT SUM(L) WHERE A = '"" &amp; A70 &amp; ""' LABEL SUM(L) ''"")"),0.35)</f>
        <v>0.35</v>
      </c>
    </row>
    <row r="71" ht="22.5" customHeight="1">
      <c r="A71" s="3" t="s">
        <v>162</v>
      </c>
      <c r="B71" s="112">
        <f>IFERROR(__xludf.DUMMYFUNCTION("IF(COUNT(QUERY(OptionsPositions, ""SELECT 1 WHERE A = '"" &amp; A71  &amp; ""' AND C is not null AND E is null""))&gt;0, QUERY(OptionsPositions, ""SELECT C WHERE A = '"" &amp; A71  &amp; ""' AND E is null ORDER BY C ASC LIMIT 1""), """")"),46052.0)</f>
        <v>46052</v>
      </c>
      <c r="C71" s="26" t="str">
        <f>IFERROR(__xludf.DUMMYFUNCTION("IF(COUNT(QUERY(OptionsPositions, ""SELECT 1 WHERE A = '"" &amp; A71  &amp; ""' AND C is not null AND E is null""))&gt;0, """", QUERY(OptionsPositions, ""SELECT E WHERE A = '"" &amp; A71  &amp; ""' ORDER BY E DESC LIMIT 1""))"),"")</f>
        <v/>
      </c>
      <c r="D71" s="113">
        <f>IF(OptionInstruments[Opened] &lt;&gt; "",IF(OptionInstruments[Closed] = "", TODAY(), OptionInstruments[Closed]) - OptionInstruments[Opened], "")</f>
        <v>48</v>
      </c>
      <c r="E71" s="113">
        <f>IFERROR(__xludf.DUMMYFUNCTION("IFNA(QUERY(OptionsPositions, ""SELECT D WHERE A = '"" &amp; A71 &amp; ""' AND E IS null ORDER BY D LIMIT 1"") - TODAY(), 0)"),1.0)</f>
        <v>1</v>
      </c>
      <c r="F71" s="114" t="str">
        <f t="shared" si="1"/>
        <v>Open</v>
      </c>
      <c r="G71" s="115" t="str">
        <f>IFERROR(__xludf.DUMMYFUNCTION("QUERY(TradeLog, ""SELECT G WHERE A = '"" &amp; A71 &amp; ""' ORDER BY G DESC LIMIT 1"")"),"Core")</f>
        <v>Core</v>
      </c>
      <c r="H71" s="116" t="str">
        <f>IFERROR(__xludf.DUMMYFUNCTION("IFNA(QUERY(TradeLog, ""SELECT C WHERE A = '"" &amp; A71 &amp; ""' ORDER BY B DESC LIMIT 1""), """")"),"111")</f>
        <v>111</v>
      </c>
      <c r="I71" s="14" t="str">
        <f>IFERROR(__xludf.DUMMYFUNCTION("TEXTJOIN("", "", TRUE,IFNA(QUERY(OptionsPositions, ""SELECT H WHERE A = '"" &amp; A71  &amp; ""' AND C is not null AND E is null ORDER BY H""), """"))"),"620, 650, 660, 665, 670, 675")</f>
        <v>620, 650, 660, 665, 670, 675</v>
      </c>
      <c r="J71" s="14" t="str">
        <f>IFERROR(__xludf.DUMMYFUNCTION("QUERY(TradeLog, ""SELECT S WHERE A = '"" &amp; A71 &amp; ""' ORDER BY B DESC LIMIT 1"")  "),"")</f>
        <v/>
      </c>
      <c r="K71" s="117">
        <f t="shared" si="2"/>
        <v>253.244</v>
      </c>
      <c r="L71" s="117">
        <f>IFERROR(__xludf.DUMMYFUNCTION("IFNA(QUERY(OptionsPositions, ""SELECT SUM(P) WHERE A = '"" &amp; A71 &amp; ""' LABEL SUM(P) ''""), 0)"),229.49700000000016)</f>
        <v>229.497</v>
      </c>
      <c r="M71" s="118">
        <f>IFERROR(__xludf.DUMMYFUNCTION("IFNA(ROUND(QUERY(OptionsPositions, ""SELECT AVG(Q) WHERE A = '"" &amp; A71 &amp; ""' LABEL AVG(Q) ''""), 2), 0)"),6.83)</f>
        <v>6.83</v>
      </c>
      <c r="N71" s="117">
        <f>IFERROR(__xludf.DUMMYFUNCTION("IFNA(QUERY(OptionsPositions, ""SELECT SUM(R) WHERE A = '"" &amp; A71 &amp; ""' LABEL SUM(R) ''""), 0)"),23.747000000000014)</f>
        <v>23.747</v>
      </c>
      <c r="O71" s="117">
        <f>IFERROR(__xludf.DUMMYFUNCTION("IFNA(QUERY(OptionsPositions, ""SELECT AVG(S) WHERE A = '"" &amp; A71 &amp; ""' LABEL AVG(S) ''""), 0)"),3.3333333333333335)</f>
        <v>3.333333333</v>
      </c>
      <c r="P71" s="118">
        <f>IFERROR(__xludf.DUMMYFUNCTION("IFNA(QUERY(OptionsPositions, ""SELECT SUM(T) WHERE A = '"" &amp; A71 &amp; ""' LABEL SUM(T) ''""), 0)"),44.56)</f>
        <v>44.56</v>
      </c>
      <c r="Q71" s="119">
        <f>IFERROR(__xludf.DUMMYFUNCTION("IFNA(QUERY(OptionsPositions, ""SELECT SUM(U) WHERE A = '"" &amp; A71 &amp; ""' LABEL SUM(U) ''""), 0)"),0.24756727000000006)</f>
        <v>0.24756727</v>
      </c>
      <c r="R71" s="120">
        <f>IFERROR(__xludf.DUMMYFUNCTION("IFNA(QUERY(OptionsPositions, ""SELECT SUM(V) WHERE A = '"" &amp; A71 &amp; ""' LABEL SUM(V) ''""), 0)"),1.09217773)</f>
        <v>1.09217773</v>
      </c>
      <c r="S71" s="120">
        <f>IFERROR(__xludf.DUMMYFUNCTION("IFNA(QUERY(OptionsPositions, ""SELECT SUM(W) WHERE A = '"" &amp; A71 &amp; ""' LABEL SUM(W) ''""), 0)"),0.054928450000000004)</f>
        <v>0.05492845</v>
      </c>
      <c r="T71" s="120">
        <f>IFERROR(__xludf.DUMMYFUNCTION("IFNA(QUERY(OptionsPositions, ""SELECT SUM(X) WHERE A = '"" &amp; A71 &amp; ""' LABEL SUM(X) ''""), 0)"),3.2838178499999997)</f>
        <v>3.28381785</v>
      </c>
      <c r="U71" s="117">
        <f>IFERROR(__xludf.DUMMYFUNCTION("IFNA(QUERY(OptionsPositions, ""SELECT AVG(Y) WHERE A = '"" &amp; A71 &amp; ""' LABEL AVG(Y) ''""), 0)"),25.333333333333332)</f>
        <v>25.33333333</v>
      </c>
      <c r="V71" s="121">
        <f>IFERROR(__xludf.DUMMYFUNCTION("IFNA(QUERY(OptionsPositions, ""SELECT SUM(Z) WHERE A = '"" &amp; A71 &amp; ""' LABEL SUM(Z) ''""), 0)"),35020.850000000006)</f>
        <v>35020.85</v>
      </c>
      <c r="W71" s="117">
        <f>IFERROR(__xludf.DUMMYFUNCTION("IFNA(QUERY(OptionsPositions, ""SELECT AVG(AA) WHERE A = '"" &amp; A71 &amp; ""' LABEL AVG(AA) ''""), 0)"),-65445.668934240355)</f>
        <v>-65445.66893</v>
      </c>
      <c r="X71" s="122">
        <f>IFERROR(__xludf.DUMMYFUNCTION("IFNA(QUERY(OptionsPositions, ""SELECT AVG(AB) WHERE A = '"" &amp; A71 &amp; ""' LABEL AVG(AB) ''""), 0)"),4434.258292946262)</f>
        <v>4434.258293</v>
      </c>
      <c r="Y71" s="123">
        <f t="shared" si="3"/>
        <v>0.6553153336</v>
      </c>
      <c r="Z71" s="118">
        <f>IFERROR(__xludf.DUMMYFUNCTION("QUERY(OptionsPositions, ""SELECT SUM(L) WHERE A = '"" &amp; A71 &amp; ""' LABEL SUM(L) ''"")"),52.309999999999995)</f>
        <v>52.31</v>
      </c>
    </row>
    <row r="72" ht="22.5" customHeight="1">
      <c r="A72" s="3" t="s">
        <v>392</v>
      </c>
      <c r="B72" s="112">
        <f>IFERROR(__xludf.DUMMYFUNCTION("IF(COUNT(QUERY(OptionsPositions, ""SELECT 1 WHERE A = '"" &amp; A72  &amp; ""' AND C is not null AND E is null""))&gt;0, QUERY(OptionsPositions, ""SELECT C WHERE A = '"" &amp; A72  &amp; ""' AND E is null ORDER BY C ASC LIMIT 1""), """")"),46084.0)</f>
        <v>46084</v>
      </c>
      <c r="C72" s="26" t="str">
        <f>IFERROR(__xludf.DUMMYFUNCTION("IF(COUNT(QUERY(OptionsPositions, ""SELECT 1 WHERE A = '"" &amp; A72  &amp; ""' AND C is not null AND E is null""))&gt;0, """", QUERY(OptionsPositions, ""SELECT E WHERE A = '"" &amp; A72  &amp; ""' ORDER BY E DESC LIMIT 1""))"),"")</f>
        <v/>
      </c>
      <c r="D72" s="113">
        <f>IF(OptionInstruments[Opened] &lt;&gt; "",IF(OptionInstruments[Closed] = "", TODAY(), OptionInstruments[Closed]) - OptionInstruments[Opened], "")</f>
        <v>16</v>
      </c>
      <c r="E72" s="113">
        <f>IFERROR(__xludf.DUMMYFUNCTION("IFNA(QUERY(OptionsPositions, ""SELECT D WHERE A = '"" &amp; A72 &amp; ""' AND E IS null ORDER BY D LIMIT 1"") - TODAY(), 0)"),29.0)</f>
        <v>29</v>
      </c>
      <c r="F72" s="114" t="str">
        <f t="shared" si="1"/>
        <v>Open</v>
      </c>
      <c r="G72" s="115" t="str">
        <f>IFERROR(__xludf.DUMMYFUNCTION("QUERY(TradeLog, ""SELECT G WHERE A = '"" &amp; A72 &amp; ""' ORDER BY G DESC LIMIT 1"")"),"Speculative")</f>
        <v>Speculative</v>
      </c>
      <c r="H72" s="116" t="str">
        <f>IFERROR(__xludf.DUMMYFUNCTION("IFNA(QUERY(TradeLog, ""SELECT C WHERE A = '"" &amp; A72 &amp; ""' ORDER BY B DESC LIMIT 1""), """")"),"Long Strangle")</f>
        <v>Long Strangle</v>
      </c>
      <c r="I72" s="14" t="str">
        <f>IFERROR(__xludf.DUMMYFUNCTION("TEXTJOIN("", "", TRUE,IFNA(QUERY(OptionsPositions, ""SELECT H WHERE A = '"" &amp; A72  &amp; ""' AND C is not null AND E is null ORDER BY H""), """"))"),"42.5, 52.5")</f>
        <v>42.5, 52.5</v>
      </c>
      <c r="J72" s="14" t="str">
        <f>IFERROR(__xludf.DUMMYFUNCTION("QUERY(TradeLog, ""SELECT S WHERE A = '"" &amp; A72 &amp; ""' ORDER BY B DESC LIMIT 1"")  "),"")</f>
        <v/>
      </c>
      <c r="K72" s="117">
        <f t="shared" si="2"/>
        <v>8.504</v>
      </c>
      <c r="L72" s="117">
        <f>IFERROR(__xludf.DUMMYFUNCTION("IFNA(QUERY(OptionsPositions, ""SELECT SUM(P) WHERE A = '"" &amp; A72 &amp; ""' LABEL SUM(P) ''""), 0)"),8.504000000000005)</f>
        <v>8.504</v>
      </c>
      <c r="M72" s="118">
        <f>IFERROR(__xludf.DUMMYFUNCTION("IFNA(ROUND(QUERY(OptionsPositions, ""SELECT AVG(Q) WHERE A = '"" &amp; A72 &amp; ""' LABEL AVG(Q) ''""), 2), 0)"),-11.5)</f>
        <v>-11.5</v>
      </c>
      <c r="N72" s="117">
        <f>IFERROR(__xludf.DUMMYFUNCTION("IFNA(QUERY(OptionsPositions, ""SELECT SUM(R) WHERE A = '"" &amp; A72 &amp; ""' LABEL SUM(R) ''""), 0)"),0.0)</f>
        <v>0</v>
      </c>
      <c r="O72" s="117">
        <f>IFERROR(__xludf.DUMMYFUNCTION("IFNA(QUERY(OptionsPositions, ""SELECT AVG(S) WHERE A = '"" &amp; A72 &amp; ""' LABEL AVG(S) ''""), 0)"),0.0)</f>
        <v>0</v>
      </c>
      <c r="P72" s="118">
        <f>IFERROR(__xludf.DUMMYFUNCTION("IFNA(QUERY(OptionsPositions, ""SELECT SUM(T) WHERE A = '"" &amp; A72 &amp; ""' LABEL SUM(T) ''""), 0)"),0.8)</f>
        <v>0.8</v>
      </c>
      <c r="Q72" s="119">
        <f>IFERROR(__xludf.DUMMYFUNCTION("IFNA(QUERY(OptionsPositions, ""SELECT SUM(U) WHERE A = '"" &amp; A72 &amp; ""' LABEL SUM(U) ''""), 0)"),-0.27380543)</f>
        <v>-0.27380543</v>
      </c>
      <c r="R72" s="120">
        <f>IFERROR(__xludf.DUMMYFUNCTION("IFNA(QUERY(OptionsPositions, ""SELECT SUM(V) WHERE A = '"" &amp; A72 &amp; ""' LABEL SUM(V) ''""), 0)"),-0.02387011)</f>
        <v>-0.02387011</v>
      </c>
      <c r="S72" s="120">
        <f>IFERROR(__xludf.DUMMYFUNCTION("IFNA(QUERY(OptionsPositions, ""SELECT SUM(W) WHERE A = '"" &amp; A72 &amp; ""' LABEL SUM(W) ''""), 0)"),0.1144542)</f>
        <v>0.1144542</v>
      </c>
      <c r="T72" s="120">
        <f>IFERROR(__xludf.DUMMYFUNCTION("IFNA(QUERY(OptionsPositions, ""SELECT SUM(X) WHERE A = '"" &amp; A72 &amp; ""' LABEL SUM(X) ''""), 0)"),0.06812287)</f>
        <v>0.06812287</v>
      </c>
      <c r="U72" s="117">
        <f>IFERROR(__xludf.DUMMYFUNCTION("IFNA(QUERY(OptionsPositions, ""SELECT AVG(Y) WHERE A = '"" &amp; A72 &amp; ""' LABEL AVG(Y) ''""), 0)"),28.000000000000004)</f>
        <v>28</v>
      </c>
      <c r="V72" s="121">
        <f>IFERROR(__xludf.DUMMYFUNCTION("IFNA(QUERY(OptionsPositions, ""SELECT SUM(Z) WHERE A = '"" &amp; A72 &amp; ""' LABEL SUM(Z) ''""), 0)"),94.33)</f>
        <v>94.33</v>
      </c>
      <c r="W72" s="117">
        <f>IFERROR(__xludf.DUMMYFUNCTION("IFNA(QUERY(OptionsPositions, ""SELECT AVG(AA) WHERE A = '"" &amp; A72 &amp; ""' LABEL AVG(AA) ''""), 0)"),-102408.88888888889)</f>
        <v>-102408.8889</v>
      </c>
      <c r="X72" s="122">
        <f>IFERROR(__xludf.DUMMYFUNCTION("IFNA(QUERY(OptionsPositions, ""SELECT AVG(AB) WHERE A = '"" &amp; A72 &amp; ""' LABEL AVG(AB) ''""), 0)"),-152.94834054834052)</f>
        <v>-152.9483405</v>
      </c>
      <c r="Y72" s="123">
        <f t="shared" si="3"/>
        <v>9.015159546</v>
      </c>
      <c r="Z72" s="118">
        <f>IFERROR(__xludf.DUMMYFUNCTION("QUERY(OptionsPositions, ""SELECT SUM(L) WHERE A = '"" &amp; A72 &amp; ""' LABEL SUM(L) ''"")"),0.8)</f>
        <v>0.8</v>
      </c>
    </row>
    <row r="73" ht="22.5" customHeight="1">
      <c r="A73" s="3" t="s">
        <v>383</v>
      </c>
      <c r="B73" s="112">
        <f>IFERROR(__xludf.DUMMYFUNCTION("IF(COUNT(QUERY(OptionsPositions, ""SELECT 1 WHERE A = '"" &amp; A73  &amp; ""' AND C is not null AND E is null""))&gt;0, QUERY(OptionsPositions, ""SELECT C WHERE A = '"" &amp; A73  &amp; ""' AND E is null ORDER BY C ASC LIMIT 1""), """")"),46080.0)</f>
        <v>46080</v>
      </c>
      <c r="C73" s="26" t="str">
        <f>IFERROR(__xludf.DUMMYFUNCTION("IF(COUNT(QUERY(OptionsPositions, ""SELECT 1 WHERE A = '"" &amp; A73  &amp; ""' AND C is not null AND E is null""))&gt;0, """", QUERY(OptionsPositions, ""SELECT E WHERE A = '"" &amp; A73  &amp; ""' ORDER BY E DESC LIMIT 1""))"),"")</f>
        <v/>
      </c>
      <c r="D73" s="113">
        <f>IF(OptionInstruments[Opened] &lt;&gt; "",IF(OptionInstruments[Closed] = "", TODAY(), OptionInstruments[Closed]) - OptionInstruments[Opened], "")</f>
        <v>20</v>
      </c>
      <c r="E73" s="113">
        <f>IFERROR(__xludf.DUMMYFUNCTION("IFNA(QUERY(OptionsPositions, ""SELECT D WHERE A = '"" &amp; A73 &amp; ""' AND E IS null ORDER BY D LIMIT 1"") - TODAY(), 0)"),29.0)</f>
        <v>29</v>
      </c>
      <c r="F73" s="114" t="str">
        <f t="shared" si="1"/>
        <v>Open</v>
      </c>
      <c r="G73" s="115" t="str">
        <f>IFERROR(__xludf.DUMMYFUNCTION("QUERY(TradeLog, ""SELECT G WHERE A = '"" &amp; A73 &amp; ""' ORDER BY G DESC LIMIT 1"")"),"Speculative")</f>
        <v>Speculative</v>
      </c>
      <c r="H73" s="116" t="str">
        <f>IFERROR(__xludf.DUMMYFUNCTION("IFNA(QUERY(TradeLog, ""SELECT C WHERE A = '"" &amp; A73 &amp; ""' ORDER BY B DESC LIMIT 1""), """")"),"Long Call")</f>
        <v>Long Call</v>
      </c>
      <c r="I73" s="14" t="str">
        <f>IFERROR(__xludf.DUMMYFUNCTION("TEXTJOIN("", "", TRUE,IFNA(QUERY(OptionsPositions, ""SELECT H WHERE A = '"" &amp; A73  &amp; ""' AND C is not null AND E is null ORDER BY H""), """"))"),"95")</f>
        <v>95</v>
      </c>
      <c r="J73" s="14" t="str">
        <f>IFERROR(__xludf.DUMMYFUNCTION("QUERY(TradeLog, ""SELECT S WHERE A = '"" &amp; A73 &amp; ""' ORDER BY B DESC LIMIT 1"")  "),"")</f>
        <v/>
      </c>
      <c r="K73" s="117">
        <f t="shared" si="2"/>
        <v>-56.049</v>
      </c>
      <c r="L73" s="117">
        <f>IFERROR(__xludf.DUMMYFUNCTION("IFNA(QUERY(OptionsPositions, ""SELECT SUM(P) WHERE A = '"" &amp; A73 &amp; ""' LABEL SUM(P) ''""), 0)"),-56.04900000000001)</f>
        <v>-56.049</v>
      </c>
      <c r="M73" s="118">
        <f>IFERROR(__xludf.DUMMYFUNCTION("IFNA(ROUND(QUERY(OptionsPositions, ""SELECT AVG(Q) WHERE A = '"" &amp; A73 &amp; ""' LABEL AVG(Q) ''""), 2), 0)"),-100.0)</f>
        <v>-100</v>
      </c>
      <c r="N73" s="117">
        <f>IFERROR(__xludf.DUMMYFUNCTION("IFNA(QUERY(OptionsPositions, ""SELECT SUM(R) WHERE A = '"" &amp; A73 &amp; ""' LABEL SUM(R) ''""), 0)"),0.0)</f>
        <v>0</v>
      </c>
      <c r="O73" s="117">
        <f>IFERROR(__xludf.DUMMYFUNCTION("IFNA(QUERY(OptionsPositions, ""SELECT AVG(S) WHERE A = '"" &amp; A73 &amp; ""' LABEL AVG(S) ''""), 0)"),0.0)</f>
        <v>0</v>
      </c>
      <c r="P73" s="118">
        <f>IFERROR(__xludf.DUMMYFUNCTION("IFNA(QUERY(OptionsPositions, ""SELECT SUM(T) WHERE A = '"" &amp; A73 &amp; ""' LABEL SUM(T) ''""), 0)"),0.0)</f>
        <v>0</v>
      </c>
      <c r="Q73" s="119">
        <f>IFERROR(__xludf.DUMMYFUNCTION("IFNA(QUERY(OptionsPositions, ""SELECT SUM(U) WHERE A = '"" &amp; A73 &amp; ""' LABEL SUM(U) ''""), 0)"),0.00969168)</f>
        <v>0.00969168</v>
      </c>
      <c r="R73" s="120">
        <f>IFERROR(__xludf.DUMMYFUNCTION("IFNA(QUERY(OptionsPositions, ""SELECT SUM(V) WHERE A = '"" &amp; A73 &amp; ""' LABEL SUM(V) ''""), 0)"),-0.00201667)</f>
        <v>-0.00201667</v>
      </c>
      <c r="S73" s="120">
        <f>IFERROR(__xludf.DUMMYFUNCTION("IFNA(QUERY(OptionsPositions, ""SELECT SUM(W) WHERE A = '"" &amp; A73 &amp; ""' LABEL SUM(W) ''""), 0)"),0.00363877)</f>
        <v>0.00363877</v>
      </c>
      <c r="T73" s="120">
        <f>IFERROR(__xludf.DUMMYFUNCTION("IFNA(QUERY(OptionsPositions, ""SELECT SUM(X) WHERE A = '"" &amp; A73 &amp; ""' LABEL SUM(X) ''""), 0)"),0.00815506)</f>
        <v>0.00815506</v>
      </c>
      <c r="U73" s="117">
        <f>IFERROR(__xludf.DUMMYFUNCTION("IFNA(QUERY(OptionsPositions, ""SELECT AVG(Y) WHERE A = '"" &amp; A73 &amp; ""' LABEL AVG(Y) ''""), 0)"),33.0)</f>
        <v>33</v>
      </c>
      <c r="V73" s="121">
        <f>IFERROR(__xludf.DUMMYFUNCTION("IFNA(QUERY(OptionsPositions, ""SELECT SUM(Z) WHERE A = '"" &amp; A73 &amp; ""' LABEL SUM(Z) ''""), 0)"),39.57)</f>
        <v>39.57</v>
      </c>
      <c r="W73" s="117">
        <f>IFERROR(__xludf.DUMMYFUNCTION("IFNA(QUERY(OptionsPositions, ""SELECT AVG(AA) WHERE A = '"" &amp; A73 &amp; ""' LABEL AVG(AA) ''""), 0)"),-94040.8163265306)</f>
        <v>-94040.81633</v>
      </c>
      <c r="X73" s="122">
        <f>IFERROR(__xludf.DUMMYFUNCTION("IFNA(QUERY(OptionsPositions, ""SELECT AVG(AB) WHERE A = '"" &amp; A73 &amp; ""' LABEL AVG(AB) ''""), 0)"),940.408163265306)</f>
        <v>940.4081633</v>
      </c>
      <c r="Y73" s="123">
        <f t="shared" si="3"/>
        <v>-141.6451857</v>
      </c>
      <c r="Z73" s="118">
        <f>IFERROR(__xludf.DUMMYFUNCTION("QUERY(OptionsPositions, ""SELECT SUM(L) WHERE A = '"" &amp; A73 &amp; ""' LABEL SUM(L) ''"")"),0.0)</f>
        <v>0</v>
      </c>
    </row>
    <row r="74" ht="22.5" customHeight="1">
      <c r="A74" s="3" t="s">
        <v>403</v>
      </c>
      <c r="B74" s="112">
        <f>IFERROR(__xludf.DUMMYFUNCTION("IF(COUNT(QUERY(OptionsPositions, ""SELECT 1 WHERE A = '"" &amp; A74  &amp; ""' AND C is not null AND E is null""))&gt;0, QUERY(OptionsPositions, ""SELECT C WHERE A = '"" &amp; A74  &amp; ""' AND E is null ORDER BY C ASC LIMIT 1""), """")"),46087.0)</f>
        <v>46087</v>
      </c>
      <c r="C74" s="26" t="str">
        <f>IFERROR(__xludf.DUMMYFUNCTION("IF(COUNT(QUERY(OptionsPositions, ""SELECT 1 WHERE A = '"" &amp; A74  &amp; ""' AND C is not null AND E is null""))&gt;0, """", QUERY(OptionsPositions, ""SELECT E WHERE A = '"" &amp; A74  &amp; ""' ORDER BY E DESC LIMIT 1""))"),"")</f>
        <v/>
      </c>
      <c r="D74" s="113">
        <f>IF(OptionInstruments[Opened] &lt;&gt; "",IF(OptionInstruments[Closed] = "", TODAY(), OptionInstruments[Closed]) - OptionInstruments[Opened], "")</f>
        <v>13</v>
      </c>
      <c r="E74" s="113">
        <f>IFERROR(__xludf.DUMMYFUNCTION("IFNA(QUERY(OptionsPositions, ""SELECT D WHERE A = '"" &amp; A74 &amp; ""' AND E IS null ORDER BY D LIMIT 1"") - TODAY(), 0)"),29.0)</f>
        <v>29</v>
      </c>
      <c r="F74" s="114" t="str">
        <f t="shared" si="1"/>
        <v>Open</v>
      </c>
      <c r="G74" s="115" t="str">
        <f>IFERROR(__xludf.DUMMYFUNCTION("QUERY(TradeLog, ""SELECT G WHERE A = '"" &amp; A74 &amp; ""' ORDER BY G DESC LIMIT 1"")"),"Speculative")</f>
        <v>Speculative</v>
      </c>
      <c r="H74" s="116" t="str">
        <f>IFERROR(__xludf.DUMMYFUNCTION("IFNA(QUERY(TradeLog, ""SELECT C WHERE A = '"" &amp; A74 &amp; ""' ORDER BY B DESC LIMIT 1""), """")"),"Long Call")</f>
        <v>Long Call</v>
      </c>
      <c r="I74" s="14" t="str">
        <f>IFERROR(__xludf.DUMMYFUNCTION("TEXTJOIN("", "", TRUE,IFNA(QUERY(OptionsPositions, ""SELECT H WHERE A = '"" &amp; A74  &amp; ""' AND C is not null AND E is null ORDER BY H""), """"))"),"29")</f>
        <v>29</v>
      </c>
      <c r="J74" s="14" t="str">
        <f>IFERROR(__xludf.DUMMYFUNCTION("QUERY(TradeLog, ""SELECT S WHERE A = '"" &amp; A74 &amp; ""' ORDER BY B DESC LIMIT 1"")  "),"")</f>
        <v/>
      </c>
      <c r="K74" s="117">
        <f t="shared" si="2"/>
        <v>11.952</v>
      </c>
      <c r="L74" s="117">
        <f>IFERROR(__xludf.DUMMYFUNCTION("IFNA(QUERY(OptionsPositions, ""SELECT SUM(P) WHERE A = '"" &amp; A74 &amp; ""' LABEL SUM(P) ''""), 0)"),11.951999999999996)</f>
        <v>11.952</v>
      </c>
      <c r="M74" s="118">
        <f>IFERROR(__xludf.DUMMYFUNCTION("IFNA(ROUND(QUERY(OptionsPositions, ""SELECT AVG(Q) WHERE A = '"" &amp; A74 &amp; ""' LABEL AVG(Q) ''""), 2), 0)"),21.0)</f>
        <v>21</v>
      </c>
      <c r="N74" s="117">
        <f>IFERROR(__xludf.DUMMYFUNCTION("IFNA(QUERY(OptionsPositions, ""SELECT SUM(R) WHERE A = '"" &amp; A74 &amp; ""' LABEL SUM(R) ''""), 0)"),0.0)</f>
        <v>0</v>
      </c>
      <c r="O74" s="117">
        <f>IFERROR(__xludf.DUMMYFUNCTION("IFNA(QUERY(OptionsPositions, ""SELECT AVG(S) WHERE A = '"" &amp; A74 &amp; ""' LABEL AVG(S) ''""), 0)"),0.0)</f>
        <v>0</v>
      </c>
      <c r="P74" s="118">
        <f>IFERROR(__xludf.DUMMYFUNCTION("IFNA(QUERY(OptionsPositions, ""SELECT SUM(T) WHERE A = '"" &amp; A74 &amp; ""' LABEL SUM(T) ''""), 0)"),0.7)</f>
        <v>0.7</v>
      </c>
      <c r="Q74" s="119">
        <f>IFERROR(__xludf.DUMMYFUNCTION("IFNA(QUERY(OptionsPositions, ""SELECT SUM(U) WHERE A = '"" &amp; A74 &amp; ""' LABEL SUM(U) ''""), 0)"),0.3290272)</f>
        <v>0.3290272</v>
      </c>
      <c r="R74" s="120">
        <f>IFERROR(__xludf.DUMMYFUNCTION("IFNA(QUERY(OptionsPositions, ""SELECT SUM(V) WHERE A = '"" &amp; A74 &amp; ""' LABEL SUM(V) ''""), 0)"),-0.01573581)</f>
        <v>-0.01573581</v>
      </c>
      <c r="S74" s="120">
        <f>IFERROR(__xludf.DUMMYFUNCTION("IFNA(QUERY(OptionsPositions, ""SELECT SUM(W) WHERE A = '"" &amp; A74 &amp; ""' LABEL SUM(W) ''""), 0)"),0.12551094)</f>
        <v>0.12551094</v>
      </c>
      <c r="T74" s="120">
        <f>IFERROR(__xludf.DUMMYFUNCTION("IFNA(QUERY(OptionsPositions, ""SELECT SUM(X) WHERE A = '"" &amp; A74 &amp; ""' LABEL SUM(X) ''""), 0)"),0.03061073)</f>
        <v>0.03061073</v>
      </c>
      <c r="U74" s="117">
        <f>IFERROR(__xludf.DUMMYFUNCTION("IFNA(QUERY(OptionsPositions, ""SELECT AVG(Y) WHERE A = '"" &amp; A74 &amp; ""' LABEL AVG(Y) ''""), 0)"),37.0)</f>
        <v>37</v>
      </c>
      <c r="V74" s="121">
        <f>IFERROR(__xludf.DUMMYFUNCTION("IFNA(QUERY(OptionsPositions, ""SELECT SUM(Z) WHERE A = '"" &amp; A74 &amp; ""' LABEL SUM(Z) ''""), 0)"),56.92)</f>
        <v>56.92</v>
      </c>
      <c r="W74" s="117">
        <f>IFERROR(__xludf.DUMMYFUNCTION("IFNA(QUERY(OptionsPositions, ""SELECT AVG(AA) WHERE A = '"" &amp; A74 &amp; ""' LABEL AVG(AA) ''""), 0)"),-109730.95238095238)</f>
        <v>-109730.9524</v>
      </c>
      <c r="X74" s="122">
        <f>IFERROR(__xludf.DUMMYFUNCTION("IFNA(QUERY(OptionsPositions, ""SELECT AVG(AB) WHERE A = '"" &amp; A74 &amp; ""' LABEL AVG(AB) ''""), 0)"),-5225.283446712018)</f>
        <v>-5225.283447</v>
      </c>
      <c r="Y74" s="123">
        <f t="shared" si="3"/>
        <v>20.99789178</v>
      </c>
      <c r="Z74" s="118">
        <f>IFERROR(__xludf.DUMMYFUNCTION("QUERY(OptionsPositions, ""SELECT SUM(L) WHERE A = '"" &amp; A74 &amp; ""' LABEL SUM(L) ''"")"),0.7)</f>
        <v>0.7</v>
      </c>
    </row>
    <row r="75" ht="22.5" customHeight="1">
      <c r="A75" s="3" t="s">
        <v>406</v>
      </c>
      <c r="B75" s="112">
        <f>IFERROR(__xludf.DUMMYFUNCTION("IF(COUNT(QUERY(OptionsPositions, ""SELECT 1 WHERE A = '"" &amp; A75  &amp; ""' AND C is not null AND E is null""))&gt;0, QUERY(OptionsPositions, ""SELECT C WHERE A = '"" &amp; A75  &amp; ""' AND E is null ORDER BY C ASC LIMIT 1""), """")"),46087.0)</f>
        <v>46087</v>
      </c>
      <c r="C75" s="26" t="str">
        <f>IFERROR(__xludf.DUMMYFUNCTION("IF(COUNT(QUERY(OptionsPositions, ""SELECT 1 WHERE A = '"" &amp; A75  &amp; ""' AND C is not null AND E is null""))&gt;0, """", QUERY(OptionsPositions, ""SELECT E WHERE A = '"" &amp; A75  &amp; ""' ORDER BY E DESC LIMIT 1""))"),"")</f>
        <v/>
      </c>
      <c r="D75" s="113">
        <f>IF(OptionInstruments[Opened] &lt;&gt; "",IF(OptionInstruments[Closed] = "", TODAY(), OptionInstruments[Closed]) - OptionInstruments[Opened], "")</f>
        <v>13</v>
      </c>
      <c r="E75" s="113">
        <f>IFERROR(__xludf.DUMMYFUNCTION("IFNA(QUERY(OptionsPositions, ""SELECT D WHERE A = '"" &amp; A75 &amp; ""' AND E IS null ORDER BY D LIMIT 1"") - TODAY(), 0)"),57.0)</f>
        <v>57</v>
      </c>
      <c r="F75" s="114" t="str">
        <f t="shared" si="1"/>
        <v>Open</v>
      </c>
      <c r="G75" s="115" t="str">
        <f>IFERROR(__xludf.DUMMYFUNCTION("QUERY(TradeLog, ""SELECT G WHERE A = '"" &amp; A75 &amp; ""' ORDER BY G DESC LIMIT 1"")"),"Core")</f>
        <v>Core</v>
      </c>
      <c r="H75" s="116" t="str">
        <f>IFERROR(__xludf.DUMMYFUNCTION("IFNA(QUERY(TradeLog, ""SELECT C WHERE A = '"" &amp; A75 &amp; ""' ORDER BY B DESC LIMIT 1""), """")"),"Long Call")</f>
        <v>Long Call</v>
      </c>
      <c r="I75" s="14" t="str">
        <f>IFERROR(__xludf.DUMMYFUNCTION("TEXTJOIN("", "", TRUE,IFNA(QUERY(OptionsPositions, ""SELECT H WHERE A = '"" &amp; A75  &amp; ""' AND C is not null AND E is null ORDER BY H""), """"))"),"37")</f>
        <v>37</v>
      </c>
      <c r="J75" s="14" t="str">
        <f>IFERROR(__xludf.DUMMYFUNCTION("QUERY(TradeLog, ""SELECT S WHERE A = '"" &amp; A75 &amp; ""' ORDER BY B DESC LIMIT 1"")  "),"")</f>
        <v/>
      </c>
      <c r="K75" s="117">
        <f t="shared" si="2"/>
        <v>28.202</v>
      </c>
      <c r="L75" s="117">
        <f>IFERROR(__xludf.DUMMYFUNCTION("IFNA(QUERY(OptionsPositions, ""SELECT SUM(P) WHERE A = '"" &amp; A75 &amp; ""' LABEL SUM(P) ''""), 0)"),28.201999999999995)</f>
        <v>28.202</v>
      </c>
      <c r="M75" s="118">
        <f>IFERROR(__xludf.DUMMYFUNCTION("IFNA(ROUND(QUERY(OptionsPositions, ""SELECT AVG(Q) WHERE A = '"" &amp; A75 &amp; ""' LABEL AVG(Q) ''""), 2), 0)"),21.0)</f>
        <v>21</v>
      </c>
      <c r="N75" s="117">
        <f>IFERROR(__xludf.DUMMYFUNCTION("IFNA(QUERY(OptionsPositions, ""SELECT SUM(R) WHERE A = '"" &amp; A75 &amp; ""' LABEL SUM(R) ''""), 0)"),0.0)</f>
        <v>0</v>
      </c>
      <c r="O75" s="117">
        <f>IFERROR(__xludf.DUMMYFUNCTION("IFNA(QUERY(OptionsPositions, ""SELECT AVG(S) WHERE A = '"" &amp; A75 &amp; ""' LABEL AVG(S) ''""), 0)"),0.0)</f>
        <v>0</v>
      </c>
      <c r="P75" s="118">
        <f>IFERROR(__xludf.DUMMYFUNCTION("IFNA(QUERY(OptionsPositions, ""SELECT SUM(T) WHERE A = '"" &amp; A75 &amp; ""' LABEL SUM(T) ''""), 0)"),1.65)</f>
        <v>1.65</v>
      </c>
      <c r="Q75" s="119">
        <f>IFERROR(__xludf.DUMMYFUNCTION("IFNA(QUERY(OptionsPositions, ""SELECT SUM(U) WHERE A = '"" &amp; A75 &amp; ""' LABEL SUM(U) ''""), 0)"),0.5076949)</f>
        <v>0.5076949</v>
      </c>
      <c r="R75" s="120">
        <f>IFERROR(__xludf.DUMMYFUNCTION("IFNA(QUERY(OptionsPositions, ""SELECT SUM(V) WHERE A = '"" &amp; A75 &amp; ""' LABEL SUM(V) ''""), 0)"),-0.0137734)</f>
        <v>-0.0137734</v>
      </c>
      <c r="S75" s="120">
        <f>IFERROR(__xludf.DUMMYFUNCTION("IFNA(QUERY(OptionsPositions, ""SELECT SUM(W) WHERE A = '"" &amp; A75 &amp; ""' LABEL SUM(W) ''""), 0)"),0.10171805)</f>
        <v>0.10171805</v>
      </c>
      <c r="T75" s="120">
        <f>IFERROR(__xludf.DUMMYFUNCTION("IFNA(QUERY(OptionsPositions, ""SELECT SUM(X) WHERE A = '"" &amp; A75 &amp; ""' LABEL SUM(X) ''""), 0)"),0.06222494)</f>
        <v>0.06222494</v>
      </c>
      <c r="U75" s="117">
        <f>IFERROR(__xludf.DUMMYFUNCTION("IFNA(QUERY(OptionsPositions, ""SELECT AVG(Y) WHERE A = '"" &amp; A75 &amp; ""' LABEL AVG(Y) ''""), 0)"),25.0)</f>
        <v>25</v>
      </c>
      <c r="V75" s="121">
        <f>IFERROR(__xludf.DUMMYFUNCTION("IFNA(QUERY(OptionsPositions, ""SELECT SUM(Z) WHERE A = '"" &amp; A75 &amp; ""' LABEL SUM(Z) ''""), 0)"),120.38)</f>
        <v>120.38</v>
      </c>
      <c r="W75" s="117">
        <f>IFERROR(__xludf.DUMMYFUNCTION("IFNA(QUERY(OptionsPositions, ""SELECT AVG(AA) WHERE A = '"" &amp; A75 &amp; ""' LABEL AVG(AA) ''""), 0)"),-65838.57142857143)</f>
        <v>-65838.57143</v>
      </c>
      <c r="X75" s="122">
        <f>IFERROR(__xludf.DUMMYFUNCTION("IFNA(QUERY(OptionsPositions, ""SELECT AVG(AB) WHERE A = '"" &amp; A75 &amp; ""' LABEL AVG(AB) ''""), 0)"),-3135.170068027211)</f>
        <v>-3135.170068</v>
      </c>
      <c r="Y75" s="123">
        <f t="shared" si="3"/>
        <v>23.42747965</v>
      </c>
      <c r="Z75" s="118">
        <f>IFERROR(__xludf.DUMMYFUNCTION("QUERY(OptionsPositions, ""SELECT SUM(L) WHERE A = '"" &amp; A75 &amp; ""' LABEL SUM(L) ''"")"),1.65)</f>
        <v>1.65</v>
      </c>
    </row>
    <row r="76" ht="22.5" customHeight="1">
      <c r="A76" s="3" t="s">
        <v>408</v>
      </c>
      <c r="B76" s="112">
        <f>IFERROR(__xludf.DUMMYFUNCTION("IF(COUNT(QUERY(OptionsPositions, ""SELECT 1 WHERE A = '"" &amp; A76  &amp; ""' AND C is not null AND E is null""))&gt;0, QUERY(OptionsPositions, ""SELECT C WHERE A = '"" &amp; A76  &amp; ""' AND E is null ORDER BY C ASC LIMIT 1""), """")"),46087.0)</f>
        <v>46087</v>
      </c>
      <c r="C76" s="26" t="str">
        <f>IFERROR(__xludf.DUMMYFUNCTION("IF(COUNT(QUERY(OptionsPositions, ""SELECT 1 WHERE A = '"" &amp; A76  &amp; ""' AND C is not null AND E is null""))&gt;0, """", QUERY(OptionsPositions, ""SELECT E WHERE A = '"" &amp; A76  &amp; ""' ORDER BY E DESC LIMIT 1""))"),"")</f>
        <v/>
      </c>
      <c r="D76" s="113">
        <f>IF(OptionInstruments[Opened] &lt;&gt; "",IF(OptionInstruments[Closed] = "", TODAY(), OptionInstruments[Closed]) - OptionInstruments[Opened], "")</f>
        <v>13</v>
      </c>
      <c r="E76" s="113">
        <f>IFERROR(__xludf.DUMMYFUNCTION("IFNA(QUERY(OptionsPositions, ""SELECT D WHERE A = '"" &amp; A76 &amp; ""' AND E IS null ORDER BY D LIMIT 1"") - TODAY(), 0)"),91.0)</f>
        <v>91</v>
      </c>
      <c r="F76" s="114" t="str">
        <f t="shared" si="1"/>
        <v>Open</v>
      </c>
      <c r="G76" s="115" t="str">
        <f>IFERROR(__xludf.DUMMYFUNCTION("QUERY(TradeLog, ""SELECT G WHERE A = '"" &amp; A76 &amp; ""' ORDER BY G DESC LIMIT 1"")"),"Core")</f>
        <v>Core</v>
      </c>
      <c r="H76" s="116" t="str">
        <f>IFERROR(__xludf.DUMMYFUNCTION("IFNA(QUERY(TradeLog, ""SELECT C WHERE A = '"" &amp; A76 &amp; ""' ORDER BY B DESC LIMIT 1""), """")"),"Long Call Vertical")</f>
        <v>Long Call Vertical</v>
      </c>
      <c r="I76" s="14" t="str">
        <f>IFERROR(__xludf.DUMMYFUNCTION("TEXTJOIN("", "", TRUE,IFNA(QUERY(OptionsPositions, ""SELECT H WHERE A = '"" &amp; A76  &amp; ""' AND C is not null AND E is null ORDER BY H""), """"))"),"37, 40")</f>
        <v>37, 40</v>
      </c>
      <c r="J76" s="14" t="str">
        <f>IFERROR(__xludf.DUMMYFUNCTION("QUERY(TradeLog, ""SELECT S WHERE A = '"" &amp; A76 &amp; ""' ORDER BY B DESC LIMIT 1"")  "),"")</f>
        <v/>
      </c>
      <c r="K76" s="117">
        <f t="shared" si="2"/>
        <v>44.601</v>
      </c>
      <c r="L76" s="117">
        <f>IFERROR(__xludf.DUMMYFUNCTION("IFNA(QUERY(OptionsPositions, ""SELECT SUM(P) WHERE A = '"" &amp; A76 &amp; ""' LABEL SUM(P) ''""), 0)"),44.600999999999985)</f>
        <v>44.601</v>
      </c>
      <c r="M76" s="118">
        <f>IFERROR(__xludf.DUMMYFUNCTION("IFNA(ROUND(QUERY(OptionsPositions, ""SELECT AVG(Q) WHERE A = '"" &amp; A76 &amp; ""' LABEL AVG(Q) ''""), 2), 0)"),1.5)</f>
        <v>1.5</v>
      </c>
      <c r="N76" s="117">
        <f>IFERROR(__xludf.DUMMYFUNCTION("IFNA(QUERY(OptionsPositions, ""SELECT SUM(R) WHERE A = '"" &amp; A76 &amp; ""' LABEL SUM(R) ''""), 0)"),0.0)</f>
        <v>0</v>
      </c>
      <c r="O76" s="117">
        <f>IFERROR(__xludf.DUMMYFUNCTION("IFNA(QUERY(OptionsPositions, ""SELECT AVG(S) WHERE A = '"" &amp; A76 &amp; ""' LABEL AVG(S) ''""), 0)"),0.0)</f>
        <v>0</v>
      </c>
      <c r="P76" s="118">
        <f>IFERROR(__xludf.DUMMYFUNCTION("IFNA(QUERY(OptionsPositions, ""SELECT SUM(T) WHERE A = '"" &amp; A76 &amp; ""' LABEL SUM(T) ''""), 0)"),4.18)</f>
        <v>4.18</v>
      </c>
      <c r="Q76" s="119">
        <f>IFERROR(__xludf.DUMMYFUNCTION("IFNA(QUERY(OptionsPositions, ""SELECT SUM(U) WHERE A = '"" &amp; A76 &amp; ""' LABEL SUM(U) ''""), 0)"),0.19129912)</f>
        <v>0.19129912</v>
      </c>
      <c r="R76" s="120">
        <f>IFERROR(__xludf.DUMMYFUNCTION("IFNA(QUERY(OptionsPositions, ""SELECT SUM(V) WHERE A = '"" &amp; A76 &amp; ""' LABEL SUM(V) ''""), 0)"),-8.038400000000001E-4)</f>
        <v>-0.00080384</v>
      </c>
      <c r="S76" s="120">
        <f>IFERROR(__xludf.DUMMYFUNCTION("IFNA(QUERY(OptionsPositions, ""SELECT SUM(W) WHERE A = '"" &amp; A76 &amp; ""' LABEL SUM(W) ''""), 0)"),0.12687739)</f>
        <v>0.12687739</v>
      </c>
      <c r="T76" s="120">
        <f>IFERROR(__xludf.DUMMYFUNCTION("IFNA(QUERY(OptionsPositions, ""SELECT SUM(X) WHERE A = '"" &amp; A76 &amp; ""' LABEL SUM(X) ''""), 0)"),0.15016203)</f>
        <v>0.15016203</v>
      </c>
      <c r="U76" s="117">
        <f>IFERROR(__xludf.DUMMYFUNCTION("IFNA(QUERY(OptionsPositions, ""SELECT AVG(Y) WHERE A = '"" &amp; A76 &amp; ""' LABEL AVG(Y) ''""), 0)"),32.0)</f>
        <v>32</v>
      </c>
      <c r="V76" s="121">
        <f>IFERROR(__xludf.DUMMYFUNCTION("IFNA(QUERY(OptionsPositions, ""SELECT SUM(Z) WHERE A = '"" &amp; A76 &amp; ""' LABEL SUM(Z) ''""), 0)"),398.63)</f>
        <v>398.63</v>
      </c>
      <c r="W76" s="117">
        <f>IFERROR(__xludf.DUMMYFUNCTION("IFNA(QUERY(OptionsPositions, ""SELECT AVG(AA) WHERE A = '"" &amp; A76 &amp; ""' LABEL AVG(AA) ''""), 0)"),-44314.42307692308)</f>
        <v>-44314.42308</v>
      </c>
      <c r="X76" s="122">
        <f>IFERROR(__xludf.DUMMYFUNCTION("IFNA(QUERY(OptionsPositions, ""SELECT AVG(AB) WHERE A = '"" &amp; A76 &amp; ""' LABEL AVG(AB) ''""), 0)"),55.95255439005439)</f>
        <v>55.95255439</v>
      </c>
      <c r="Y76" s="123">
        <f t="shared" si="3"/>
        <v>11.18857086</v>
      </c>
      <c r="Z76" s="118">
        <f>IFERROR(__xludf.DUMMYFUNCTION("QUERY(OptionsPositions, ""SELECT SUM(L) WHERE A = '"" &amp; A76 &amp; ""' LABEL SUM(L) ''"")"),4.71)</f>
        <v>4.71</v>
      </c>
    </row>
    <row r="77" ht="22.5" customHeight="1">
      <c r="A77" s="3" t="s">
        <v>374</v>
      </c>
      <c r="B77" s="112">
        <f>IFERROR(__xludf.DUMMYFUNCTION("IF(COUNT(QUERY(OptionsPositions, ""SELECT 1 WHERE A = '"" &amp; A77  &amp; ""' AND C is not null AND E is null""))&gt;0, QUERY(OptionsPositions, ""SELECT C WHERE A = '"" &amp; A77  &amp; ""' AND E is null ORDER BY C ASC LIMIT 1""), """")"),46087.0)</f>
        <v>46087</v>
      </c>
      <c r="C77" s="26" t="str">
        <f>IFERROR(__xludf.DUMMYFUNCTION("IF(COUNT(QUERY(OptionsPositions, ""SELECT 1 WHERE A = '"" &amp; A77  &amp; ""' AND C is not null AND E is null""))&gt;0, """", QUERY(OptionsPositions, ""SELECT E WHERE A = '"" &amp; A77  &amp; ""' ORDER BY E DESC LIMIT 1""))"),"")</f>
        <v/>
      </c>
      <c r="D77" s="113">
        <f>IF(OptionInstruments[Opened] &lt;&gt; "",IF(OptionInstruments[Closed] = "", TODAY(), OptionInstruments[Closed]) - OptionInstruments[Opened], "")</f>
        <v>13</v>
      </c>
      <c r="E77" s="113">
        <f>IFERROR(__xludf.DUMMYFUNCTION("IFNA(QUERY(OptionsPositions, ""SELECT D WHERE A = '"" &amp; A77 &amp; ""' AND E IS null ORDER BY D LIMIT 1"") - TODAY(), 0)"),91.0)</f>
        <v>91</v>
      </c>
      <c r="F77" s="114" t="str">
        <f t="shared" si="1"/>
        <v>Open</v>
      </c>
      <c r="G77" s="115" t="str">
        <f>IFERROR(__xludf.DUMMYFUNCTION("QUERY(TradeLog, ""SELECT G WHERE A = '"" &amp; A77 &amp; ""' ORDER BY G DESC LIMIT 1"")"),"Core")</f>
        <v>Core</v>
      </c>
      <c r="H77" s="116" t="str">
        <f>IFERROR(__xludf.DUMMYFUNCTION("IFNA(QUERY(TradeLog, ""SELECT C WHERE A = '"" &amp; A77 &amp; ""' ORDER BY B DESC LIMIT 1""), """")"),"Long Put Vertical")</f>
        <v>Long Put Vertical</v>
      </c>
      <c r="I77" s="14" t="str">
        <f>IFERROR(__xludf.DUMMYFUNCTION("TEXTJOIN("", "", TRUE,IFNA(QUERY(OptionsPositions, ""SELECT H WHERE A = '"" &amp; A77  &amp; ""' AND C is not null AND E is null ORDER BY H""), """"))"),"80, 90")</f>
        <v>80, 90</v>
      </c>
      <c r="J77" s="14" t="str">
        <f>IFERROR(__xludf.DUMMYFUNCTION("QUERY(TradeLog, ""SELECT S WHERE A = '"" &amp; A77 &amp; ""' ORDER BY B DESC LIMIT 1"")  "),"")</f>
        <v/>
      </c>
      <c r="K77" s="117">
        <f t="shared" si="2"/>
        <v>9.601</v>
      </c>
      <c r="L77" s="117">
        <f>IFERROR(__xludf.DUMMYFUNCTION("IFNA(QUERY(OptionsPositions, ""SELECT SUM(P) WHERE A = '"" &amp; A77 &amp; ""' LABEL SUM(P) ''""), 0)"),9.60099999999997)</f>
        <v>9.601</v>
      </c>
      <c r="M77" s="118">
        <f>IFERROR(__xludf.DUMMYFUNCTION("IFNA(ROUND(QUERY(OptionsPositions, ""SELECT AVG(Q) WHERE A = '"" &amp; A77 &amp; ""' LABEL AVG(Q) ''""), 2), 0)"),2.0)</f>
        <v>2</v>
      </c>
      <c r="N77" s="117">
        <f>IFERROR(__xludf.DUMMYFUNCTION("IFNA(QUERY(OptionsPositions, ""SELECT SUM(R) WHERE A = '"" &amp; A77 &amp; ""' LABEL SUM(R) ''""), 0)"),0.0)</f>
        <v>0</v>
      </c>
      <c r="O77" s="117">
        <f>IFERROR(__xludf.DUMMYFUNCTION("IFNA(QUERY(OptionsPositions, ""SELECT AVG(S) WHERE A = '"" &amp; A77 &amp; ""' LABEL AVG(S) ''""), 0)"),0.0)</f>
        <v>0</v>
      </c>
      <c r="P77" s="118">
        <f>IFERROR(__xludf.DUMMYFUNCTION("IFNA(QUERY(OptionsPositions, ""SELECT SUM(T) WHERE A = '"" &amp; A77 &amp; ""' LABEL SUM(T) ''""), 0)"),11.6)</f>
        <v>11.6</v>
      </c>
      <c r="Q77" s="119">
        <f>IFERROR(__xludf.DUMMYFUNCTION("IFNA(QUERY(OptionsPositions, ""SELECT SUM(U) WHERE A = '"" &amp; A77 &amp; ""' LABEL SUM(U) ''""), 0)"),-0.09571298000000003)</f>
        <v>-0.09571298</v>
      </c>
      <c r="R77" s="120">
        <f>IFERROR(__xludf.DUMMYFUNCTION("IFNA(QUERY(OptionsPositions, ""SELECT SUM(V) WHERE A = '"" &amp; A77 &amp; ""' LABEL SUM(V) ''""), 0)"),-0.01570924)</f>
        <v>-0.01570924</v>
      </c>
      <c r="S77" s="120">
        <f>IFERROR(__xludf.DUMMYFUNCTION("IFNA(QUERY(OptionsPositions, ""SELECT SUM(W) WHERE A = '"" &amp; A77 &amp; ""' LABEL SUM(W) ''""), 0)"),0.01464627)</f>
        <v>0.01464627</v>
      </c>
      <c r="T77" s="120">
        <f>IFERROR(__xludf.DUMMYFUNCTION("IFNA(QUERY(OptionsPositions, ""SELECT SUM(X) WHERE A = '"" &amp; A77 &amp; ""' LABEL SUM(X) ''""), 0)"),0.31876874)</f>
        <v>0.31876874</v>
      </c>
      <c r="U77" s="117">
        <f>IFERROR(__xludf.DUMMYFUNCTION("IFNA(QUERY(OptionsPositions, ""SELECT AVG(Y) WHERE A = '"" &amp; A77 &amp; ""' LABEL AVG(Y) ''""), 0)"),71.0)</f>
        <v>71</v>
      </c>
      <c r="V77" s="121">
        <f>IFERROR(__xludf.DUMMYFUNCTION("IFNA(QUERY(OptionsPositions, ""SELECT SUM(Z) WHERE A = '"" &amp; A77 &amp; ""' LABEL SUM(Z) ''""), 0)"),846.5699999999999)</f>
        <v>846.57</v>
      </c>
      <c r="W77" s="117">
        <f>IFERROR(__xludf.DUMMYFUNCTION("IFNA(QUERY(OptionsPositions, ""SELECT AVG(AA) WHERE A = '"" &amp; A77 &amp; ""' LABEL AVG(AA) ''""), 0)"),-44314.42307692308)</f>
        <v>-44314.42308</v>
      </c>
      <c r="X77" s="122">
        <f>IFERROR(__xludf.DUMMYFUNCTION("IFNA(QUERY(OptionsPositions, ""SELECT AVG(AB) WHERE A = '"" &amp; A77 &amp; ""' LABEL AVG(AB) ''""), 0)"),17725.76923076923)</f>
        <v>17725.76923</v>
      </c>
      <c r="Y77" s="123">
        <f t="shared" si="3"/>
        <v>1.134105862</v>
      </c>
      <c r="Z77" s="118">
        <f>IFERROR(__xludf.DUMMYFUNCTION("QUERY(OptionsPositions, ""SELECT SUM(L) WHERE A = '"" &amp; A77 &amp; ""' LABEL SUM(L) ''"")"),11.6)</f>
        <v>11.6</v>
      </c>
    </row>
  </sheetData>
  <conditionalFormatting sqref="K1:N77">
    <cfRule type="colorScale" priority="1">
      <colorScale>
        <cfvo type="min"/>
        <cfvo type="formula" val="0"/>
        <cfvo type="max"/>
        <color rgb="FFE67C73"/>
        <color rgb="FFFFFFFF"/>
        <color rgb="FF57BB8A"/>
      </colorScale>
    </cfRule>
  </conditionalFormatting>
  <dataValidations>
    <dataValidation type="list" allowBlank="1" sqref="F2:F77">
      <formula1>"Open,Closed"</formula1>
    </dataValidation>
    <dataValidation type="custom" allowBlank="1" showDropDown="1" sqref="L2:L77 N2:O77 Q2:R77 U2:V77 X2:Y77">
      <formula1>AND(ISNUMBER(L2),(NOT(OR(NOT(ISERROR(DATEVALUE(L2))), AND(ISNUMBER(L2), LEFT(CELL("format", L2))="D")))))</formula1>
    </dataValidation>
    <dataValidation type="list" allowBlank="1" sqref="G2:G77">
      <formula1>#REF!</formula1>
    </dataValidation>
    <dataValidation allowBlank="1" showDropDown="1" sqref="H2:H77"/>
    <dataValidation type="list" allowBlank="1" sqref="A2:A77">
      <formula1>#REF!</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3" max="3" width="13.63"/>
    <col customWidth="1" min="4" max="4" width="17.0"/>
    <col customWidth="1" min="5" max="5" width="20.25"/>
    <col customWidth="1" min="6" max="7" width="19.63"/>
    <col customWidth="1" min="8" max="8" width="9.75"/>
    <col customWidth="1" min="9" max="9" width="9.88"/>
    <col customWidth="1" min="10" max="10" width="10.25"/>
    <col customWidth="1" min="11" max="11" width="10.88"/>
  </cols>
  <sheetData>
    <row r="1" ht="22.5" customHeight="1">
      <c r="A1" s="1" t="s">
        <v>83</v>
      </c>
      <c r="B1" s="1" t="s">
        <v>425</v>
      </c>
      <c r="C1" s="36" t="s">
        <v>429</v>
      </c>
      <c r="D1" s="59" t="s">
        <v>58</v>
      </c>
      <c r="E1" s="1" t="s">
        <v>437</v>
      </c>
      <c r="F1" s="59" t="s">
        <v>438</v>
      </c>
      <c r="G1" s="59" t="s">
        <v>100</v>
      </c>
      <c r="H1" s="36" t="s">
        <v>432</v>
      </c>
      <c r="I1" s="36" t="s">
        <v>67</v>
      </c>
      <c r="J1" s="36" t="s">
        <v>433</v>
      </c>
      <c r="K1" s="33" t="s">
        <v>439</v>
      </c>
      <c r="L1" s="11" t="s">
        <v>80</v>
      </c>
    </row>
    <row r="2" ht="22.5" customHeight="1">
      <c r="A2" s="3" t="s">
        <v>117</v>
      </c>
      <c r="B2" s="112" t="str">
        <f>IFERROR(__xludf.DUMMYFUNCTION("IF(QUERY(StockTrades, ""SELECT F WHERE A = '"" &amp; A2  &amp; ""' ORDER BY B DESC LIMIT 1"")&gt;0, QUERY(StockTrades, ""SELECT B WHERE A = '"" &amp; A2  &amp; ""' AND E = 0 ORDER BY B DESC LIMIT 1""), """")"),"")</f>
        <v/>
      </c>
      <c r="C2" s="114" t="str">
        <f t="shared" ref="C2:C10" si="1">If(B2="", "Open", "Closed")</f>
        <v>Open</v>
      </c>
      <c r="D2" s="115" t="str">
        <f>IFERROR(__xludf.DUMMYFUNCTION("QUERY(TradeLog, ""SELECT G WHERE A = '"" &amp; A2 &amp; ""' ORDER BY G DESC LIMIT 1"")"),"Speculative")</f>
        <v>Speculative</v>
      </c>
      <c r="E2" s="116" t="str">
        <f>IFERROR(__xludf.DUMMYFUNCTION("IFNA(QUERY(TradeLog, ""SELECT C WHERE A = '"" &amp; A2 &amp; ""' ORDER BY B DESC LIMIT 1""), """")"),"Long Stock")</f>
        <v>Long Stock</v>
      </c>
      <c r="F2" s="14" t="str">
        <f>IFERROR(__xludf.DUMMYFUNCTION("IF(B2&lt;&gt;"""", GOOGLEFINANCE(A2, ""price""), """")"),"")</f>
        <v/>
      </c>
      <c r="G2" s="14" t="str">
        <f>IFERROR(__xludf.DUMMYFUNCTION("QUERY(TradeLog, ""SELECT S WHERE A = '"" &amp; A2 &amp; ""' ORDER BY B DESC LIMIT 1"")  "),"10 EMA")</f>
        <v>10 EMA</v>
      </c>
      <c r="H2" s="117">
        <f t="shared" ref="H2:H10" si="2">I2+K2</f>
        <v>2.05</v>
      </c>
      <c r="I2" s="117" t="str">
        <f>IFERROR(__xludf.DUMMYFUNCTION("IFERROR(QUERY(QUERY(StockTrades, ""SELECT F * ( G - "" &amp; F2 &amp; "" ) WHERE A = '"" &amp; A2 &amp; ""' ORDER BY B DESC LIMIT 1""), ""offset 1"", 0), """")"),"")</f>
        <v/>
      </c>
      <c r="J2" s="101" t="str">
        <f>IFERROR(__xludf.DUMMYFUNCTION("IFERROR(QUERY(QUERY(StockTrades, ""SELECT ""&amp;I2&amp;""*100/(G * F) WHERE A = '"" &amp; A2 &amp; ""' ORDER BY B DESC LIMIT 1""), ""offset 1"", 0), """")"),"")</f>
        <v/>
      </c>
      <c r="K2" s="117">
        <f>IFERROR(__xludf.DUMMYFUNCTION("IFNA(QUERY(StockTrades, ""SELECT SUM(I) WHERE A = '"" &amp; A2 &amp; ""' LABEL SUM(I) ''""), 0)"),2.0500000000000007)</f>
        <v>2.05</v>
      </c>
      <c r="L2" s="118">
        <f>IFERROR(__xludf.DUMMYFUNCTION("QUERY(StockTrades, ""SELECT SUM(H) WHERE A = '"" &amp; A2 &amp; ""' LABEL SUM(H) ''"")"),1.0)</f>
        <v>1</v>
      </c>
    </row>
    <row r="3" ht="22.5" customHeight="1">
      <c r="A3" s="3" t="s">
        <v>124</v>
      </c>
      <c r="B3" s="112" t="str">
        <f>IFERROR(__xludf.DUMMYFUNCTION("IF(QUERY(StockTrades, ""SELECT F WHERE A = '"" &amp; A3  &amp; ""' ORDER BY B DESC LIMIT 1"")&gt;0, QUERY(StockTrades, ""SELECT B WHERE A = '"" &amp; A3  &amp; ""' AND E = 0 ORDER BY B DESC LIMIT 1""), """")"),"")</f>
        <v/>
      </c>
      <c r="C3" s="114" t="str">
        <f t="shared" si="1"/>
        <v>Open</v>
      </c>
      <c r="D3" s="115" t="str">
        <f>IFERROR(__xludf.DUMMYFUNCTION("QUERY(TradeLog, ""SELECT G WHERE A = '"" &amp; A3 &amp; ""' ORDER BY G DESC LIMIT 1"")"),"Speculative")</f>
        <v>Speculative</v>
      </c>
      <c r="E3" s="116" t="str">
        <f>IFERROR(__xludf.DUMMYFUNCTION("IFNA(QUERY(TradeLog, ""SELECT C WHERE A = '"" &amp; A3 &amp; ""' ORDER BY B DESC LIMIT 1""), """")"),"Long Stock")</f>
        <v>Long Stock</v>
      </c>
      <c r="F3" s="14" t="str">
        <f>IFERROR(__xludf.DUMMYFUNCTION("IF(B3&lt;&gt;"""", GOOGLEFINANCE(A3, ""price""), """")"),"")</f>
        <v/>
      </c>
      <c r="G3" s="14" t="str">
        <f>IFERROR(__xludf.DUMMYFUNCTION("QUERY(TradeLog, ""SELECT S WHERE A = '"" &amp; A3 &amp; ""' ORDER BY B DESC LIMIT 1"")  "),"10 EMA")</f>
        <v>10 EMA</v>
      </c>
      <c r="H3" s="117">
        <f t="shared" si="2"/>
        <v>-1.2</v>
      </c>
      <c r="I3" s="117" t="str">
        <f>IFERROR(__xludf.DUMMYFUNCTION("IFERROR(QUERY(QUERY(StockTrades, ""SELECT F * ( G - "" &amp; F3 &amp; "" ) WHERE A = '"" &amp; A3 &amp; ""' ORDER BY B DESC LIMIT 1""), ""offset 1"", 0), """")"),"")</f>
        <v/>
      </c>
      <c r="J3" s="101" t="str">
        <f>IFERROR(__xludf.DUMMYFUNCTION("IFERROR(ROUND(QUERY(QUERY(StockTrades, ""SELECT ""&amp;I3&amp;""*100/(G * F) WHERE A = '"" &amp; A3 &amp; ""' ORDER BY B DESC LIMIT 1""), ""offset 1"", 0), 1), """")"),"")</f>
        <v/>
      </c>
      <c r="K3" s="117">
        <f>IFERROR(__xludf.DUMMYFUNCTION("IFNA(QUERY(StockTrades, ""SELECT SUM(I) WHERE A = '"" &amp; A3 &amp; ""' LABEL SUM(I) ''""), 0)"),-1.1999999999999744)</f>
        <v>-1.2</v>
      </c>
      <c r="L3" s="118">
        <f>IFERROR(__xludf.DUMMYFUNCTION("QUERY(StockTrades, ""SELECT SUM(H) WHERE A = '"" &amp; A3 &amp; ""' LABEL SUM(H) ''"")"),1.0)</f>
        <v>1</v>
      </c>
    </row>
    <row r="4" ht="22.5" customHeight="1">
      <c r="A4" s="3" t="s">
        <v>290</v>
      </c>
      <c r="B4" s="112" t="str">
        <f>IFERROR(__xludf.DUMMYFUNCTION("IF(QUERY(StockTrades, ""SELECT F WHERE A = '"" &amp; A4  &amp; ""' ORDER BY B DESC LIMIT 1"")&gt;0, QUERY(StockTrades, ""SELECT B WHERE A = '"" &amp; A4  &amp; ""' AND E = 0 ORDER BY B DESC LIMIT 1""), """")"),"")</f>
        <v/>
      </c>
      <c r="C4" s="114" t="str">
        <f t="shared" si="1"/>
        <v>Open</v>
      </c>
      <c r="D4" s="115" t="str">
        <f>IFERROR(__xludf.DUMMYFUNCTION("QUERY(TradeLog, ""SELECT G WHERE A = '"" &amp; A4 &amp; ""' ORDER BY G DESC LIMIT 1"")"),"Speculative")</f>
        <v>Speculative</v>
      </c>
      <c r="E4" s="116" t="str">
        <f>IFERROR(__xludf.DUMMYFUNCTION("IFNA(QUERY(TradeLog, ""SELECT C WHERE A = '"" &amp; A4 &amp; ""' ORDER BY B DESC LIMIT 1""), """")"),"Long Stock")</f>
        <v>Long Stock</v>
      </c>
      <c r="F4" s="14" t="str">
        <f>IFERROR(__xludf.DUMMYFUNCTION("IF(B4&lt;&gt;"""", GOOGLEFINANCE(A4, ""price""), """")"),"")</f>
        <v/>
      </c>
      <c r="G4" s="14" t="str">
        <f>IFERROR(__xludf.DUMMYFUNCTION("QUERY(TradeLog, ""SELECT S WHERE A = '"" &amp; A4 &amp; ""' ORDER BY B DESC LIMIT 1"")  "),"10 EMA")</f>
        <v>10 EMA</v>
      </c>
      <c r="H4" s="117">
        <f t="shared" si="2"/>
        <v>-3.25</v>
      </c>
      <c r="I4" s="117" t="str">
        <f>IFERROR(__xludf.DUMMYFUNCTION("IFERROR(QUERY(QUERY(StockTrades, ""SELECT F * ( G - "" &amp; F4 &amp; "" ) WHERE A = '"" &amp; A4 &amp; ""' ORDER BY B DESC LIMIT 1""), ""offset 1"", 0), """")"),"")</f>
        <v/>
      </c>
      <c r="J4" s="101" t="str">
        <f>IFERROR(__xludf.DUMMYFUNCTION("IFERROR(ROUND(QUERY(QUERY(StockTrades, ""SELECT ""&amp;I4&amp;""*100/(G * F) WHERE A = '"" &amp; A4 &amp; ""' ORDER BY B DESC LIMIT 1""), ""offset 1"", 0), 1), """")"),"")</f>
        <v/>
      </c>
      <c r="K4" s="117">
        <f>IFERROR(__xludf.DUMMYFUNCTION("IFNA(QUERY(StockTrades, ""SELECT SUM(I) WHERE A = '"" &amp; A4 &amp; ""' LABEL SUM(I) ''""), 0)"),-3.249999999999993)</f>
        <v>-3.25</v>
      </c>
      <c r="L4" s="118">
        <f>IFERROR(__xludf.DUMMYFUNCTION("QUERY(StockTrades, ""SELECT SUM(H) WHERE A = '"" &amp; A4 &amp; ""' LABEL SUM(H) ''"")"),1.0)</f>
        <v>1</v>
      </c>
    </row>
    <row r="5" ht="22.5" customHeight="1">
      <c r="A5" s="3" t="s">
        <v>362</v>
      </c>
      <c r="B5" s="112" t="str">
        <f>IFERROR(__xludf.DUMMYFUNCTION("IF(QUERY(StockTrades, ""SELECT F WHERE A = '"" &amp; A5  &amp; ""' ORDER BY B DESC LIMIT 1"")&gt;0, QUERY(StockTrades, ""SELECT B WHERE A = '"" &amp; A5  &amp; ""' AND E = 0 ORDER BY B DESC LIMIT 1""), """")"),"")</f>
        <v/>
      </c>
      <c r="C5" s="114" t="str">
        <f t="shared" si="1"/>
        <v>Open</v>
      </c>
      <c r="D5" s="115" t="str">
        <f>IFERROR(__xludf.DUMMYFUNCTION("QUERY(TradeLog, ""SELECT G WHERE A = '"" &amp; A5 &amp; ""' ORDER BY G DESC LIMIT 1"")"),"Speculative")</f>
        <v>Speculative</v>
      </c>
      <c r="E5" s="116" t="str">
        <f>IFERROR(__xludf.DUMMYFUNCTION("IFNA(QUERY(TradeLog, ""SELECT C WHERE A = '"" &amp; A5 &amp; ""' ORDER BY B DESC LIMIT 1""), """")"),"Long Stock")</f>
        <v>Long Stock</v>
      </c>
      <c r="F5" s="14" t="str">
        <f>IFERROR(__xludf.DUMMYFUNCTION("IF(B5&lt;&gt;"""", GOOGLEFINANCE(A5, ""price""), """")"),"")</f>
        <v/>
      </c>
      <c r="G5" s="14" t="str">
        <f>IFERROR(__xludf.DUMMYFUNCTION("QUERY(TradeLog, ""SELECT S WHERE A = '"" &amp; A5 &amp; ""' ORDER BY B DESC LIMIT 1"")  "),"")</f>
        <v/>
      </c>
      <c r="H5" s="117">
        <f t="shared" si="2"/>
        <v>37.8</v>
      </c>
      <c r="I5" s="117" t="str">
        <f>IFERROR(__xludf.DUMMYFUNCTION("IFERROR(QUERY(QUERY(StockTrades, ""SELECT F * ( G - "" &amp; F5 &amp; "" ) WHERE A = '"" &amp; A5 &amp; ""' ORDER BY B DESC LIMIT 1""), ""offset 1"", 0), """")"),"")</f>
        <v/>
      </c>
      <c r="J5" s="101" t="str">
        <f>IFERROR(__xludf.DUMMYFUNCTION("IFERROR(ROUND(QUERY(QUERY(StockTrades, ""SELECT ""&amp;I5&amp;""*100/(G * F) WHERE A = '"" &amp; A5 &amp; ""' ORDER BY B DESC LIMIT 1""), ""offset 1"", 0), 1), """")"),"")</f>
        <v/>
      </c>
      <c r="K5" s="117">
        <f>IFERROR(__xludf.DUMMYFUNCTION("IFNA(QUERY(StockTrades, ""SELECT SUM(I) WHERE A = '"" &amp; A5 &amp; ""' LABEL SUM(I) ''""), 0)"),37.80000000000001)</f>
        <v>37.8</v>
      </c>
      <c r="L5" s="118">
        <f>IFERROR(__xludf.DUMMYFUNCTION("QUERY(StockTrades, ""SELECT SUM(H) WHERE A = '"" &amp; A5 &amp; ""' LABEL SUM(H) ''"")"),1.0)</f>
        <v>1</v>
      </c>
    </row>
    <row r="6" ht="22.5" customHeight="1">
      <c r="A6" s="3" t="s">
        <v>399</v>
      </c>
      <c r="B6" s="112" t="str">
        <f>IFERROR(__xludf.DUMMYFUNCTION("IF(QUERY(StockTrades, ""SELECT F WHERE A = '"" &amp; A6  &amp; ""' ORDER BY B DESC LIMIT 1"")&gt;0, QUERY(StockTrades, ""SELECT B WHERE A = '"" &amp; A6  &amp; ""' AND E = 0 ORDER BY B DESC LIMIT 1""), """")"),"")</f>
        <v/>
      </c>
      <c r="C6" s="114" t="str">
        <f t="shared" si="1"/>
        <v>Open</v>
      </c>
      <c r="D6" s="115" t="str">
        <f>IFERROR(__xludf.DUMMYFUNCTION("QUERY(TradeLog, ""SELECT G WHERE A = '"" &amp; A6 &amp; ""' ORDER BY G DESC LIMIT 1"")"),"Speculative")</f>
        <v>Speculative</v>
      </c>
      <c r="E6" s="116" t="str">
        <f>IFERROR(__xludf.DUMMYFUNCTION("IFNA(QUERY(TradeLog, ""SELECT C WHERE A = '"" &amp; A6 &amp; ""' ORDER BY B DESC LIMIT 1""), """")"),"Long Stock")</f>
        <v>Long Stock</v>
      </c>
      <c r="F6" s="14" t="str">
        <f>IFERROR(__xludf.DUMMYFUNCTION("IF(B6&lt;&gt;"""", GOOGLEFINANCE(A6, ""price""), """")"),"")</f>
        <v/>
      </c>
      <c r="G6" s="14" t="str">
        <f>IFERROR(__xludf.DUMMYFUNCTION("QUERY(TradeLog, ""SELECT S WHERE A = '"" &amp; A6 &amp; ""' ORDER BY B DESC LIMIT 1"")  "),"")</f>
        <v/>
      </c>
      <c r="H6" s="117">
        <f t="shared" si="2"/>
        <v>-21.9</v>
      </c>
      <c r="I6" s="117" t="str">
        <f>IFERROR(__xludf.DUMMYFUNCTION("IFERROR(QUERY(QUERY(StockTrades, ""SELECT F * ( G - "" &amp; F6 &amp; "" ) WHERE A = '"" &amp; A6 &amp; ""' ORDER BY B DESC LIMIT 1""), ""offset 1"", 0), """")"),"")</f>
        <v/>
      </c>
      <c r="J6" s="101" t="str">
        <f>IFERROR(__xludf.DUMMYFUNCTION("IFERROR(ROUND(QUERY(QUERY(StockTrades, ""SELECT ""&amp;I6&amp;""*100/(G * F) WHERE A = '"" &amp; A6 &amp; ""' ORDER BY B DESC LIMIT 1""), ""offset 1"", 0), 1), """")"),"")</f>
        <v/>
      </c>
      <c r="K6" s="117">
        <f>IFERROR(__xludf.DUMMYFUNCTION("IFNA(QUERY(StockTrades, ""SELECT SUM(I) WHERE A = '"" &amp; A6 &amp; ""' LABEL SUM(I) ''""), 0)"),-21.899999999999977)</f>
        <v>-21.9</v>
      </c>
      <c r="L6" s="118">
        <f>IFERROR(__xludf.DUMMYFUNCTION("QUERY(StockTrades, ""SELECT SUM(H) WHERE A = '"" &amp; A6 &amp; ""' LABEL SUM(H) ''"")"),1.0)</f>
        <v>1</v>
      </c>
    </row>
    <row r="7" ht="22.5" customHeight="1">
      <c r="A7" s="3" t="s">
        <v>213</v>
      </c>
      <c r="B7" s="112" t="str">
        <f>IFERROR(__xludf.DUMMYFUNCTION("IF(QUERY(StockTrades, ""SELECT F WHERE A = '"" &amp; A7  &amp; ""' ORDER BY B DESC LIMIT 1"")&gt;0, QUERY(StockTrades, ""SELECT B WHERE A = '"" &amp; A7  &amp; ""' AND E = 0 ORDER BY B DESC LIMIT 1""), """")"),"")</f>
        <v/>
      </c>
      <c r="C7" s="114" t="str">
        <f t="shared" si="1"/>
        <v>Open</v>
      </c>
      <c r="D7" s="115" t="str">
        <f>IFERROR(__xludf.DUMMYFUNCTION("QUERY(TradeLog, ""SELECT G WHERE A = '"" &amp; A7 &amp; ""' ORDER BY G DESC LIMIT 1"")"),"Speculative")</f>
        <v>Speculative</v>
      </c>
      <c r="E7" s="116" t="str">
        <f>IFERROR(__xludf.DUMMYFUNCTION("IFNA(QUERY(TradeLog, ""SELECT C WHERE A = '"" &amp; A7 &amp; ""' ORDER BY B DESC LIMIT 1""), """")"),"Long Stock")</f>
        <v>Long Stock</v>
      </c>
      <c r="F7" s="14" t="str">
        <f>IFERROR(__xludf.DUMMYFUNCTION("IF(B7&lt;&gt;"""", GOOGLEFINANCE(A7, ""price""), """")"),"")</f>
        <v/>
      </c>
      <c r="G7" s="14" t="str">
        <f>IFERROR(__xludf.DUMMYFUNCTION("QUERY(TradeLog, ""SELECT S WHERE A = '"" &amp; A7 &amp; ""' ORDER BY B DESC LIMIT 1"")  "),"10 EMA")</f>
        <v>10 EMA</v>
      </c>
      <c r="H7" s="117">
        <f t="shared" si="2"/>
        <v>-3.4</v>
      </c>
      <c r="I7" s="117" t="str">
        <f>IFERROR(__xludf.DUMMYFUNCTION("IFERROR(QUERY(QUERY(StockTrades, ""SELECT F * ( G - "" &amp; F7 &amp; "" ) WHERE A = '"" &amp; A7 &amp; ""' ORDER BY B DESC LIMIT 1""), ""offset 1"", 0), """")"),"")</f>
        <v/>
      </c>
      <c r="J7" s="101" t="str">
        <f>IFERROR(__xludf.DUMMYFUNCTION("IFERROR(ROUND(QUERY(QUERY(StockTrades, ""SELECT ""&amp;I7&amp;""*100/(G * F) WHERE A = '"" &amp; A7 &amp; ""' ORDER BY B DESC LIMIT 1""), ""offset 1"", 0), 1), """")"),"")</f>
        <v/>
      </c>
      <c r="K7" s="117">
        <f>IFERROR(__xludf.DUMMYFUNCTION("IFNA(QUERY(StockTrades, ""SELECT SUM(I) WHERE A = '"" &amp; A7 &amp; ""' LABEL SUM(I) ''""), 0)"),-3.400000000000034)</f>
        <v>-3.4</v>
      </c>
      <c r="L7" s="118">
        <f>IFERROR(__xludf.DUMMYFUNCTION("QUERY(StockTrades, ""SELECT SUM(H) WHERE A = '"" &amp; A7 &amp; ""' LABEL SUM(H) ''"")"),2.0)</f>
        <v>2</v>
      </c>
    </row>
    <row r="8" ht="22.5" customHeight="1">
      <c r="A8" s="3" t="s">
        <v>401</v>
      </c>
      <c r="B8" s="112">
        <f>IFERROR(__xludf.DUMMYFUNCTION("IF(QUERY(StockTrades, ""SELECT F WHERE A = '"" &amp; A8  &amp; ""' ORDER BY B DESC LIMIT 1"")&gt;0, QUERY(StockTrades, ""SELECT B WHERE A = '"" &amp; A8  &amp; ""' AND E = 0 ORDER BY B DESC LIMIT 1""), """")"),46085.0)</f>
        <v>46085</v>
      </c>
      <c r="C8" s="114" t="str">
        <f t="shared" si="1"/>
        <v>Closed</v>
      </c>
      <c r="D8" s="115" t="str">
        <f>IFERROR(__xludf.DUMMYFUNCTION("QUERY(TradeLog, ""SELECT G WHERE A = '"" &amp; A8 &amp; ""' ORDER BY G DESC LIMIT 1"")"),"Speculative")</f>
        <v>Speculative</v>
      </c>
      <c r="E8" s="116" t="str">
        <f>IFERROR(__xludf.DUMMYFUNCTION("IFNA(QUERY(TradeLog, ""SELECT C WHERE A = '"" &amp; A8 &amp; ""' ORDER BY B DESC LIMIT 1""), """")"),"Long Stock")</f>
        <v>Long Stock</v>
      </c>
      <c r="F8" s="14">
        <f>IFERROR(__xludf.DUMMYFUNCTION("IF(B8&lt;&gt;"""", GOOGLEFINANCE(A8, ""price""), """")"),28.12)</f>
        <v>28.12</v>
      </c>
      <c r="G8" s="14" t="str">
        <f>IFERROR(__xludf.DUMMYFUNCTION("QUERY(TradeLog, ""SELECT S WHERE A = '"" &amp; A8 &amp; ""' ORDER BY B DESC LIMIT 1"")  "),"")</f>
        <v/>
      </c>
      <c r="H8" s="117">
        <f t="shared" si="2"/>
        <v>10.55</v>
      </c>
      <c r="I8" s="117">
        <f>IFERROR(__xludf.DUMMYFUNCTION("IFERROR(QUERY(QUERY(StockTrades, ""SELECT F * ( G - "" &amp; F8 &amp; "" ) WHERE A = '"" &amp; A8 &amp; ""' ORDER BY B DESC LIMIT 1""), ""offset 1"", 0), """")"),10.549999999999997)</f>
        <v>10.55</v>
      </c>
      <c r="J8" s="101">
        <f>IFERROR(__xludf.DUMMYFUNCTION("IFERROR(ROUND(QUERY(QUERY(StockTrades, ""SELECT ""&amp;I8&amp;""*100/(G * F) WHERE A = '"" &amp; A8 &amp; ""' ORDER BY B DESC LIMIT 1""), ""offset 1"", 0), 1), """")"),3.6)</f>
        <v>3.6</v>
      </c>
      <c r="K8" s="117">
        <f>IFERROR(__xludf.DUMMYFUNCTION("IFNA(QUERY(StockTrades, ""SELECT SUM(I) WHERE A = '"" &amp; A8 &amp; ""' LABEL SUM(I) ''""), 0)"),0.0)</f>
        <v>0</v>
      </c>
      <c r="L8" s="118">
        <f>IFERROR(__xludf.DUMMYFUNCTION("QUERY(StockTrades, ""SELECT SUM(H) WHERE A = '"" &amp; A8 &amp; ""' LABEL SUM(H) ''"")"),1.0)</f>
        <v>1</v>
      </c>
    </row>
    <row r="9" ht="22.5" customHeight="1">
      <c r="A9" s="3"/>
      <c r="B9" s="112" t="str">
        <f>IFERROR(__xludf.DUMMYFUNCTION("IF(QUERY(StockTrades, ""SELECT F WHERE A = '"" &amp; A9  &amp; ""' ORDER BY B DESC LIMIT 1"")&gt;0, QUERY(StockTrades, ""SELECT B WHERE A = '"" &amp; A9  &amp; ""' AND E = 0 ORDER BY B DESC LIMIT 1""), """")"),"#N/A")</f>
        <v>#N/A</v>
      </c>
      <c r="C9" s="114" t="str">
        <f t="shared" si="1"/>
        <v>#N/A</v>
      </c>
      <c r="D9" s="115" t="str">
        <f>IFERROR(__xludf.DUMMYFUNCTION("QUERY(TradeLog, ""SELECT G WHERE A = '"" &amp; A9 &amp; ""' ORDER BY G DESC LIMIT 1"")"),"")</f>
        <v/>
      </c>
      <c r="E9" s="116" t="str">
        <f>IFERROR(__xludf.DUMMYFUNCTION("IFNA(QUERY(TradeLog, ""SELECT C WHERE A = '"" &amp; A9 &amp; ""' ORDER BY B DESC LIMIT 1""), """")"),"")</f>
        <v/>
      </c>
      <c r="F9" s="14" t="str">
        <f>IFERROR(__xludf.DUMMYFUNCTION("IF(B9&lt;&gt;"""", GOOGLEFINANCE(A9, ""price""), """")"),"#N/A")</f>
        <v>#N/A</v>
      </c>
      <c r="G9" s="14" t="str">
        <f>IFERROR(__xludf.DUMMYFUNCTION("QUERY(TradeLog, ""SELECT S WHERE A = '"" &amp; A9 &amp; ""' ORDER BY B DESC LIMIT 1"")  "),"")</f>
        <v/>
      </c>
      <c r="H9" s="117">
        <f t="shared" si="2"/>
        <v>0</v>
      </c>
      <c r="I9" s="117" t="str">
        <f>IFERROR(__xludf.DUMMYFUNCTION("IFERROR(QUERY(QUERY(StockTrades, ""SELECT F * ( G - "" &amp; F9 &amp; "" ) WHERE A = '"" &amp; A9 &amp; ""' ORDER BY B DESC LIMIT 1""), ""offset 1"", 0), """")"),"")</f>
        <v/>
      </c>
      <c r="J9" s="101" t="str">
        <f>IFERROR(__xludf.DUMMYFUNCTION("IFERROR(ROUND(QUERY(QUERY(StockTrades, ""SELECT ""&amp;I9&amp;""*100/(G * F) WHERE A = '"" &amp; A9 &amp; ""' ORDER BY B DESC LIMIT 1""), ""offset 1"", 0), 1), """")"),"")</f>
        <v/>
      </c>
      <c r="K9" s="117">
        <f>IFERROR(__xludf.DUMMYFUNCTION("IFNA(QUERY(StockTrades, ""SELECT SUM(I) WHERE A = '"" &amp; A9 &amp; ""' LABEL SUM(I) ''""), 0)"),0.0)</f>
        <v>0</v>
      </c>
      <c r="L9" s="118" t="str">
        <f>IFERROR(__xludf.DUMMYFUNCTION("QUERY(StockTrades, ""SELECT SUM(H) WHERE A = '"" &amp; A9 &amp; ""' LABEL SUM(H) ''"")"),"#N/A")</f>
        <v>#N/A</v>
      </c>
    </row>
    <row r="10" ht="22.5" customHeight="1">
      <c r="A10" s="3"/>
      <c r="B10" s="112" t="str">
        <f>IFERROR(__xludf.DUMMYFUNCTION("IF(QUERY(StockTrades, ""SELECT F WHERE A = '"" &amp; A10  &amp; ""' ORDER BY B DESC LIMIT 1"")&gt;0, QUERY(StockTrades, ""SELECT B WHERE A = '"" &amp; A10  &amp; ""' AND E = 0 ORDER BY B DESC LIMIT 1""), """")"),"#N/A")</f>
        <v>#N/A</v>
      </c>
      <c r="C10" s="114" t="str">
        <f t="shared" si="1"/>
        <v>#N/A</v>
      </c>
      <c r="D10" s="115" t="str">
        <f>IFERROR(__xludf.DUMMYFUNCTION("QUERY(TradeLog, ""SELECT G WHERE A = '"" &amp; A10 &amp; ""' ORDER BY G DESC LIMIT 1"")"),"")</f>
        <v/>
      </c>
      <c r="E10" s="116" t="str">
        <f>IFERROR(__xludf.DUMMYFUNCTION("IFNA(QUERY(TradeLog, ""SELECT C WHERE A = '"" &amp; A10 &amp; ""' ORDER BY B DESC LIMIT 1""), """")"),"")</f>
        <v/>
      </c>
      <c r="F10" s="14" t="str">
        <f>IFERROR(__xludf.DUMMYFUNCTION("IF(B10&lt;&gt;"""", GOOGLEFINANCE(A10, ""price""), """")"),"#N/A")</f>
        <v>#N/A</v>
      </c>
      <c r="G10" s="14" t="str">
        <f>IFERROR(__xludf.DUMMYFUNCTION("QUERY(TradeLog, ""SELECT S WHERE A = '"" &amp; A10 &amp; ""' ORDER BY B DESC LIMIT 1"")  "),"")</f>
        <v/>
      </c>
      <c r="H10" s="117">
        <f t="shared" si="2"/>
        <v>0</v>
      </c>
      <c r="I10" s="117" t="str">
        <f>IFERROR(__xludf.DUMMYFUNCTION("IFERROR(QUERY(QUERY(StockTrades, ""SELECT F * ( G - "" &amp; F10 &amp; "" ) WHERE A = '"" &amp; A10 &amp; ""' ORDER BY B DESC LIMIT 1""), ""offset 1"", 0), """")"),"")</f>
        <v/>
      </c>
      <c r="J10" s="101" t="str">
        <f>IFERROR(__xludf.DUMMYFUNCTION("IFERROR(ROUND(QUERY(QUERY(StockTrades, ""SELECT ""&amp;I10&amp;""*100/(G * F) WHERE A = '"" &amp; A10 &amp; ""' ORDER BY B DESC LIMIT 1""), ""offset 1"", 0), 1), """")"),"")</f>
        <v/>
      </c>
      <c r="K10" s="117">
        <f>IFERROR(__xludf.DUMMYFUNCTION("IFNA(QUERY(StockTrades, ""SELECT SUM(I) WHERE A = '"" &amp; A10 &amp; ""' LABEL SUM(I) ''""), 0)"),0.0)</f>
        <v>0</v>
      </c>
      <c r="L10" s="118" t="str">
        <f>IFERROR(__xludf.DUMMYFUNCTION("QUERY(StockTrades, ""SELECT SUM(H) WHERE A = '"" &amp; A10 &amp; ""' LABEL SUM(H) ''"")"),"#N/A")</f>
        <v>#N/A</v>
      </c>
    </row>
  </sheetData>
  <conditionalFormatting sqref="H1:J10">
    <cfRule type="colorScale" priority="1">
      <colorScale>
        <cfvo type="min"/>
        <cfvo type="formula" val="0"/>
        <cfvo type="max"/>
        <color rgb="FFE67C73"/>
        <color rgb="FFFFFFFF"/>
        <color rgb="FF57BB8A"/>
      </colorScale>
    </cfRule>
  </conditionalFormatting>
  <dataValidations>
    <dataValidation type="list" allowBlank="1" sqref="C2:C10">
      <formula1>"Open,Closed"</formula1>
    </dataValidation>
    <dataValidation type="custom" allowBlank="1" showDropDown="1" sqref="I2:K10">
      <formula1>AND(ISNUMBER(I2),(NOT(OR(NOT(ISERROR(DATEVALUE(I2))), AND(ISNUMBER(I2), LEFT(CELL("format", I2))="D")))))</formula1>
    </dataValidation>
    <dataValidation type="list" allowBlank="1" sqref="D2:D10">
      <formula1>#REF!</formula1>
    </dataValidation>
    <dataValidation allowBlank="1" showDropDown="1" sqref="E2:E10"/>
    <dataValidation type="list" allowBlank="1" sqref="A2:A10">
      <formula1>#REF!</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3.13"/>
    <col customWidth="1" min="3" max="3" width="14.5"/>
    <col customWidth="1" min="4" max="4" width="13.75"/>
    <col customWidth="1" min="5" max="5" width="12.63"/>
    <col customWidth="1" min="6" max="6" width="5.75"/>
    <col customWidth="1" min="7" max="7" width="6.13"/>
    <col customWidth="1" min="8" max="8" width="10.5"/>
    <col customWidth="1" min="9" max="9" width="9.0"/>
    <col customWidth="1" min="10" max="10" width="6.75"/>
    <col customWidth="1" min="11" max="11" width="8.88"/>
    <col customWidth="1" min="12" max="12" width="9.25"/>
    <col customWidth="1" min="13" max="13" width="9.63"/>
    <col customWidth="1" min="14" max="14" width="7.13"/>
    <col customWidth="1" min="15" max="16" width="10.5"/>
    <col customWidth="1" min="17" max="17" width="8.5"/>
    <col customWidth="1" min="18" max="18" width="9.88"/>
    <col customWidth="1" min="19" max="19" width="6.88"/>
    <col customWidth="1" min="20" max="20" width="9.38"/>
    <col customWidth="1" min="25" max="25" width="7.0"/>
    <col customWidth="1" min="26" max="26" width="10.25"/>
    <col customWidth="1" min="27" max="28" width="13.38"/>
    <col customWidth="1" min="29" max="29" width="10.13"/>
  </cols>
  <sheetData>
    <row r="1" ht="22.5" customHeight="1">
      <c r="A1" s="1" t="s">
        <v>83</v>
      </c>
      <c r="B1" s="1" t="s">
        <v>440</v>
      </c>
      <c r="C1" s="36" t="s">
        <v>425</v>
      </c>
      <c r="D1" s="36" t="s">
        <v>441</v>
      </c>
      <c r="E1" s="124" t="s">
        <v>426</v>
      </c>
      <c r="F1" s="36" t="s">
        <v>442</v>
      </c>
      <c r="G1" s="36" t="s">
        <v>443</v>
      </c>
      <c r="H1" s="125" t="s">
        <v>444</v>
      </c>
      <c r="I1" s="36" t="s">
        <v>445</v>
      </c>
      <c r="J1" s="36" t="s">
        <v>446</v>
      </c>
      <c r="K1" s="1" t="s">
        <v>447</v>
      </c>
      <c r="L1" s="1" t="s">
        <v>448</v>
      </c>
      <c r="M1" s="36" t="s">
        <v>449</v>
      </c>
      <c r="N1" s="1" t="s">
        <v>450</v>
      </c>
      <c r="O1" s="1" t="s">
        <v>67</v>
      </c>
      <c r="P1" s="1" t="s">
        <v>451</v>
      </c>
      <c r="Q1" s="1" t="s">
        <v>433</v>
      </c>
      <c r="R1" s="126" t="s">
        <v>69</v>
      </c>
      <c r="S1" s="127" t="s">
        <v>70</v>
      </c>
      <c r="T1" s="128" t="s">
        <v>435</v>
      </c>
      <c r="U1" s="33" t="s">
        <v>71</v>
      </c>
      <c r="V1" s="33" t="s">
        <v>72</v>
      </c>
      <c r="W1" s="33" t="s">
        <v>74</v>
      </c>
      <c r="X1" s="33" t="s">
        <v>73</v>
      </c>
      <c r="Y1" s="33" t="s">
        <v>452</v>
      </c>
      <c r="Z1" s="33" t="s">
        <v>76</v>
      </c>
      <c r="AA1" s="33" t="s">
        <v>77</v>
      </c>
      <c r="AB1" s="33" t="s">
        <v>78</v>
      </c>
      <c r="AC1" s="33" t="s">
        <v>436</v>
      </c>
      <c r="AD1" s="33" t="s">
        <v>453</v>
      </c>
    </row>
    <row r="2" ht="22.5" customHeight="1">
      <c r="A2" s="129" t="s">
        <v>345</v>
      </c>
      <c r="B2" s="130" t="s">
        <v>454</v>
      </c>
      <c r="C2" s="131">
        <v>45968.0</v>
      </c>
      <c r="D2" s="131">
        <v>46038.0</v>
      </c>
      <c r="E2" s="131">
        <v>46038.0</v>
      </c>
      <c r="F2" s="132">
        <v>1.0</v>
      </c>
      <c r="G2" s="30" t="s">
        <v>455</v>
      </c>
      <c r="H2" s="133">
        <v>20.0</v>
      </c>
      <c r="I2" s="30">
        <v>0.22046</v>
      </c>
      <c r="J2" s="134">
        <v>1.0</v>
      </c>
      <c r="K2" s="135">
        <v>100.0</v>
      </c>
      <c r="L2" s="113">
        <f>IFERROR(__xludf.DUMMYFUNCTION("QUERY(OptionPositionsLog, ""SELECT E WHERE B = '"" &amp; $B2  &amp; ""' ORDER BY A DESC LIMIT 1"")"),0.0)</f>
        <v>0</v>
      </c>
      <c r="M2" s="134">
        <v>0.0</v>
      </c>
      <c r="N2" s="136">
        <f t="shared" ref="N2:N174" si="1">L2*K2</f>
        <v>0</v>
      </c>
      <c r="O2" s="136">
        <f t="shared" ref="O2:O174" si="2">IF(ISBLANK($M2), F2*(L2-I2), 0)</f>
        <v>0</v>
      </c>
      <c r="P2" s="137">
        <f t="shared" ref="P2:P174" si="3">O2*K2</f>
        <v>0</v>
      </c>
      <c r="Q2" s="138" t="str">
        <f t="shared" ref="Q2:Q174" si="4">IF(ISBLANK($M2), (ROUND(O2/I2,2))*100, "")</f>
        <v/>
      </c>
      <c r="R2" s="139">
        <f t="shared" ref="R2:R174" si="5">IF(M2&lt;&gt;"",(M2-I2)*K2*F2-J2,0)</f>
        <v>-23.046</v>
      </c>
      <c r="S2" s="136">
        <f t="shared" ref="S2:S174" si="6">IF(R2 &lt;&gt; 0, ROUND(R2/(I2*K2),1), 0)*100</f>
        <v>-100</v>
      </c>
      <c r="T2" s="140">
        <f>IFERROR(__xludf.DUMMYFUNCTION("IF(ISBLANK($M2), QUERY(OptionPositionsLog!$A$2:$K796, ""SELECT F WHERE B = '"" &amp; $B2  &amp; ""' ORDER BY A DESC LIMIT 1""), 0)"),0.0)</f>
        <v>0</v>
      </c>
      <c r="U2" s="136">
        <f>IFERROR(__xludf.DUMMYFUNCTION("IF(ISBLANK($M2), QUERY(OptionPositionsLog!$A$2:$K796, ""SELECT G WHERE B = '"" &amp; $B2  &amp; ""' ORDER BY A DESC LIMIT 1"")*F2, 0)"),0.0)</f>
        <v>0</v>
      </c>
      <c r="V2" s="136">
        <f>IFERROR(__xludf.DUMMYFUNCTION("IF(ISBLANK($M2), QUERY(OptionPositionsLog!$A$2:$K796, ""SELECT H WHERE B = '"" &amp; $B2  &amp; ""' ORDER BY A DESC LIMIT 1"")*F2, 0)"),0.0)</f>
        <v>0</v>
      </c>
      <c r="W2" s="136">
        <f>IFERROR(__xludf.DUMMYFUNCTION("IF(ISBLANK($M2), QUERY(OptionPositionsLog!$A$2:$K796, ""SELECT I WHERE B = '"" &amp; $B2  &amp; ""' ORDER BY A DESC LIMIT 1""), 0)"),0.0)</f>
        <v>0</v>
      </c>
      <c r="X2" s="136">
        <f>IFERROR(__xludf.DUMMYFUNCTION("IF(ISBLANK($M2), QUERY(OptionPositionsLog!$A$2:$K796, ""SELECT J WHERE B = '"" &amp; $B2  &amp; ""' ORDER BY A DESC LIMIT 1""), 0)"),0.0)</f>
        <v>0</v>
      </c>
      <c r="Y2" s="136" t="str">
        <f>IFERROR(__xludf.DUMMYFUNCTION("IF(ISBLANK($M2), QUERY(OptionPositionsLog!$A$2:$K796, ""SELECT D WHERE B = '"" &amp; $B2  &amp; ""' ORDER BY A DESC LIMIT 1"")*100, """")"),"")</f>
        <v/>
      </c>
      <c r="Z2" s="113">
        <f>IFERROR(__xludf.DUMMYFUNCTION("QUERY(OptionPositionsLog, ""SELECT K WHERE B = '"" &amp; $B2  &amp; ""' ORDER BY K DESC LIMIT 1"")"),0.74)</f>
        <v>0.74</v>
      </c>
      <c r="AA2" s="141">
        <f t="shared" ref="AA2:AA40" si="7">(IF(ISBLANK(E2),TODAY(), E2)-C2) * 100/ (D2-C2)</f>
        <v>100</v>
      </c>
      <c r="AB2" s="142" t="str">
        <f t="shared" ref="AB2:AB174" si="8">IF(ISBLANK($M2), IFERROR(AA2/Q2, 0), "")</f>
        <v/>
      </c>
      <c r="AC2" s="143">
        <f t="shared" ref="AC2:AC174" si="9">IFERROR(R2*100/Z2, "")</f>
        <v>-3114.324324</v>
      </c>
      <c r="AD2" s="31"/>
    </row>
    <row r="3" ht="22.5" customHeight="1">
      <c r="A3" s="3" t="s">
        <v>108</v>
      </c>
      <c r="B3" s="144" t="s">
        <v>456</v>
      </c>
      <c r="C3" s="145">
        <v>45987.0</v>
      </c>
      <c r="D3" s="145">
        <v>46038.0</v>
      </c>
      <c r="E3" s="145">
        <v>46036.0</v>
      </c>
      <c r="F3" s="146">
        <v>1.0</v>
      </c>
      <c r="G3" s="15" t="s">
        <v>455</v>
      </c>
      <c r="H3" s="46">
        <v>52.0</v>
      </c>
      <c r="I3" s="15">
        <v>4.12696</v>
      </c>
      <c r="J3" s="30">
        <v>1.0</v>
      </c>
      <c r="K3" s="135">
        <v>100.0</v>
      </c>
      <c r="L3" s="113">
        <f>IFERROR(__xludf.DUMMYFUNCTION("QUERY(OptionPositionsLog, ""SELECT E WHERE B = '"" &amp; $B3  &amp; ""' ORDER BY A DESC LIMIT 1"")"),0.26)</f>
        <v>0.26</v>
      </c>
      <c r="M3" s="30">
        <v>0.06</v>
      </c>
      <c r="N3" s="136">
        <f t="shared" si="1"/>
        <v>26</v>
      </c>
      <c r="O3" s="136">
        <f t="shared" si="2"/>
        <v>0</v>
      </c>
      <c r="P3" s="137">
        <f t="shared" si="3"/>
        <v>0</v>
      </c>
      <c r="Q3" s="138" t="str">
        <f t="shared" si="4"/>
        <v/>
      </c>
      <c r="R3" s="139">
        <f t="shared" si="5"/>
        <v>-407.696</v>
      </c>
      <c r="S3" s="136">
        <f t="shared" si="6"/>
        <v>-100</v>
      </c>
      <c r="T3" s="140">
        <f>IFERROR(__xludf.DUMMYFUNCTION("IF(ISBLANK($M3), QUERY(OptionPositionsLog!$A$2:$K796, ""SELECT F WHERE B = '"" &amp; $B3  &amp; ""' ORDER BY A DESC LIMIT 1""), 0)"),0.0)</f>
        <v>0</v>
      </c>
      <c r="U3" s="136">
        <f>IFERROR(__xludf.DUMMYFUNCTION("IF(ISBLANK($M3), QUERY(OptionPositionsLog!$A$2:$K796, ""SELECT G WHERE B = '"" &amp; $B3  &amp; ""' ORDER BY A DESC LIMIT 1"")*F3, 0)"),0.0)</f>
        <v>0</v>
      </c>
      <c r="V3" s="136">
        <f>IFERROR(__xludf.DUMMYFUNCTION("IF(ISBLANK($M3), QUERY(OptionPositionsLog!$A$2:$K796, ""SELECT H WHERE B = '"" &amp; $B3  &amp; ""' ORDER BY A DESC LIMIT 1"")*F3, 0)"),0.0)</f>
        <v>0</v>
      </c>
      <c r="W3" s="136">
        <f>IFERROR(__xludf.DUMMYFUNCTION("IF(ISBLANK($M3), QUERY(OptionPositionsLog!$A$2:$K796, ""SELECT I WHERE B = '"" &amp; $B3  &amp; ""' ORDER BY A DESC LIMIT 1""), 0)"),0.0)</f>
        <v>0</v>
      </c>
      <c r="X3" s="136">
        <f>IFERROR(__xludf.DUMMYFUNCTION("IF(ISBLANK($M3), QUERY(OptionPositionsLog!$A$2:$K796, ""SELECT J WHERE B = '"" &amp; $B3  &amp; ""' ORDER BY A DESC LIMIT 1""), 0)"),0.0)</f>
        <v>0</v>
      </c>
      <c r="Y3" s="136" t="str">
        <f>IFERROR(__xludf.DUMMYFUNCTION("IF(ISBLANK($M3), QUERY(OptionPositionsLog!$A$2:$K796, ""SELECT D WHERE B = '"" &amp; $B3  &amp; ""' ORDER BY A DESC LIMIT 1"")*100, """")"),"")</f>
        <v/>
      </c>
      <c r="Z3" s="113">
        <f>IFERROR(__xludf.DUMMYFUNCTION("QUERY(OptionPositionsLog, ""SELECT K WHERE B = '"" &amp; $B3  &amp; ""' ORDER BY K DESC LIMIT 1"")"),1114.11)</f>
        <v>1114.11</v>
      </c>
      <c r="AA3" s="141">
        <f t="shared" si="7"/>
        <v>96.07843137</v>
      </c>
      <c r="AB3" s="142" t="str">
        <f t="shared" si="8"/>
        <v/>
      </c>
      <c r="AC3" s="143">
        <f t="shared" si="9"/>
        <v>-36.59387314</v>
      </c>
      <c r="AD3" s="31"/>
    </row>
    <row r="4" ht="22.5" customHeight="1">
      <c r="A4" s="3" t="s">
        <v>108</v>
      </c>
      <c r="B4" s="144" t="s">
        <v>457</v>
      </c>
      <c r="C4" s="145">
        <v>45987.0</v>
      </c>
      <c r="D4" s="145">
        <v>46038.0</v>
      </c>
      <c r="E4" s="145">
        <v>46036.0</v>
      </c>
      <c r="F4" s="146">
        <v>-1.0</v>
      </c>
      <c r="G4" s="15" t="s">
        <v>455</v>
      </c>
      <c r="H4" s="46">
        <v>55.0</v>
      </c>
      <c r="I4" s="15">
        <v>5.91301</v>
      </c>
      <c r="J4" s="30">
        <v>1.0</v>
      </c>
      <c r="K4" s="135">
        <v>100.0</v>
      </c>
      <c r="L4" s="113">
        <f>IFERROR(__xludf.DUMMYFUNCTION("QUERY(OptionPositionsLog, ""SELECT E WHERE B = '"" &amp; $B4  &amp; ""' ORDER BY A DESC LIMIT 1"")"),1.68)</f>
        <v>1.68</v>
      </c>
      <c r="M4" s="30">
        <v>0.56</v>
      </c>
      <c r="N4" s="136">
        <f t="shared" si="1"/>
        <v>168</v>
      </c>
      <c r="O4" s="136">
        <f t="shared" si="2"/>
        <v>0</v>
      </c>
      <c r="P4" s="137">
        <f t="shared" si="3"/>
        <v>0</v>
      </c>
      <c r="Q4" s="138" t="str">
        <f t="shared" si="4"/>
        <v/>
      </c>
      <c r="R4" s="139">
        <f t="shared" si="5"/>
        <v>534.301</v>
      </c>
      <c r="S4" s="136">
        <f t="shared" si="6"/>
        <v>90</v>
      </c>
      <c r="T4" s="140">
        <f>IFERROR(__xludf.DUMMYFUNCTION("IF(ISBLANK($M4), QUERY(OptionPositionsLog!$A$2:$K796, ""SELECT F WHERE B = '"" &amp; $B4  &amp; ""' ORDER BY A DESC LIMIT 1""), 0)"),0.0)</f>
        <v>0</v>
      </c>
      <c r="U4" s="136">
        <f>IFERROR(__xludf.DUMMYFUNCTION("IF(ISBLANK($M4), QUERY(OptionPositionsLog!$A$2:$K796, ""SELECT G WHERE B = '"" &amp; $B4  &amp; ""' ORDER BY A DESC LIMIT 1"")*F4, 0)"),0.0)</f>
        <v>0</v>
      </c>
      <c r="V4" s="136">
        <f>IFERROR(__xludf.DUMMYFUNCTION("IF(ISBLANK($M4), QUERY(OptionPositionsLog!$A$2:$K796, ""SELECT H WHERE B = '"" &amp; $B4  &amp; ""' ORDER BY A DESC LIMIT 1"")*F4, 0)"),0.0)</f>
        <v>0</v>
      </c>
      <c r="W4" s="136">
        <f>IFERROR(__xludf.DUMMYFUNCTION("IF(ISBLANK($M4), QUERY(OptionPositionsLog!$A$2:$K796, ""SELECT I WHERE B = '"" &amp; $B4  &amp; ""' ORDER BY A DESC LIMIT 1""), 0)"),0.0)</f>
        <v>0</v>
      </c>
      <c r="X4" s="136">
        <f>IFERROR(__xludf.DUMMYFUNCTION("IF(ISBLANK($M4), QUERY(OptionPositionsLog!$A$2:$K796, ""SELECT J WHERE B = '"" &amp; $B4  &amp; ""' ORDER BY A DESC LIMIT 1""), 0)"),0.0)</f>
        <v>0</v>
      </c>
      <c r="Y4" s="136" t="str">
        <f>IFERROR(__xludf.DUMMYFUNCTION("IF(ISBLANK($M4), QUERY(OptionPositionsLog!$A$2:$K796, ""SELECT D WHERE B = '"" &amp; $B4  &amp; ""' ORDER BY A DESC LIMIT 1"")*100, """")"),"")</f>
        <v/>
      </c>
      <c r="Z4" s="113">
        <f>IFERROR(__xludf.DUMMYFUNCTION("QUERY(OptionPositionsLog, ""SELECT K WHERE B = '"" &amp; $B4  &amp; ""' ORDER BY K DESC LIMIT 1"")"),235.53)</f>
        <v>235.53</v>
      </c>
      <c r="AA4" s="141">
        <f t="shared" si="7"/>
        <v>96.07843137</v>
      </c>
      <c r="AB4" s="142" t="str">
        <f t="shared" si="8"/>
        <v/>
      </c>
      <c r="AC4" s="143">
        <f t="shared" si="9"/>
        <v>226.8505074</v>
      </c>
      <c r="AD4" s="31"/>
    </row>
    <row r="5" ht="22.5" customHeight="1">
      <c r="A5" s="3" t="s">
        <v>42</v>
      </c>
      <c r="B5" s="144" t="s">
        <v>458</v>
      </c>
      <c r="C5" s="145">
        <v>46007.0</v>
      </c>
      <c r="D5" s="145">
        <v>46073.0</v>
      </c>
      <c r="E5" s="145">
        <v>46034.0</v>
      </c>
      <c r="F5" s="146">
        <v>-1.0</v>
      </c>
      <c r="G5" s="15" t="s">
        <v>459</v>
      </c>
      <c r="H5" s="46">
        <v>72.0</v>
      </c>
      <c r="I5" s="15">
        <v>1.21333</v>
      </c>
      <c r="J5" s="30">
        <v>1.0</v>
      </c>
      <c r="K5" s="135">
        <v>100.0</v>
      </c>
      <c r="L5" s="113">
        <f>IFERROR(__xludf.DUMMYFUNCTION("QUERY(OptionPositionsLog, ""SELECT E WHERE B = '"" &amp; $B5  &amp; ""' ORDER BY A DESC LIMIT 1"")"),6.35)</f>
        <v>6.35</v>
      </c>
      <c r="M5" s="30">
        <v>9.41</v>
      </c>
      <c r="N5" s="136">
        <f t="shared" si="1"/>
        <v>635</v>
      </c>
      <c r="O5" s="136">
        <f t="shared" si="2"/>
        <v>0</v>
      </c>
      <c r="P5" s="137">
        <f t="shared" si="3"/>
        <v>0</v>
      </c>
      <c r="Q5" s="138" t="str">
        <f t="shared" si="4"/>
        <v/>
      </c>
      <c r="R5" s="139">
        <f t="shared" si="5"/>
        <v>-820.667</v>
      </c>
      <c r="S5" s="136">
        <f t="shared" si="6"/>
        <v>-680</v>
      </c>
      <c r="T5" s="140">
        <f>IFERROR(__xludf.DUMMYFUNCTION("IF(ISBLANK($M5), QUERY(OptionPositionsLog!$A$2:$K796, ""SELECT F WHERE B = '"" &amp; $B5  &amp; ""' ORDER BY A DESC LIMIT 1""), 0)"),0.0)</f>
        <v>0</v>
      </c>
      <c r="U5" s="136">
        <f>IFERROR(__xludf.DUMMYFUNCTION("IF(ISBLANK($M5), QUERY(OptionPositionsLog!$A$2:$K796, ""SELECT G WHERE B = '"" &amp; $B5  &amp; ""' ORDER BY A DESC LIMIT 1"")*F5, 0)"),0.0)</f>
        <v>0</v>
      </c>
      <c r="V5" s="136">
        <f>IFERROR(__xludf.DUMMYFUNCTION("IF(ISBLANK($M5), QUERY(OptionPositionsLog!$A$2:$K796, ""SELECT H WHERE B = '"" &amp; $B5  &amp; ""' ORDER BY A DESC LIMIT 1"")*F5, 0)"),0.0)</f>
        <v>0</v>
      </c>
      <c r="W5" s="136">
        <f>IFERROR(__xludf.DUMMYFUNCTION("IF(ISBLANK($M5), QUERY(OptionPositionsLog!$A$2:$K796, ""SELECT I WHERE B = '"" &amp; $B5  &amp; ""' ORDER BY A DESC LIMIT 1""), 0)"),0.0)</f>
        <v>0</v>
      </c>
      <c r="X5" s="136">
        <f>IFERROR(__xludf.DUMMYFUNCTION("IF(ISBLANK($M5), QUERY(OptionPositionsLog!$A$2:$K796, ""SELECT J WHERE B = '"" &amp; $B5  &amp; ""' ORDER BY A DESC LIMIT 1""), 0)"),0.0)</f>
        <v>0</v>
      </c>
      <c r="Y5" s="136" t="str">
        <f>IFERROR(__xludf.DUMMYFUNCTION("IF(ISBLANK($M5), QUERY(OptionPositionsLog!$A$2:$K796, ""SELECT D WHERE B = '"" &amp; $B5  &amp; ""' ORDER BY A DESC LIMIT 1"")*100, """")"),"")</f>
        <v/>
      </c>
      <c r="Z5" s="113">
        <f>IFERROR(__xludf.DUMMYFUNCTION("QUERY(OptionPositionsLog, ""SELECT K WHERE B = '"" &amp; $B5  &amp; ""' ORDER BY K DESC LIMIT 1"")"),301.91)</f>
        <v>301.91</v>
      </c>
      <c r="AA5" s="141">
        <f t="shared" si="7"/>
        <v>40.90909091</v>
      </c>
      <c r="AB5" s="142" t="str">
        <f t="shared" si="8"/>
        <v/>
      </c>
      <c r="AC5" s="143">
        <f t="shared" si="9"/>
        <v>-271.8250472</v>
      </c>
      <c r="AD5" s="31"/>
    </row>
    <row r="6" ht="22.5" customHeight="1">
      <c r="A6" s="3" t="s">
        <v>132</v>
      </c>
      <c r="B6" s="144" t="s">
        <v>460</v>
      </c>
      <c r="C6" s="145">
        <v>46007.0</v>
      </c>
      <c r="D6" s="145">
        <v>46073.0</v>
      </c>
      <c r="E6" s="145">
        <v>46050.0</v>
      </c>
      <c r="F6" s="146">
        <v>1.0</v>
      </c>
      <c r="G6" s="15" t="s">
        <v>459</v>
      </c>
      <c r="H6" s="46">
        <v>32.5</v>
      </c>
      <c r="I6" s="15">
        <v>0.76014</v>
      </c>
      <c r="J6" s="30">
        <v>1.0</v>
      </c>
      <c r="K6" s="135">
        <v>100.0</v>
      </c>
      <c r="L6" s="113">
        <f>IFERROR(__xludf.DUMMYFUNCTION("QUERY(OptionPositionsLog, ""SELECT E WHERE B = '"" &amp; $B6  &amp; ""' ORDER BY A DESC LIMIT 1"")"),0.525)</f>
        <v>0.525</v>
      </c>
      <c r="M6" s="30">
        <v>0.3</v>
      </c>
      <c r="N6" s="136">
        <f t="shared" si="1"/>
        <v>52.5</v>
      </c>
      <c r="O6" s="136">
        <f t="shared" si="2"/>
        <v>0</v>
      </c>
      <c r="P6" s="137">
        <f t="shared" si="3"/>
        <v>0</v>
      </c>
      <c r="Q6" s="138" t="str">
        <f t="shared" si="4"/>
        <v/>
      </c>
      <c r="R6" s="139">
        <f t="shared" si="5"/>
        <v>-47.014</v>
      </c>
      <c r="S6" s="136">
        <f t="shared" si="6"/>
        <v>-60</v>
      </c>
      <c r="T6" s="140">
        <f>IFERROR(__xludf.DUMMYFUNCTION("IF(ISBLANK($M6), QUERY(OptionPositionsLog!$A$2:$K796, ""SELECT F WHERE B = '"" &amp; $B6  &amp; ""' ORDER BY A DESC LIMIT 1""), 0)"),0.0)</f>
        <v>0</v>
      </c>
      <c r="U6" s="136">
        <f>IFERROR(__xludf.DUMMYFUNCTION("IF(ISBLANK($M6), QUERY(OptionPositionsLog!$A$2:$K796, ""SELECT G WHERE B = '"" &amp; $B6  &amp; ""' ORDER BY A DESC LIMIT 1"")*F6, 0)"),0.0)</f>
        <v>0</v>
      </c>
      <c r="V6" s="136">
        <f>IFERROR(__xludf.DUMMYFUNCTION("IF(ISBLANK($M6), QUERY(OptionPositionsLog!$A$2:$K796, ""SELECT H WHERE B = '"" &amp; $B6  &amp; ""' ORDER BY A DESC LIMIT 1"")*F6, 0)"),0.0)</f>
        <v>0</v>
      </c>
      <c r="W6" s="136">
        <f>IFERROR(__xludf.DUMMYFUNCTION("IF(ISBLANK($M6), QUERY(OptionPositionsLog!$A$2:$K796, ""SELECT I WHERE B = '"" &amp; $B6  &amp; ""' ORDER BY A DESC LIMIT 1""), 0)"),0.0)</f>
        <v>0</v>
      </c>
      <c r="X6" s="136">
        <f>IFERROR(__xludf.DUMMYFUNCTION("IF(ISBLANK($M6), QUERY(OptionPositionsLog!$A$2:$K796, ""SELECT J WHERE B = '"" &amp; $B6  &amp; ""' ORDER BY A DESC LIMIT 1""), 0)"),0.0)</f>
        <v>0</v>
      </c>
      <c r="Y6" s="136" t="str">
        <f>IFERROR(__xludf.DUMMYFUNCTION("IF(ISBLANK($M6), QUERY(OptionPositionsLog!$A$2:$K796, ""SELECT D WHERE B = '"" &amp; $B6  &amp; ""' ORDER BY A DESC LIMIT 1"")*100, """")"),"")</f>
        <v/>
      </c>
      <c r="Z6" s="113">
        <f>IFERROR(__xludf.DUMMYFUNCTION("QUERY(OptionPositionsLog, ""SELECT K WHERE B = '"" &amp; $B6  &amp; ""' ORDER BY K DESC LIMIT 1"")"),50.45)</f>
        <v>50.45</v>
      </c>
      <c r="AA6" s="141">
        <f t="shared" si="7"/>
        <v>65.15151515</v>
      </c>
      <c r="AB6" s="142" t="str">
        <f t="shared" si="8"/>
        <v/>
      </c>
      <c r="AC6" s="143">
        <f t="shared" si="9"/>
        <v>-93.18929633</v>
      </c>
      <c r="AD6" s="31"/>
    </row>
    <row r="7" ht="22.5" customHeight="1">
      <c r="A7" s="3" t="s">
        <v>126</v>
      </c>
      <c r="B7" s="144" t="s">
        <v>461</v>
      </c>
      <c r="C7" s="145">
        <v>46006.0</v>
      </c>
      <c r="D7" s="145">
        <v>46038.0</v>
      </c>
      <c r="E7" s="145">
        <v>46038.0</v>
      </c>
      <c r="F7" s="146">
        <v>1.0</v>
      </c>
      <c r="G7" s="15" t="s">
        <v>459</v>
      </c>
      <c r="H7" s="46">
        <v>230.0</v>
      </c>
      <c r="I7" s="15">
        <v>0.89014</v>
      </c>
      <c r="J7" s="30">
        <v>1.0</v>
      </c>
      <c r="K7" s="135">
        <v>100.0</v>
      </c>
      <c r="L7" s="113">
        <f>IFERROR(__xludf.DUMMYFUNCTION("QUERY(OptionPositionsLog, ""SELECT E WHERE B = '"" &amp; $B7  &amp; ""' ORDER BY A DESC LIMIT 1"")"),0.01)</f>
        <v>0.01</v>
      </c>
      <c r="M7" s="30">
        <v>0.0</v>
      </c>
      <c r="N7" s="136">
        <f t="shared" si="1"/>
        <v>1</v>
      </c>
      <c r="O7" s="136">
        <f t="shared" si="2"/>
        <v>0</v>
      </c>
      <c r="P7" s="137">
        <f t="shared" si="3"/>
        <v>0</v>
      </c>
      <c r="Q7" s="138" t="str">
        <f t="shared" si="4"/>
        <v/>
      </c>
      <c r="R7" s="139">
        <f t="shared" si="5"/>
        <v>-90.014</v>
      </c>
      <c r="S7" s="136">
        <f t="shared" si="6"/>
        <v>-100</v>
      </c>
      <c r="T7" s="140">
        <f>IFERROR(__xludf.DUMMYFUNCTION("IF(ISBLANK($M7), QUERY(OptionPositionsLog!$A$2:$K796, ""SELECT F WHERE B = '"" &amp; $B7  &amp; ""' ORDER BY A DESC LIMIT 1""), 0)"),0.0)</f>
        <v>0</v>
      </c>
      <c r="U7" s="136">
        <f>IFERROR(__xludf.DUMMYFUNCTION("IF(ISBLANK($M7), QUERY(OptionPositionsLog!$A$2:$K796, ""SELECT G WHERE B = '"" &amp; $B7  &amp; ""' ORDER BY A DESC LIMIT 1"")*F7, 0)"),0.0)</f>
        <v>0</v>
      </c>
      <c r="V7" s="136">
        <f>IFERROR(__xludf.DUMMYFUNCTION("IF(ISBLANK($M7), QUERY(OptionPositionsLog!$A$2:$K796, ""SELECT H WHERE B = '"" &amp; $B7  &amp; ""' ORDER BY A DESC LIMIT 1"")*F7, 0)"),0.0)</f>
        <v>0</v>
      </c>
      <c r="W7" s="136">
        <f>IFERROR(__xludf.DUMMYFUNCTION("IF(ISBLANK($M7), QUERY(OptionPositionsLog!$A$2:$K796, ""SELECT I WHERE B = '"" &amp; $B7  &amp; ""' ORDER BY A DESC LIMIT 1""), 0)"),0.0)</f>
        <v>0</v>
      </c>
      <c r="X7" s="136">
        <f>IFERROR(__xludf.DUMMYFUNCTION("IF(ISBLANK($M7), QUERY(OptionPositionsLog!$A$2:$K796, ""SELECT J WHERE B = '"" &amp; $B7  &amp; ""' ORDER BY A DESC LIMIT 1""), 0)"),0.0)</f>
        <v>0</v>
      </c>
      <c r="Y7" s="136" t="str">
        <f>IFERROR(__xludf.DUMMYFUNCTION("IF(ISBLANK($M7), QUERY(OptionPositionsLog!$A$2:$K796, ""SELECT D WHERE B = '"" &amp; $B7  &amp; ""' ORDER BY A DESC LIMIT 1"")*100, """")"),"")</f>
        <v/>
      </c>
      <c r="Z7" s="113">
        <f>IFERROR(__xludf.DUMMYFUNCTION("QUERY(OptionPositionsLog, ""SELECT K WHERE B = '"" &amp; $B7  &amp; ""' ORDER BY K DESC LIMIT 1"")"),3.6)</f>
        <v>3.6</v>
      </c>
      <c r="AA7" s="141">
        <f t="shared" si="7"/>
        <v>100</v>
      </c>
      <c r="AB7" s="142" t="str">
        <f t="shared" si="8"/>
        <v/>
      </c>
      <c r="AC7" s="143">
        <f t="shared" si="9"/>
        <v>-2500.388889</v>
      </c>
      <c r="AD7" s="31"/>
    </row>
    <row r="8" ht="22.5" customHeight="1">
      <c r="A8" s="3" t="s">
        <v>137</v>
      </c>
      <c r="B8" s="144" t="s">
        <v>462</v>
      </c>
      <c r="C8" s="145">
        <v>46007.0</v>
      </c>
      <c r="D8" s="145">
        <v>46038.0</v>
      </c>
      <c r="E8" s="145">
        <v>46038.0</v>
      </c>
      <c r="F8" s="146">
        <v>1.0</v>
      </c>
      <c r="G8" s="15" t="s">
        <v>459</v>
      </c>
      <c r="H8" s="46">
        <v>7.0</v>
      </c>
      <c r="I8" s="15">
        <v>0.97014</v>
      </c>
      <c r="J8" s="30">
        <v>1.0</v>
      </c>
      <c r="K8" s="135">
        <v>100.0</v>
      </c>
      <c r="L8" s="113">
        <f>IFERROR(__xludf.DUMMYFUNCTION("QUERY(OptionPositionsLog, ""SELECT E WHERE B = '"" &amp; $B8  &amp; ""' ORDER BY A DESC LIMIT 1"")"),0.01)</f>
        <v>0.01</v>
      </c>
      <c r="M8" s="30">
        <v>0.0</v>
      </c>
      <c r="N8" s="136">
        <f t="shared" si="1"/>
        <v>1</v>
      </c>
      <c r="O8" s="136">
        <f t="shared" si="2"/>
        <v>0</v>
      </c>
      <c r="P8" s="137">
        <f t="shared" si="3"/>
        <v>0</v>
      </c>
      <c r="Q8" s="138" t="str">
        <f t="shared" si="4"/>
        <v/>
      </c>
      <c r="R8" s="139">
        <f t="shared" si="5"/>
        <v>-98.014</v>
      </c>
      <c r="S8" s="136">
        <f t="shared" si="6"/>
        <v>-100</v>
      </c>
      <c r="T8" s="140">
        <f>IFERROR(__xludf.DUMMYFUNCTION("IF(ISBLANK($M8), QUERY(OptionPositionsLog!$A$2:$K796, ""SELECT F WHERE B = '"" &amp; $B8  &amp; ""' ORDER BY A DESC LIMIT 1""), 0)"),0.0)</f>
        <v>0</v>
      </c>
      <c r="U8" s="136">
        <f>IFERROR(__xludf.DUMMYFUNCTION("IF(ISBLANK($M8), QUERY(OptionPositionsLog!$A$2:$K796, ""SELECT G WHERE B = '"" &amp; $B8  &amp; ""' ORDER BY A DESC LIMIT 1"")*F8, 0)"),0.0)</f>
        <v>0</v>
      </c>
      <c r="V8" s="136">
        <f>IFERROR(__xludf.DUMMYFUNCTION("IF(ISBLANK($M8), QUERY(OptionPositionsLog!$A$2:$K796, ""SELECT H WHERE B = '"" &amp; $B8  &amp; ""' ORDER BY A DESC LIMIT 1"")*F8, 0)"),0.0)</f>
        <v>0</v>
      </c>
      <c r="W8" s="136">
        <f>IFERROR(__xludf.DUMMYFUNCTION("IF(ISBLANK($M8), QUERY(OptionPositionsLog!$A$2:$K796, ""SELECT I WHERE B = '"" &amp; $B8  &amp; ""' ORDER BY A DESC LIMIT 1""), 0)"),0.0)</f>
        <v>0</v>
      </c>
      <c r="X8" s="136">
        <f>IFERROR(__xludf.DUMMYFUNCTION("IF(ISBLANK($M8), QUERY(OptionPositionsLog!$A$2:$K796, ""SELECT J WHERE B = '"" &amp; $B8  &amp; ""' ORDER BY A DESC LIMIT 1""), 0)"),0.0)</f>
        <v>0</v>
      </c>
      <c r="Y8" s="136" t="str">
        <f>IFERROR(__xludf.DUMMYFUNCTION("IF(ISBLANK($M8), QUERY(OptionPositionsLog!$A$2:$K796, ""SELECT D WHERE B = '"" &amp; $B8  &amp; ""' ORDER BY A DESC LIMIT 1"")*100, """")"),"")</f>
        <v/>
      </c>
      <c r="Z8" s="113">
        <f>IFERROR(__xludf.DUMMYFUNCTION("QUERY(OptionPositionsLog, ""SELECT K WHERE B = '"" &amp; $B8  &amp; ""' ORDER BY K DESC LIMIT 1"")"),2.06)</f>
        <v>2.06</v>
      </c>
      <c r="AA8" s="141">
        <f t="shared" si="7"/>
        <v>100</v>
      </c>
      <c r="AB8" s="142" t="str">
        <f t="shared" si="8"/>
        <v/>
      </c>
      <c r="AC8" s="143">
        <f t="shared" si="9"/>
        <v>-4757.961165</v>
      </c>
      <c r="AD8" s="31"/>
    </row>
    <row r="9" ht="22.5" customHeight="1">
      <c r="A9" s="3" t="s">
        <v>141</v>
      </c>
      <c r="B9" s="144" t="s">
        <v>463</v>
      </c>
      <c r="C9" s="145">
        <v>46008.0</v>
      </c>
      <c r="D9" s="145">
        <v>46070.0</v>
      </c>
      <c r="E9" s="145">
        <v>46035.0</v>
      </c>
      <c r="F9" s="146">
        <v>-1.0</v>
      </c>
      <c r="G9" s="15" t="s">
        <v>459</v>
      </c>
      <c r="H9" s="46">
        <v>70.0</v>
      </c>
      <c r="I9" s="15">
        <v>0.28763</v>
      </c>
      <c r="J9" s="30">
        <v>1.0</v>
      </c>
      <c r="K9" s="135">
        <v>1000.0</v>
      </c>
      <c r="L9" s="113">
        <f>IFERROR(__xludf.DUMMYFUNCTION("QUERY(OptionPositionsLog, ""SELECT E WHERE B = '"" &amp; $B9  &amp; ""' ORDER BY A DESC LIMIT 1"")"),0.71)</f>
        <v>0.71</v>
      </c>
      <c r="M9" s="30">
        <v>1.16</v>
      </c>
      <c r="N9" s="136">
        <f t="shared" si="1"/>
        <v>710</v>
      </c>
      <c r="O9" s="136">
        <f t="shared" si="2"/>
        <v>0</v>
      </c>
      <c r="P9" s="137">
        <f t="shared" si="3"/>
        <v>0</v>
      </c>
      <c r="Q9" s="138" t="str">
        <f t="shared" si="4"/>
        <v/>
      </c>
      <c r="R9" s="139">
        <f t="shared" si="5"/>
        <v>-873.37</v>
      </c>
      <c r="S9" s="136">
        <f t="shared" si="6"/>
        <v>-300</v>
      </c>
      <c r="T9" s="140">
        <f>IFERROR(__xludf.DUMMYFUNCTION("IF(ISBLANK($M9), QUERY(OptionPositionsLog!$A$2:$K796, ""SELECT F WHERE B = '"" &amp; $B9  &amp; ""' ORDER BY A DESC LIMIT 1""), 0)"),0.0)</f>
        <v>0</v>
      </c>
      <c r="U9" s="136">
        <f>IFERROR(__xludf.DUMMYFUNCTION("IF(ISBLANK($M9), QUERY(OptionPositionsLog!$A$2:$K796, ""SELECT G WHERE B = '"" &amp; $B9  &amp; ""' ORDER BY A DESC LIMIT 1"")*F9, 0)"),0.0)</f>
        <v>0</v>
      </c>
      <c r="V9" s="136">
        <f>IFERROR(__xludf.DUMMYFUNCTION("IF(ISBLANK($M9), QUERY(OptionPositionsLog!$A$2:$K796, ""SELECT H WHERE B = '"" &amp; $B9  &amp; ""' ORDER BY A DESC LIMIT 1"")*F9, 0)"),0.0)</f>
        <v>0</v>
      </c>
      <c r="W9" s="136">
        <f>IFERROR(__xludf.DUMMYFUNCTION("IF(ISBLANK($M9), QUERY(OptionPositionsLog!$A$2:$K796, ""SELECT I WHERE B = '"" &amp; $B9  &amp; ""' ORDER BY A DESC LIMIT 1""), 0)"),0.0)</f>
        <v>0</v>
      </c>
      <c r="X9" s="136">
        <f>IFERROR(__xludf.DUMMYFUNCTION("IF(ISBLANK($M9), QUERY(OptionPositionsLog!$A$2:$K796, ""SELECT J WHERE B = '"" &amp; $B9  &amp; ""' ORDER BY A DESC LIMIT 1""), 0)"),0.0)</f>
        <v>0</v>
      </c>
      <c r="Y9" s="136" t="str">
        <f>IFERROR(__xludf.DUMMYFUNCTION("IF(ISBLANK($M9), QUERY(OptionPositionsLog!$A$2:$K796, ""SELECT D WHERE B = '"" &amp; $B9  &amp; ""' ORDER BY A DESC LIMIT 1"")*100, """")"),"")</f>
        <v/>
      </c>
      <c r="Z9" s="113">
        <f>IFERROR(__xludf.DUMMYFUNCTION("QUERY(OptionPositionsLog, ""SELECT K WHERE B = '"" &amp; $B9  &amp; ""' ORDER BY K DESC LIMIT 1"")"),373.79)</f>
        <v>373.79</v>
      </c>
      <c r="AA9" s="141">
        <f t="shared" si="7"/>
        <v>43.5483871</v>
      </c>
      <c r="AB9" s="142" t="str">
        <f t="shared" si="8"/>
        <v/>
      </c>
      <c r="AC9" s="143">
        <f t="shared" si="9"/>
        <v>-233.6525857</v>
      </c>
      <c r="AD9" s="31"/>
    </row>
    <row r="10" ht="22.5" customHeight="1">
      <c r="A10" s="3" t="s">
        <v>141</v>
      </c>
      <c r="B10" s="144" t="s">
        <v>464</v>
      </c>
      <c r="C10" s="145">
        <v>46008.0</v>
      </c>
      <c r="D10" s="145">
        <v>46070.0</v>
      </c>
      <c r="E10" s="145">
        <v>46034.0</v>
      </c>
      <c r="F10" s="146">
        <v>-1.0</v>
      </c>
      <c r="G10" s="15" t="s">
        <v>455</v>
      </c>
      <c r="H10" s="46">
        <v>45.0</v>
      </c>
      <c r="I10" s="15">
        <v>0.33763</v>
      </c>
      <c r="J10" s="30">
        <v>1.0</v>
      </c>
      <c r="K10" s="135">
        <v>1000.0</v>
      </c>
      <c r="L10" s="113">
        <f>IFERROR(__xludf.DUMMYFUNCTION("QUERY(OptionPositionsLog, ""SELECT E WHERE B = '"" &amp; $B10  &amp; ""' ORDER BY A DESC LIMIT 1"")"),0.08)</f>
        <v>0.08</v>
      </c>
      <c r="M10" s="30">
        <v>0.08</v>
      </c>
      <c r="N10" s="136">
        <f t="shared" si="1"/>
        <v>80</v>
      </c>
      <c r="O10" s="136">
        <f t="shared" si="2"/>
        <v>0</v>
      </c>
      <c r="P10" s="137">
        <f t="shared" si="3"/>
        <v>0</v>
      </c>
      <c r="Q10" s="138" t="str">
        <f t="shared" si="4"/>
        <v/>
      </c>
      <c r="R10" s="139">
        <f t="shared" si="5"/>
        <v>256.63</v>
      </c>
      <c r="S10" s="136">
        <f t="shared" si="6"/>
        <v>80</v>
      </c>
      <c r="T10" s="140">
        <f>IFERROR(__xludf.DUMMYFUNCTION("IF(ISBLANK($M10), QUERY(OptionPositionsLog!$A$2:$K796, ""SELECT F WHERE B = '"" &amp; $B10  &amp; ""' ORDER BY A DESC LIMIT 1""), 0)"),0.0)</f>
        <v>0</v>
      </c>
      <c r="U10" s="136">
        <f>IFERROR(__xludf.DUMMYFUNCTION("IF(ISBLANK($M10), QUERY(OptionPositionsLog!$A$2:$K796, ""SELECT G WHERE B = '"" &amp; $B10  &amp; ""' ORDER BY A DESC LIMIT 1"")*F10, 0)"),0.0)</f>
        <v>0</v>
      </c>
      <c r="V10" s="136">
        <f>IFERROR(__xludf.DUMMYFUNCTION("IF(ISBLANK($M10), QUERY(OptionPositionsLog!$A$2:$K796, ""SELECT H WHERE B = '"" &amp; $B10  &amp; ""' ORDER BY A DESC LIMIT 1"")*F10, 0)"),0.0)</f>
        <v>0</v>
      </c>
      <c r="W10" s="136">
        <f>IFERROR(__xludf.DUMMYFUNCTION("IF(ISBLANK($M10), QUERY(OptionPositionsLog!$A$2:$K796, ""SELECT I WHERE B = '"" &amp; $B10  &amp; ""' ORDER BY A DESC LIMIT 1""), 0)"),0.0)</f>
        <v>0</v>
      </c>
      <c r="X10" s="136">
        <f>IFERROR(__xludf.DUMMYFUNCTION("IF(ISBLANK($M10), QUERY(OptionPositionsLog!$A$2:$K796, ""SELECT J WHERE B = '"" &amp; $B10  &amp; ""' ORDER BY A DESC LIMIT 1""), 0)"),0.0)</f>
        <v>0</v>
      </c>
      <c r="Y10" s="136" t="str">
        <f>IFERROR(__xludf.DUMMYFUNCTION("IF(ISBLANK($M10), QUERY(OptionPositionsLog!$A$2:$K796, ""SELECT D WHERE B = '"" &amp; $B10  &amp; ""' ORDER BY A DESC LIMIT 1"")*100, """")"),"")</f>
        <v/>
      </c>
      <c r="Z10" s="113">
        <f>IFERROR(__xludf.DUMMYFUNCTION("QUERY(OptionPositionsLog, ""SELECT K WHERE B = '"" &amp; $B10  &amp; ""' ORDER BY K DESC LIMIT 1"")"),114.55)</f>
        <v>114.55</v>
      </c>
      <c r="AA10" s="141">
        <f t="shared" si="7"/>
        <v>41.93548387</v>
      </c>
      <c r="AB10" s="142" t="str">
        <f t="shared" si="8"/>
        <v/>
      </c>
      <c r="AC10" s="143">
        <f t="shared" si="9"/>
        <v>224.0331733</v>
      </c>
      <c r="AD10" s="31"/>
    </row>
    <row r="11" ht="22.5" customHeight="1">
      <c r="A11" s="3" t="s">
        <v>146</v>
      </c>
      <c r="B11" s="144" t="s">
        <v>465</v>
      </c>
      <c r="C11" s="145">
        <v>46008.0</v>
      </c>
      <c r="D11" s="145">
        <v>46049.0</v>
      </c>
      <c r="E11" s="145">
        <v>46041.0</v>
      </c>
      <c r="F11" s="146">
        <v>-1.0</v>
      </c>
      <c r="G11" s="15" t="s">
        <v>459</v>
      </c>
      <c r="H11" s="46">
        <v>5.0</v>
      </c>
      <c r="I11" s="15">
        <v>0.09976</v>
      </c>
      <c r="J11" s="30">
        <v>1.0</v>
      </c>
      <c r="K11" s="135">
        <v>10000.0</v>
      </c>
      <c r="L11" s="113">
        <f>IFERROR(__xludf.DUMMYFUNCTION("QUERY(OptionPositionsLog, ""SELECT E WHERE B = '"" &amp; $B11  &amp; ""' ORDER BY A DESC LIMIT 1"")"),0.002)</f>
        <v>0.002</v>
      </c>
      <c r="M11" s="30">
        <v>0.008</v>
      </c>
      <c r="N11" s="136">
        <f t="shared" si="1"/>
        <v>20</v>
      </c>
      <c r="O11" s="136">
        <f t="shared" si="2"/>
        <v>0</v>
      </c>
      <c r="P11" s="137">
        <f t="shared" si="3"/>
        <v>0</v>
      </c>
      <c r="Q11" s="138" t="str">
        <f t="shared" si="4"/>
        <v/>
      </c>
      <c r="R11" s="139">
        <f t="shared" si="5"/>
        <v>916.6</v>
      </c>
      <c r="S11" s="136">
        <f t="shared" si="6"/>
        <v>90</v>
      </c>
      <c r="T11" s="140">
        <f>IFERROR(__xludf.DUMMYFUNCTION("IF(ISBLANK($M11), QUERY(OptionPositionsLog!$A$2:$K796, ""SELECT F WHERE B = '"" &amp; $B11  &amp; ""' ORDER BY A DESC LIMIT 1""), 0)"),0.0)</f>
        <v>0</v>
      </c>
      <c r="U11" s="136">
        <f>IFERROR(__xludf.DUMMYFUNCTION("IF(ISBLANK($M11), QUERY(OptionPositionsLog!$A$2:$K796, ""SELECT G WHERE B = '"" &amp; $B11  &amp; ""' ORDER BY A DESC LIMIT 1"")*F11, 0)"),0.0)</f>
        <v>0</v>
      </c>
      <c r="V11" s="136">
        <f>IFERROR(__xludf.DUMMYFUNCTION("IF(ISBLANK($M11), QUERY(OptionPositionsLog!$A$2:$K796, ""SELECT H WHERE B = '"" &amp; $B11  &amp; ""' ORDER BY A DESC LIMIT 1"")*F11, 0)"),0.0)</f>
        <v>0</v>
      </c>
      <c r="W11" s="136">
        <f>IFERROR(__xludf.DUMMYFUNCTION("IF(ISBLANK($M11), QUERY(OptionPositionsLog!$A$2:$K796, ""SELECT I WHERE B = '"" &amp; $B11  &amp; ""' ORDER BY A DESC LIMIT 1""), 0)"),0.0)</f>
        <v>0</v>
      </c>
      <c r="X11" s="136">
        <f>IFERROR(__xludf.DUMMYFUNCTION("IF(ISBLANK($M11), QUERY(OptionPositionsLog!$A$2:$K796, ""SELECT J WHERE B = '"" &amp; $B11  &amp; ""' ORDER BY A DESC LIMIT 1""), 0)"),0.0)</f>
        <v>0</v>
      </c>
      <c r="Y11" s="136" t="str">
        <f>IFERROR(__xludf.DUMMYFUNCTION("IF(ISBLANK($M11), QUERY(OptionPositionsLog!$A$2:$K796, ""SELECT D WHERE B = '"" &amp; $B11  &amp; ""' ORDER BY A DESC LIMIT 1"")*100, """")"),"")</f>
        <v/>
      </c>
      <c r="Z11" s="113">
        <f>IFERROR(__xludf.DUMMYFUNCTION("QUERY(OptionPositionsLog, ""SELECT K WHERE B = '"" &amp; $B11  &amp; ""' ORDER BY K DESC LIMIT 1"")"),837.38)</f>
        <v>837.38</v>
      </c>
      <c r="AA11" s="141">
        <f t="shared" si="7"/>
        <v>80.48780488</v>
      </c>
      <c r="AB11" s="142" t="str">
        <f t="shared" si="8"/>
        <v/>
      </c>
      <c r="AC11" s="143">
        <f t="shared" si="9"/>
        <v>109.46046</v>
      </c>
      <c r="AD11" s="31"/>
    </row>
    <row r="12" ht="22.5" customHeight="1">
      <c r="A12" s="3" t="s">
        <v>146</v>
      </c>
      <c r="B12" s="144" t="s">
        <v>466</v>
      </c>
      <c r="C12" s="145">
        <v>46008.0</v>
      </c>
      <c r="D12" s="145">
        <v>46049.0</v>
      </c>
      <c r="E12" s="145">
        <v>46041.0</v>
      </c>
      <c r="F12" s="146">
        <v>-1.0</v>
      </c>
      <c r="G12" s="15" t="s">
        <v>455</v>
      </c>
      <c r="H12" s="46">
        <v>3.4</v>
      </c>
      <c r="I12" s="15">
        <v>0.13676</v>
      </c>
      <c r="J12" s="30">
        <v>1.0</v>
      </c>
      <c r="K12" s="135">
        <v>10000.0</v>
      </c>
      <c r="L12" s="113">
        <f>IFERROR(__xludf.DUMMYFUNCTION("QUERY(OptionPositionsLog, ""SELECT E WHERE B = '"" &amp; $B12  &amp; ""' ORDER BY A DESC LIMIT 1"")"),0.352)</f>
        <v>0.352</v>
      </c>
      <c r="M12" s="30">
        <v>0.155</v>
      </c>
      <c r="N12" s="136">
        <f t="shared" si="1"/>
        <v>3520</v>
      </c>
      <c r="O12" s="136">
        <f t="shared" si="2"/>
        <v>0</v>
      </c>
      <c r="P12" s="137">
        <f t="shared" si="3"/>
        <v>0</v>
      </c>
      <c r="Q12" s="138" t="str">
        <f t="shared" si="4"/>
        <v/>
      </c>
      <c r="R12" s="139">
        <f t="shared" si="5"/>
        <v>-183.4</v>
      </c>
      <c r="S12" s="136">
        <f t="shared" si="6"/>
        <v>-10</v>
      </c>
      <c r="T12" s="140">
        <f>IFERROR(__xludf.DUMMYFUNCTION("IF(ISBLANK($M12), QUERY(OptionPositionsLog!$A$2:$K796, ""SELECT F WHERE B = '"" &amp; $B12  &amp; ""' ORDER BY A DESC LIMIT 1""), 0)"),0.0)</f>
        <v>0</v>
      </c>
      <c r="U12" s="136">
        <f>IFERROR(__xludf.DUMMYFUNCTION("IF(ISBLANK($M12), QUERY(OptionPositionsLog!$A$2:$K796, ""SELECT G WHERE B = '"" &amp; $B12  &amp; ""' ORDER BY A DESC LIMIT 1"")*F12, 0)"),0.0)</f>
        <v>0</v>
      </c>
      <c r="V12" s="136">
        <f>IFERROR(__xludf.DUMMYFUNCTION("IF(ISBLANK($M12), QUERY(OptionPositionsLog!$A$2:$K796, ""SELECT H WHERE B = '"" &amp; $B12  &amp; ""' ORDER BY A DESC LIMIT 1"")*F12, 0)"),0.0)</f>
        <v>0</v>
      </c>
      <c r="W12" s="136">
        <f>IFERROR(__xludf.DUMMYFUNCTION("IF(ISBLANK($M12), QUERY(OptionPositionsLog!$A$2:$K796, ""SELECT I WHERE B = '"" &amp; $B12  &amp; ""' ORDER BY A DESC LIMIT 1""), 0)"),0.0)</f>
        <v>0</v>
      </c>
      <c r="X12" s="136">
        <f>IFERROR(__xludf.DUMMYFUNCTION("IF(ISBLANK($M12), QUERY(OptionPositionsLog!$A$2:$K796, ""SELECT J WHERE B = '"" &amp; $B12  &amp; ""' ORDER BY A DESC LIMIT 1""), 0)"),0.0)</f>
        <v>0</v>
      </c>
      <c r="Y12" s="136" t="str">
        <f>IFERROR(__xludf.DUMMYFUNCTION("IF(ISBLANK($M12), QUERY(OptionPositionsLog!$A$2:$K796, ""SELECT D WHERE B = '"" &amp; $B12  &amp; ""' ORDER BY A DESC LIMIT 1"")*100, """")"),"")</f>
        <v/>
      </c>
      <c r="Z12" s="113">
        <f>IFERROR(__xludf.DUMMYFUNCTION("QUERY(OptionPositionsLog, ""SELECT K WHERE B = '"" &amp; $B12  &amp; ""' ORDER BY K DESC LIMIT 1"")"),1907.71)</f>
        <v>1907.71</v>
      </c>
      <c r="AA12" s="141">
        <f t="shared" si="7"/>
        <v>80.48780488</v>
      </c>
      <c r="AB12" s="142" t="str">
        <f t="shared" si="8"/>
        <v/>
      </c>
      <c r="AC12" s="143">
        <f t="shared" si="9"/>
        <v>-9.613620519</v>
      </c>
      <c r="AD12" s="31"/>
    </row>
    <row r="13" ht="22.5" customHeight="1">
      <c r="A13" s="3" t="s">
        <v>146</v>
      </c>
      <c r="B13" s="144" t="s">
        <v>467</v>
      </c>
      <c r="C13" s="145">
        <v>46008.0</v>
      </c>
      <c r="D13" s="145">
        <v>46049.0</v>
      </c>
      <c r="E13" s="145">
        <v>46041.0</v>
      </c>
      <c r="F13" s="146">
        <v>1.0</v>
      </c>
      <c r="G13" s="15" t="s">
        <v>455</v>
      </c>
      <c r="H13" s="46">
        <v>3.3</v>
      </c>
      <c r="I13" s="15">
        <v>0.10524</v>
      </c>
      <c r="J13" s="30">
        <v>1.0</v>
      </c>
      <c r="K13" s="135">
        <v>10000.0</v>
      </c>
      <c r="L13" s="113">
        <f>IFERROR(__xludf.DUMMYFUNCTION("QUERY(OptionPositionsLog, ""SELECT E WHERE B = '"" &amp; $B13  &amp; ""' ORDER BY A DESC LIMIT 1"")"),0.282)</f>
        <v>0.282</v>
      </c>
      <c r="M13" s="30">
        <v>0.109</v>
      </c>
      <c r="N13" s="136">
        <f t="shared" si="1"/>
        <v>2820</v>
      </c>
      <c r="O13" s="136">
        <f t="shared" si="2"/>
        <v>0</v>
      </c>
      <c r="P13" s="137">
        <f t="shared" si="3"/>
        <v>0</v>
      </c>
      <c r="Q13" s="138" t="str">
        <f t="shared" si="4"/>
        <v/>
      </c>
      <c r="R13" s="139">
        <f t="shared" si="5"/>
        <v>36.6</v>
      </c>
      <c r="S13" s="136">
        <f t="shared" si="6"/>
        <v>0</v>
      </c>
      <c r="T13" s="140">
        <f>IFERROR(__xludf.DUMMYFUNCTION("IF(ISBLANK($M13), QUERY(OptionPositionsLog!$A$2:$K796, ""SELECT F WHERE B = '"" &amp; $B13  &amp; ""' ORDER BY A DESC LIMIT 1""), 0)"),0.0)</f>
        <v>0</v>
      </c>
      <c r="U13" s="136">
        <f>IFERROR(__xludf.DUMMYFUNCTION("IF(ISBLANK($M13), QUERY(OptionPositionsLog!$A$2:$K796, ""SELECT G WHERE B = '"" &amp; $B13  &amp; ""' ORDER BY A DESC LIMIT 1"")*F13, 0)"),0.0)</f>
        <v>0</v>
      </c>
      <c r="V13" s="136">
        <f>IFERROR(__xludf.DUMMYFUNCTION("IF(ISBLANK($M13), QUERY(OptionPositionsLog!$A$2:$K796, ""SELECT H WHERE B = '"" &amp; $B13  &amp; ""' ORDER BY A DESC LIMIT 1"")*F13, 0)"),0.0)</f>
        <v>0</v>
      </c>
      <c r="W13" s="136">
        <f>IFERROR(__xludf.DUMMYFUNCTION("IF(ISBLANK($M13), QUERY(OptionPositionsLog!$A$2:$K796, ""SELECT I WHERE B = '"" &amp; $B13  &amp; ""' ORDER BY A DESC LIMIT 1""), 0)"),0.0)</f>
        <v>0</v>
      </c>
      <c r="X13" s="136">
        <f>IFERROR(__xludf.DUMMYFUNCTION("IF(ISBLANK($M13), QUERY(OptionPositionsLog!$A$2:$K796, ""SELECT J WHERE B = '"" &amp; $B13  &amp; ""' ORDER BY A DESC LIMIT 1""), 0)"),0.0)</f>
        <v>0</v>
      </c>
      <c r="Y13" s="136" t="str">
        <f>IFERROR(__xludf.DUMMYFUNCTION("IF(ISBLANK($M13), QUERY(OptionPositionsLog!$A$2:$K796, ""SELECT D WHERE B = '"" &amp; $B13  &amp; ""' ORDER BY A DESC LIMIT 1"")*100, """")"),"")</f>
        <v/>
      </c>
      <c r="Z13" s="113">
        <f>IFERROR(__xludf.DUMMYFUNCTION("QUERY(OptionPositionsLog, ""SELECT K WHERE B = '"" &amp; $B13  &amp; ""' ORDER BY K DESC LIMIT 1"")"),6839.19)</f>
        <v>6839.19</v>
      </c>
      <c r="AA13" s="141">
        <f t="shared" si="7"/>
        <v>80.48780488</v>
      </c>
      <c r="AB13" s="142" t="str">
        <f t="shared" si="8"/>
        <v/>
      </c>
      <c r="AC13" s="143">
        <f t="shared" si="9"/>
        <v>0.5351510925</v>
      </c>
      <c r="AD13" s="31"/>
    </row>
    <row r="14" ht="22.5" customHeight="1">
      <c r="A14" s="3" t="s">
        <v>146</v>
      </c>
      <c r="B14" s="144" t="s">
        <v>468</v>
      </c>
      <c r="C14" s="145">
        <v>46008.0</v>
      </c>
      <c r="D14" s="145">
        <v>46049.0</v>
      </c>
      <c r="E14" s="145">
        <v>46041.0</v>
      </c>
      <c r="F14" s="146">
        <v>1.0</v>
      </c>
      <c r="G14" s="15" t="s">
        <v>459</v>
      </c>
      <c r="H14" s="46">
        <v>5.1</v>
      </c>
      <c r="I14" s="15">
        <v>0.09124</v>
      </c>
      <c r="J14" s="30">
        <v>1.0</v>
      </c>
      <c r="K14" s="135">
        <v>10000.0</v>
      </c>
      <c r="L14" s="113">
        <f>IFERROR(__xludf.DUMMYFUNCTION("QUERY(OptionPositionsLog, ""SELECT E WHERE B = '"" &amp; $B14  &amp; ""' ORDER BY A DESC LIMIT 1"")"),0.002)</f>
        <v>0.002</v>
      </c>
      <c r="M14" s="30">
        <v>0.009</v>
      </c>
      <c r="N14" s="136">
        <f t="shared" si="1"/>
        <v>20</v>
      </c>
      <c r="O14" s="136">
        <f t="shared" si="2"/>
        <v>0</v>
      </c>
      <c r="P14" s="137">
        <f t="shared" si="3"/>
        <v>0</v>
      </c>
      <c r="Q14" s="138" t="str">
        <f t="shared" si="4"/>
        <v/>
      </c>
      <c r="R14" s="139">
        <f t="shared" si="5"/>
        <v>-823.4</v>
      </c>
      <c r="S14" s="136">
        <f t="shared" si="6"/>
        <v>-90</v>
      </c>
      <c r="T14" s="140">
        <f>IFERROR(__xludf.DUMMYFUNCTION("IF(ISBLANK($M14), QUERY(OptionPositionsLog!$A$2:$K796, ""SELECT F WHERE B = '"" &amp; $B14  &amp; ""' ORDER BY A DESC LIMIT 1""), 0)"),0.0)</f>
        <v>0</v>
      </c>
      <c r="U14" s="136">
        <f>IFERROR(__xludf.DUMMYFUNCTION("IF(ISBLANK($M14), QUERY(OptionPositionsLog!$A$2:$K796, ""SELECT G WHERE B = '"" &amp; $B14  &amp; ""' ORDER BY A DESC LIMIT 1"")*F14, 0)"),0.0)</f>
        <v>0</v>
      </c>
      <c r="V14" s="136">
        <f>IFERROR(__xludf.DUMMYFUNCTION("IF(ISBLANK($M14), QUERY(OptionPositionsLog!$A$2:$K796, ""SELECT H WHERE B = '"" &amp; $B14  &amp; ""' ORDER BY A DESC LIMIT 1"")*F14, 0)"),0.0)</f>
        <v>0</v>
      </c>
      <c r="W14" s="136">
        <f>IFERROR(__xludf.DUMMYFUNCTION("IF(ISBLANK($M14), QUERY(OptionPositionsLog!$A$2:$K796, ""SELECT I WHERE B = '"" &amp; $B14  &amp; ""' ORDER BY A DESC LIMIT 1""), 0)"),0.0)</f>
        <v>0</v>
      </c>
      <c r="X14" s="136">
        <f>IFERROR(__xludf.DUMMYFUNCTION("IF(ISBLANK($M14), QUERY(OptionPositionsLog!$A$2:$K796, ""SELECT J WHERE B = '"" &amp; $B14  &amp; ""' ORDER BY A DESC LIMIT 1""), 0)"),0.0)</f>
        <v>0</v>
      </c>
      <c r="Y14" s="136" t="str">
        <f>IFERROR(__xludf.DUMMYFUNCTION("IF(ISBLANK($M14), QUERY(OptionPositionsLog!$A$2:$K796, ""SELECT D WHERE B = '"" &amp; $B14  &amp; ""' ORDER BY A DESC LIMIT 1"")*100, """")"),"")</f>
        <v/>
      </c>
      <c r="Z14" s="113">
        <f>IFERROR(__xludf.DUMMYFUNCTION("QUERY(OptionPositionsLog, ""SELECT K WHERE B = '"" &amp; $B14  &amp; ""' ORDER BY K DESC LIMIT 1"")"),3087.33)</f>
        <v>3087.33</v>
      </c>
      <c r="AA14" s="141">
        <f t="shared" si="7"/>
        <v>80.48780488</v>
      </c>
      <c r="AB14" s="142" t="str">
        <f t="shared" si="8"/>
        <v/>
      </c>
      <c r="AC14" s="143">
        <f t="shared" si="9"/>
        <v>-26.6702944</v>
      </c>
      <c r="AD14" s="31"/>
    </row>
    <row r="15" ht="22.5" customHeight="1">
      <c r="A15" s="129" t="s">
        <v>42</v>
      </c>
      <c r="B15" s="130" t="s">
        <v>469</v>
      </c>
      <c r="C15" s="131">
        <v>46017.0</v>
      </c>
      <c r="D15" s="131">
        <v>46073.0</v>
      </c>
      <c r="E15" s="131">
        <v>46034.0</v>
      </c>
      <c r="F15" s="132">
        <v>-1.0</v>
      </c>
      <c r="G15" s="30" t="s">
        <v>455</v>
      </c>
      <c r="H15" s="133">
        <v>68.0</v>
      </c>
      <c r="I15" s="30">
        <v>5.85333</v>
      </c>
      <c r="J15" s="30">
        <v>1.0</v>
      </c>
      <c r="K15" s="147">
        <v>100.0</v>
      </c>
      <c r="L15" s="148">
        <f>IFERROR(__xludf.DUMMYFUNCTION("QUERY(OptionPositionsLog, ""SELECT E WHERE B = '"" &amp; $B15  &amp; ""' ORDER BY A DESC LIMIT 1"")"),3.92)</f>
        <v>3.92</v>
      </c>
      <c r="M15" s="30">
        <v>2.7</v>
      </c>
      <c r="N15" s="140">
        <f t="shared" si="1"/>
        <v>392</v>
      </c>
      <c r="O15" s="140">
        <f t="shared" si="2"/>
        <v>0</v>
      </c>
      <c r="P15" s="149">
        <f t="shared" si="3"/>
        <v>0</v>
      </c>
      <c r="Q15" s="138" t="str">
        <f t="shared" si="4"/>
        <v/>
      </c>
      <c r="R15" s="150">
        <f t="shared" si="5"/>
        <v>314.333</v>
      </c>
      <c r="S15" s="140">
        <f t="shared" si="6"/>
        <v>50</v>
      </c>
      <c r="T15" s="140">
        <f>IFERROR(__xludf.DUMMYFUNCTION("IF(ISBLANK($M15), QUERY(OptionPositionsLog!$A$2:$K796, ""SELECT F WHERE B = '"" &amp; $B15  &amp; ""' ORDER BY A DESC LIMIT 1""), 0)"),0.0)</f>
        <v>0</v>
      </c>
      <c r="U15" s="136">
        <f>IFERROR(__xludf.DUMMYFUNCTION("IF(ISBLANK($M15), QUERY(OptionPositionsLog!$A$2:$K796, ""SELECT G WHERE B = '"" &amp; $B15  &amp; ""' ORDER BY A DESC LIMIT 1"")*F15, 0)"),0.0)</f>
        <v>0</v>
      </c>
      <c r="V15" s="136">
        <f>IFERROR(__xludf.DUMMYFUNCTION("IF(ISBLANK($M15), QUERY(OptionPositionsLog!$A$2:$K796, ""SELECT H WHERE B = '"" &amp; $B15  &amp; ""' ORDER BY A DESC LIMIT 1"")*F15, 0)"),0.0)</f>
        <v>0</v>
      </c>
      <c r="W15" s="136">
        <f>IFERROR(__xludf.DUMMYFUNCTION("IF(ISBLANK($M15), QUERY(OptionPositionsLog!$A$2:$K796, ""SELECT I WHERE B = '"" &amp; $B15  &amp; ""' ORDER BY A DESC LIMIT 1""), 0)"),0.0)</f>
        <v>0</v>
      </c>
      <c r="X15" s="136">
        <f>IFERROR(__xludf.DUMMYFUNCTION("IF(ISBLANK($M15), QUERY(OptionPositionsLog!$A$2:$K796, ""SELECT J WHERE B = '"" &amp; $B15  &amp; ""' ORDER BY A DESC LIMIT 1""), 0)"),0.0)</f>
        <v>0</v>
      </c>
      <c r="Y15" s="136" t="str">
        <f>IFERROR(__xludf.DUMMYFUNCTION("IF(ISBLANK($M15), QUERY(OptionPositionsLog!$A$2:$K796, ""SELECT D WHERE B = '"" &amp; $B15  &amp; ""' ORDER BY A DESC LIMIT 1"")*100, """")"),"")</f>
        <v/>
      </c>
      <c r="Z15" s="148">
        <f>IFERROR(__xludf.DUMMYFUNCTION("QUERY(OptionPositionsLog, ""SELECT K WHERE B = '"" &amp; $B15  &amp; ""' ORDER BY K DESC LIMIT 1"")"),71.35)</f>
        <v>71.35</v>
      </c>
      <c r="AA15" s="151">
        <f t="shared" si="7"/>
        <v>30.35714286</v>
      </c>
      <c r="AB15" s="152" t="str">
        <f t="shared" si="8"/>
        <v/>
      </c>
      <c r="AC15" s="153">
        <f t="shared" si="9"/>
        <v>440.5508059</v>
      </c>
      <c r="AD15" s="31"/>
    </row>
    <row r="16" ht="22.5" customHeight="1">
      <c r="A16" s="3" t="s">
        <v>152</v>
      </c>
      <c r="B16" s="144" t="s">
        <v>470</v>
      </c>
      <c r="C16" s="145">
        <v>46020.0</v>
      </c>
      <c r="D16" s="145">
        <v>46038.0</v>
      </c>
      <c r="E16" s="145">
        <v>46029.0</v>
      </c>
      <c r="F16" s="146">
        <v>-1.0</v>
      </c>
      <c r="G16" s="15" t="s">
        <v>455</v>
      </c>
      <c r="H16" s="46">
        <v>380.0</v>
      </c>
      <c r="I16" s="15">
        <v>2.33333</v>
      </c>
      <c r="J16" s="15">
        <v>1.0</v>
      </c>
      <c r="K16" s="147">
        <v>100.0</v>
      </c>
      <c r="L16" s="148">
        <f>IFERROR(__xludf.DUMMYFUNCTION("QUERY(OptionPositionsLog, ""SELECT E WHERE B = '"" &amp; $B16  &amp; ""' ORDER BY A DESC LIMIT 1"")"),2.4)</f>
        <v>2.4</v>
      </c>
      <c r="M16" s="15">
        <v>0.35</v>
      </c>
      <c r="N16" s="140">
        <f t="shared" si="1"/>
        <v>240</v>
      </c>
      <c r="O16" s="140">
        <f t="shared" si="2"/>
        <v>0</v>
      </c>
      <c r="P16" s="149">
        <f t="shared" si="3"/>
        <v>0</v>
      </c>
      <c r="Q16" s="138" t="str">
        <f t="shared" si="4"/>
        <v/>
      </c>
      <c r="R16" s="150">
        <f t="shared" si="5"/>
        <v>197.333</v>
      </c>
      <c r="S16" s="140">
        <f t="shared" si="6"/>
        <v>80</v>
      </c>
      <c r="T16" s="140">
        <f>IFERROR(__xludf.DUMMYFUNCTION("IF(ISBLANK($M16), QUERY(OptionPositionsLog!$A$2:$K796, ""SELECT F WHERE B = '"" &amp; $B16  &amp; ""' ORDER BY A DESC LIMIT 1""), 0)"),0.0)</f>
        <v>0</v>
      </c>
      <c r="U16" s="136">
        <f>IFERROR(__xludf.DUMMYFUNCTION("IF(ISBLANK($M16), QUERY(OptionPositionsLog!$A$2:$K796, ""SELECT G WHERE B = '"" &amp; $B16  &amp; ""' ORDER BY A DESC LIMIT 1"")*F16, 0)"),0.0)</f>
        <v>0</v>
      </c>
      <c r="V16" s="136">
        <f>IFERROR(__xludf.DUMMYFUNCTION("IF(ISBLANK($M16), QUERY(OptionPositionsLog!$A$2:$K796, ""SELECT H WHERE B = '"" &amp; $B16  &amp; ""' ORDER BY A DESC LIMIT 1"")*F16, 0)"),0.0)</f>
        <v>0</v>
      </c>
      <c r="W16" s="136">
        <f>IFERROR(__xludf.DUMMYFUNCTION("IF(ISBLANK($M16), QUERY(OptionPositionsLog!$A$2:$K796, ""SELECT I WHERE B = '"" &amp; $B16  &amp; ""' ORDER BY A DESC LIMIT 1""), 0)"),0.0)</f>
        <v>0</v>
      </c>
      <c r="X16" s="136">
        <f>IFERROR(__xludf.DUMMYFUNCTION("IF(ISBLANK($M16), QUERY(OptionPositionsLog!$A$2:$K796, ""SELECT J WHERE B = '"" &amp; $B16  &amp; ""' ORDER BY A DESC LIMIT 1""), 0)"),0.0)</f>
        <v>0</v>
      </c>
      <c r="Y16" s="136" t="str">
        <f>IFERROR(__xludf.DUMMYFUNCTION("IF(ISBLANK($M16), QUERY(OptionPositionsLog!$A$2:$K796, ""SELECT D WHERE B = '"" &amp; $B16  &amp; ""' ORDER BY A DESC LIMIT 1"")*100, """")"),"")</f>
        <v/>
      </c>
      <c r="Z16" s="148">
        <f>IFERROR(__xludf.DUMMYFUNCTION("QUERY(OptionPositionsLog, ""SELECT K WHERE B = '"" &amp; $B16  &amp; ""' ORDER BY K DESC LIMIT 1"")"),91.59)</f>
        <v>91.59</v>
      </c>
      <c r="AA16" s="151">
        <f t="shared" si="7"/>
        <v>50</v>
      </c>
      <c r="AB16" s="152" t="str">
        <f t="shared" si="8"/>
        <v/>
      </c>
      <c r="AC16" s="153">
        <f t="shared" si="9"/>
        <v>215.4525603</v>
      </c>
      <c r="AD16" s="31"/>
    </row>
    <row r="17" ht="22.5" customHeight="1">
      <c r="A17" s="129" t="s">
        <v>152</v>
      </c>
      <c r="B17" s="130" t="s">
        <v>471</v>
      </c>
      <c r="C17" s="145">
        <v>46020.0</v>
      </c>
      <c r="D17" s="131">
        <v>46038.0</v>
      </c>
      <c r="E17" s="145">
        <v>46029.0</v>
      </c>
      <c r="F17" s="132">
        <v>-1.0</v>
      </c>
      <c r="G17" s="30" t="s">
        <v>459</v>
      </c>
      <c r="H17" s="133">
        <v>422.0</v>
      </c>
      <c r="I17" s="30">
        <v>2.26333</v>
      </c>
      <c r="J17" s="30">
        <v>1.0</v>
      </c>
      <c r="K17" s="147">
        <v>100.0</v>
      </c>
      <c r="L17" s="148">
        <f>IFERROR(__xludf.DUMMYFUNCTION("QUERY(OptionPositionsLog, ""SELECT E WHERE B = '"" &amp; $B17  &amp; ""' ORDER BY A DESC LIMIT 1"")"),2.14)</f>
        <v>2.14</v>
      </c>
      <c r="M17" s="30">
        <v>1.85</v>
      </c>
      <c r="N17" s="140">
        <f t="shared" si="1"/>
        <v>214</v>
      </c>
      <c r="O17" s="140">
        <f t="shared" si="2"/>
        <v>0</v>
      </c>
      <c r="P17" s="149">
        <f t="shared" si="3"/>
        <v>0</v>
      </c>
      <c r="Q17" s="138" t="str">
        <f t="shared" si="4"/>
        <v/>
      </c>
      <c r="R17" s="150">
        <f t="shared" si="5"/>
        <v>40.333</v>
      </c>
      <c r="S17" s="140">
        <f t="shared" si="6"/>
        <v>20</v>
      </c>
      <c r="T17" s="140">
        <f>IFERROR(__xludf.DUMMYFUNCTION("IF(ISBLANK($M17), QUERY(OptionPositionsLog!$A$2:$K796, ""SELECT F WHERE B = '"" &amp; $B17  &amp; ""' ORDER BY A DESC LIMIT 1""), 0)"),0.0)</f>
        <v>0</v>
      </c>
      <c r="U17" s="136">
        <f>IFERROR(__xludf.DUMMYFUNCTION("IF(ISBLANK($M17), QUERY(OptionPositionsLog!$A$2:$K796, ""SELECT G WHERE B = '"" &amp; $B17  &amp; ""' ORDER BY A DESC LIMIT 1"")*F17, 0)"),0.0)</f>
        <v>0</v>
      </c>
      <c r="V17" s="136">
        <f>IFERROR(__xludf.DUMMYFUNCTION("IF(ISBLANK($M17), QUERY(OptionPositionsLog!$A$2:$K796, ""SELECT H WHERE B = '"" &amp; $B17  &amp; ""' ORDER BY A DESC LIMIT 1"")*F17, 0)"),0.0)</f>
        <v>0</v>
      </c>
      <c r="W17" s="136">
        <f>IFERROR(__xludf.DUMMYFUNCTION("IF(ISBLANK($M17), QUERY(OptionPositionsLog!$A$2:$K796, ""SELECT I WHERE B = '"" &amp; $B17  &amp; ""' ORDER BY A DESC LIMIT 1""), 0)"),0.0)</f>
        <v>0</v>
      </c>
      <c r="X17" s="136">
        <f>IFERROR(__xludf.DUMMYFUNCTION("IF(ISBLANK($M17), QUERY(OptionPositionsLog!$A$2:$K796, ""SELECT J WHERE B = '"" &amp; $B17  &amp; ""' ORDER BY A DESC LIMIT 1""), 0)"),0.0)</f>
        <v>0</v>
      </c>
      <c r="Y17" s="136" t="str">
        <f>IFERROR(__xludf.DUMMYFUNCTION("IF(ISBLANK($M17), QUERY(OptionPositionsLog!$A$2:$K796, ""SELECT D WHERE B = '"" &amp; $B17  &amp; ""' ORDER BY A DESC LIMIT 1"")*100, """")"),"")</f>
        <v/>
      </c>
      <c r="Z17" s="148">
        <f>IFERROR(__xludf.DUMMYFUNCTION("QUERY(OptionPositionsLog, ""SELECT K WHERE B = '"" &amp; $B17  &amp; ""' ORDER BY K DESC LIMIT 1"")"),132.12)</f>
        <v>132.12</v>
      </c>
      <c r="AA17" s="151">
        <f t="shared" si="7"/>
        <v>50</v>
      </c>
      <c r="AB17" s="152" t="str">
        <f t="shared" si="8"/>
        <v/>
      </c>
      <c r="AC17" s="153">
        <f t="shared" si="9"/>
        <v>30.52755071</v>
      </c>
      <c r="AD17" s="31"/>
    </row>
    <row r="18" ht="22.5" customHeight="1">
      <c r="A18" s="3" t="s">
        <v>157</v>
      </c>
      <c r="B18" s="144" t="s">
        <v>472</v>
      </c>
      <c r="C18" s="145">
        <v>46028.0</v>
      </c>
      <c r="D18" s="145">
        <v>46045.0</v>
      </c>
      <c r="E18" s="145">
        <v>46035.0</v>
      </c>
      <c r="F18" s="146">
        <v>1.0</v>
      </c>
      <c r="G18" s="15" t="s">
        <v>459</v>
      </c>
      <c r="H18" s="46">
        <v>485.0</v>
      </c>
      <c r="I18" s="15">
        <v>5.20699</v>
      </c>
      <c r="J18" s="30">
        <v>1.0</v>
      </c>
      <c r="K18" s="147">
        <v>100.0</v>
      </c>
      <c r="L18" s="148">
        <f>IFERROR(__xludf.DUMMYFUNCTION("QUERY(OptionPositionsLog, ""SELECT E WHERE B = '"" &amp; $B18  &amp; ""' ORDER BY A DESC LIMIT 1"")"),3.6)</f>
        <v>3.6</v>
      </c>
      <c r="M18" s="30">
        <v>1.54</v>
      </c>
      <c r="N18" s="140">
        <f t="shared" si="1"/>
        <v>360</v>
      </c>
      <c r="O18" s="140">
        <f t="shared" si="2"/>
        <v>0</v>
      </c>
      <c r="P18" s="149">
        <f t="shared" si="3"/>
        <v>0</v>
      </c>
      <c r="Q18" s="138" t="str">
        <f t="shared" si="4"/>
        <v/>
      </c>
      <c r="R18" s="150">
        <f t="shared" si="5"/>
        <v>-367.699</v>
      </c>
      <c r="S18" s="140">
        <f t="shared" si="6"/>
        <v>-70</v>
      </c>
      <c r="T18" s="140">
        <f>IFERROR(__xludf.DUMMYFUNCTION("IF(ISBLANK($M18), QUERY(OptionPositionsLog!$A$2:$K796, ""SELECT F WHERE B = '"" &amp; $B18  &amp; ""' ORDER BY A DESC LIMIT 1""), 0)"),0.0)</f>
        <v>0</v>
      </c>
      <c r="U18" s="136">
        <f>IFERROR(__xludf.DUMMYFUNCTION("IF(ISBLANK($M18), QUERY(OptionPositionsLog!$A$2:$K796, ""SELECT G WHERE B = '"" &amp; $B18  &amp; ""' ORDER BY A DESC LIMIT 1"")*F18, 0)"),0.0)</f>
        <v>0</v>
      </c>
      <c r="V18" s="136">
        <f>IFERROR(__xludf.DUMMYFUNCTION("IF(ISBLANK($M18), QUERY(OptionPositionsLog!$A$2:$K796, ""SELECT H WHERE B = '"" &amp; $B18  &amp; ""' ORDER BY A DESC LIMIT 1"")*F18, 0)"),0.0)</f>
        <v>0</v>
      </c>
      <c r="W18" s="136">
        <f>IFERROR(__xludf.DUMMYFUNCTION("IF(ISBLANK($M18), QUERY(OptionPositionsLog!$A$2:$K796, ""SELECT I WHERE B = '"" &amp; $B18  &amp; ""' ORDER BY A DESC LIMIT 1""), 0)"),0.0)</f>
        <v>0</v>
      </c>
      <c r="X18" s="136">
        <f>IFERROR(__xludf.DUMMYFUNCTION("IF(ISBLANK($M18), QUERY(OptionPositionsLog!$A$2:$K796, ""SELECT J WHERE B = '"" &amp; $B18  &amp; ""' ORDER BY A DESC LIMIT 1""), 0)"),0.0)</f>
        <v>0</v>
      </c>
      <c r="Y18" s="136" t="str">
        <f>IFERROR(__xludf.DUMMYFUNCTION("IF(ISBLANK($M18), QUERY(OptionPositionsLog!$A$2:$K796, ""SELECT D WHERE B = '"" &amp; $B18  &amp; ""' ORDER BY A DESC LIMIT 1"")*100, """")"),"")</f>
        <v/>
      </c>
      <c r="Z18" s="148">
        <f>IFERROR(__xludf.DUMMYFUNCTION("QUERY(OptionPositionsLog, ""SELECT K WHERE B = '"" &amp; $B18  &amp; ""' ORDER BY K DESC LIMIT 1"")"),5186.3)</f>
        <v>5186.3</v>
      </c>
      <c r="AA18" s="151">
        <f t="shared" si="7"/>
        <v>41.17647059</v>
      </c>
      <c r="AB18" s="152" t="str">
        <f t="shared" si="8"/>
        <v/>
      </c>
      <c r="AC18" s="153">
        <f t="shared" si="9"/>
        <v>-7.089813547</v>
      </c>
      <c r="AD18" s="31"/>
    </row>
    <row r="19" ht="22.5" customHeight="1">
      <c r="A19" s="3" t="s">
        <v>157</v>
      </c>
      <c r="B19" s="144" t="s">
        <v>473</v>
      </c>
      <c r="C19" s="145">
        <v>46028.0</v>
      </c>
      <c r="D19" s="145">
        <v>46045.0</v>
      </c>
      <c r="E19" s="145">
        <v>46035.0</v>
      </c>
      <c r="F19" s="146">
        <v>-1.0</v>
      </c>
      <c r="G19" s="15" t="s">
        <v>459</v>
      </c>
      <c r="H19" s="46">
        <v>490.0</v>
      </c>
      <c r="I19" s="15">
        <v>3.49298</v>
      </c>
      <c r="J19" s="30">
        <v>1.0</v>
      </c>
      <c r="K19" s="147">
        <v>100.0</v>
      </c>
      <c r="L19" s="148">
        <f>IFERROR(__xludf.DUMMYFUNCTION("QUERY(OptionPositionsLog, ""SELECT E WHERE B = '"" &amp; $B19  &amp; ""' ORDER BY A DESC LIMIT 1"")"),2.25)</f>
        <v>2.25</v>
      </c>
      <c r="M19" s="30">
        <v>0.94</v>
      </c>
      <c r="N19" s="140">
        <f t="shared" si="1"/>
        <v>225</v>
      </c>
      <c r="O19" s="140">
        <f t="shared" si="2"/>
        <v>0</v>
      </c>
      <c r="P19" s="149">
        <f t="shared" si="3"/>
        <v>0</v>
      </c>
      <c r="Q19" s="138" t="str">
        <f t="shared" si="4"/>
        <v/>
      </c>
      <c r="R19" s="150">
        <f t="shared" si="5"/>
        <v>254.298</v>
      </c>
      <c r="S19" s="140">
        <f t="shared" si="6"/>
        <v>70</v>
      </c>
      <c r="T19" s="140">
        <f>IFERROR(__xludf.DUMMYFUNCTION("IF(ISBLANK($M19), QUERY(OptionPositionsLog!$A$2:$K796, ""SELECT F WHERE B = '"" &amp; $B19  &amp; ""' ORDER BY A DESC LIMIT 1""), 0)"),0.0)</f>
        <v>0</v>
      </c>
      <c r="U19" s="136">
        <f>IFERROR(__xludf.DUMMYFUNCTION("IF(ISBLANK($M19), QUERY(OptionPositionsLog!$A$2:$K796, ""SELECT G WHERE B = '"" &amp; $B19  &amp; ""' ORDER BY A DESC LIMIT 1"")*F19, 0)"),0.0)</f>
        <v>0</v>
      </c>
      <c r="V19" s="136">
        <f>IFERROR(__xludf.DUMMYFUNCTION("IF(ISBLANK($M19), QUERY(OptionPositionsLog!$A$2:$K796, ""SELECT H WHERE B = '"" &amp; $B19  &amp; ""' ORDER BY A DESC LIMIT 1"")*F19, 0)"),0.0)</f>
        <v>0</v>
      </c>
      <c r="W19" s="136">
        <f>IFERROR(__xludf.DUMMYFUNCTION("IF(ISBLANK($M19), QUERY(OptionPositionsLog!$A$2:$K796, ""SELECT I WHERE B = '"" &amp; $B19  &amp; ""' ORDER BY A DESC LIMIT 1""), 0)"),0.0)</f>
        <v>0</v>
      </c>
      <c r="X19" s="136">
        <f>IFERROR(__xludf.DUMMYFUNCTION("IF(ISBLANK($M19), QUERY(OptionPositionsLog!$A$2:$K796, ""SELECT J WHERE B = '"" &amp; $B19  &amp; ""' ORDER BY A DESC LIMIT 1""), 0)"),0.0)</f>
        <v>0</v>
      </c>
      <c r="Y19" s="136" t="str">
        <f>IFERROR(__xludf.DUMMYFUNCTION("IF(ISBLANK($M19), QUERY(OptionPositionsLog!$A$2:$K796, ""SELECT D WHERE B = '"" &amp; $B19  &amp; ""' ORDER BY A DESC LIMIT 1"")*100, """")"),"")</f>
        <v/>
      </c>
      <c r="Z19" s="148">
        <f>IFERROR(__xludf.DUMMYFUNCTION("QUERY(OptionPositionsLog, ""SELECT K WHERE B = '"" &amp; $B19  &amp; ""' ORDER BY K DESC LIMIT 1"")"),471.24)</f>
        <v>471.24</v>
      </c>
      <c r="AA19" s="151">
        <f t="shared" si="7"/>
        <v>41.17647059</v>
      </c>
      <c r="AB19" s="152" t="str">
        <f t="shared" si="8"/>
        <v/>
      </c>
      <c r="AC19" s="153">
        <f t="shared" si="9"/>
        <v>53.96358543</v>
      </c>
      <c r="AD19" s="31"/>
    </row>
    <row r="20" ht="22.5" customHeight="1">
      <c r="A20" s="3" t="s">
        <v>167</v>
      </c>
      <c r="B20" s="144" t="s">
        <v>474</v>
      </c>
      <c r="C20" s="145">
        <v>46029.0</v>
      </c>
      <c r="D20" s="145">
        <v>46073.0</v>
      </c>
      <c r="E20" s="145">
        <v>46045.0</v>
      </c>
      <c r="F20" s="146">
        <v>1.0</v>
      </c>
      <c r="G20" s="15" t="s">
        <v>459</v>
      </c>
      <c r="H20" s="46">
        <v>15.0</v>
      </c>
      <c r="I20" s="15">
        <v>1.54051</v>
      </c>
      <c r="J20" s="30">
        <v>1.0</v>
      </c>
      <c r="K20" s="147">
        <v>100.0</v>
      </c>
      <c r="L20" s="148">
        <f>IFERROR(__xludf.DUMMYFUNCTION("QUERY(OptionPositionsLog, ""SELECT E WHERE B = '"" &amp; $B20  &amp; ""' ORDER BY A DESC LIMIT 1"")"),4.5)</f>
        <v>4.5</v>
      </c>
      <c r="M20" s="30">
        <v>5.85</v>
      </c>
      <c r="N20" s="140">
        <f t="shared" si="1"/>
        <v>450</v>
      </c>
      <c r="O20" s="140">
        <f t="shared" si="2"/>
        <v>0</v>
      </c>
      <c r="P20" s="149">
        <f t="shared" si="3"/>
        <v>0</v>
      </c>
      <c r="Q20" s="138" t="str">
        <f t="shared" si="4"/>
        <v/>
      </c>
      <c r="R20" s="150">
        <f t="shared" si="5"/>
        <v>429.949</v>
      </c>
      <c r="S20" s="140">
        <f t="shared" si="6"/>
        <v>280</v>
      </c>
      <c r="T20" s="140">
        <f>IFERROR(__xludf.DUMMYFUNCTION("IF(ISBLANK($M20), QUERY(OptionPositionsLog!$A$2:$K796, ""SELECT F WHERE B = '"" &amp; $B20  &amp; ""' ORDER BY A DESC LIMIT 1""), 0)"),0.0)</f>
        <v>0</v>
      </c>
      <c r="U20" s="136">
        <f>IFERROR(__xludf.DUMMYFUNCTION("IF(ISBLANK($M20), QUERY(OptionPositionsLog!$A$2:$K796, ""SELECT G WHERE B = '"" &amp; $B20  &amp; ""' ORDER BY A DESC LIMIT 1"")*F20, 0)"),0.0)</f>
        <v>0</v>
      </c>
      <c r="V20" s="136">
        <f>IFERROR(__xludf.DUMMYFUNCTION("IF(ISBLANK($M20), QUERY(OptionPositionsLog!$A$2:$K796, ""SELECT H WHERE B = '"" &amp; $B20  &amp; ""' ORDER BY A DESC LIMIT 1"")*F20, 0)"),0.0)</f>
        <v>0</v>
      </c>
      <c r="W20" s="136">
        <f>IFERROR(__xludf.DUMMYFUNCTION("IF(ISBLANK($M20), QUERY(OptionPositionsLog!$A$2:$K796, ""SELECT I WHERE B = '"" &amp; $B20  &amp; ""' ORDER BY A DESC LIMIT 1""), 0)"),0.0)</f>
        <v>0</v>
      </c>
      <c r="X20" s="136">
        <f>IFERROR(__xludf.DUMMYFUNCTION("IF(ISBLANK($M20), QUERY(OptionPositionsLog!$A$2:$K796, ""SELECT J WHERE B = '"" &amp; $B20  &amp; ""' ORDER BY A DESC LIMIT 1""), 0)"),0.0)</f>
        <v>0</v>
      </c>
      <c r="Y20" s="136" t="str">
        <f>IFERROR(__xludf.DUMMYFUNCTION("IF(ISBLANK($M20), QUERY(OptionPositionsLog!$A$2:$K796, ""SELECT D WHERE B = '"" &amp; $B20  &amp; ""' ORDER BY A DESC LIMIT 1"")*100, """")"),"")</f>
        <v/>
      </c>
      <c r="Z20" s="148">
        <f>IFERROR(__xludf.DUMMYFUNCTION("QUERY(OptionPositionsLog, ""SELECT K WHERE B = '"" &amp; $B20  &amp; ""' ORDER BY K DESC LIMIT 1"")"),495.64)</f>
        <v>495.64</v>
      </c>
      <c r="AA20" s="151">
        <f t="shared" si="7"/>
        <v>36.36363636</v>
      </c>
      <c r="AB20" s="152" t="str">
        <f t="shared" si="8"/>
        <v/>
      </c>
      <c r="AC20" s="153">
        <f t="shared" si="9"/>
        <v>86.7462271</v>
      </c>
      <c r="AD20" s="31"/>
    </row>
    <row r="21" ht="22.5" customHeight="1">
      <c r="A21" s="3" t="s">
        <v>167</v>
      </c>
      <c r="B21" s="144" t="s">
        <v>475</v>
      </c>
      <c r="C21" s="145">
        <v>46029.0</v>
      </c>
      <c r="D21" s="145">
        <v>46073.0</v>
      </c>
      <c r="E21" s="145">
        <v>46045.0</v>
      </c>
      <c r="F21" s="146">
        <v>-1.0</v>
      </c>
      <c r="G21" s="15" t="s">
        <v>459</v>
      </c>
      <c r="H21" s="46">
        <v>20.0</v>
      </c>
      <c r="I21" s="15">
        <v>0.79945</v>
      </c>
      <c r="J21" s="30">
        <v>1.0</v>
      </c>
      <c r="K21" s="147">
        <v>100.0</v>
      </c>
      <c r="L21" s="148">
        <f>IFERROR(__xludf.DUMMYFUNCTION("QUERY(OptionPositionsLog, ""SELECT E WHERE B = '"" &amp; $B21  &amp; ""' ORDER BY A DESC LIMIT 1"")"),2.45)</f>
        <v>2.45</v>
      </c>
      <c r="M21" s="30">
        <v>3.3</v>
      </c>
      <c r="N21" s="140">
        <f t="shared" si="1"/>
        <v>245</v>
      </c>
      <c r="O21" s="140">
        <f t="shared" si="2"/>
        <v>0</v>
      </c>
      <c r="P21" s="149">
        <f t="shared" si="3"/>
        <v>0</v>
      </c>
      <c r="Q21" s="138" t="str">
        <f t="shared" si="4"/>
        <v/>
      </c>
      <c r="R21" s="150">
        <f t="shared" si="5"/>
        <v>-251.055</v>
      </c>
      <c r="S21" s="140">
        <f t="shared" si="6"/>
        <v>-310</v>
      </c>
      <c r="T21" s="140">
        <f>IFERROR(__xludf.DUMMYFUNCTION("IF(ISBLANK($M21), QUERY(OptionPositionsLog!$A$2:$K796, ""SELECT F WHERE B = '"" &amp; $B21  &amp; ""' ORDER BY A DESC LIMIT 1""), 0)"),0.0)</f>
        <v>0</v>
      </c>
      <c r="U21" s="136">
        <f>IFERROR(__xludf.DUMMYFUNCTION("IF(ISBLANK($M21), QUERY(OptionPositionsLog!$A$2:$K796, ""SELECT G WHERE B = '"" &amp; $B21  &amp; ""' ORDER BY A DESC LIMIT 1"")*F21, 0)"),0.0)</f>
        <v>0</v>
      </c>
      <c r="V21" s="136">
        <f>IFERROR(__xludf.DUMMYFUNCTION("IF(ISBLANK($M21), QUERY(OptionPositionsLog!$A$2:$K796, ""SELECT H WHERE B = '"" &amp; $B21  &amp; ""' ORDER BY A DESC LIMIT 1"")*F21, 0)"),0.0)</f>
        <v>0</v>
      </c>
      <c r="W21" s="136">
        <f>IFERROR(__xludf.DUMMYFUNCTION("IF(ISBLANK($M21), QUERY(OptionPositionsLog!$A$2:$K796, ""SELECT I WHERE B = '"" &amp; $B21  &amp; ""' ORDER BY A DESC LIMIT 1""), 0)"),0.0)</f>
        <v>0</v>
      </c>
      <c r="X21" s="136">
        <f>IFERROR(__xludf.DUMMYFUNCTION("IF(ISBLANK($M21), QUERY(OptionPositionsLog!$A$2:$K796, ""SELECT J WHERE B = '"" &amp; $B21  &amp; ""' ORDER BY A DESC LIMIT 1""), 0)"),0.0)</f>
        <v>0</v>
      </c>
      <c r="Y21" s="136" t="str">
        <f>IFERROR(__xludf.DUMMYFUNCTION("IF(ISBLANK($M21), QUERY(OptionPositionsLog!$A$2:$K796, ""SELECT D WHERE B = '"" &amp; $B21  &amp; ""' ORDER BY A DESC LIMIT 1"")*100, """")"),"")</f>
        <v/>
      </c>
      <c r="Z21" s="148">
        <f>IFERROR(__xludf.DUMMYFUNCTION("QUERY(OptionPositionsLog, ""SELECT K WHERE B = '"" &amp; $B21  &amp; ""' ORDER BY K DESC LIMIT 1"")"),218.2)</f>
        <v>218.2</v>
      </c>
      <c r="AA21" s="151">
        <f t="shared" si="7"/>
        <v>36.36363636</v>
      </c>
      <c r="AB21" s="152" t="str">
        <f t="shared" si="8"/>
        <v/>
      </c>
      <c r="AC21" s="153">
        <f t="shared" si="9"/>
        <v>-115.0572869</v>
      </c>
      <c r="AD21" s="31"/>
    </row>
    <row r="22" ht="22.5" customHeight="1">
      <c r="A22" s="3" t="s">
        <v>162</v>
      </c>
      <c r="B22" s="144" t="s">
        <v>476</v>
      </c>
      <c r="C22" s="145">
        <v>46028.0</v>
      </c>
      <c r="D22" s="145">
        <v>46073.0</v>
      </c>
      <c r="E22" s="145">
        <v>46059.0</v>
      </c>
      <c r="F22" s="146">
        <v>-1.0</v>
      </c>
      <c r="G22" s="15" t="s">
        <v>455</v>
      </c>
      <c r="H22" s="46">
        <v>670.0</v>
      </c>
      <c r="I22" s="15">
        <v>4.98249</v>
      </c>
      <c r="J22" s="30">
        <v>1.0</v>
      </c>
      <c r="K22" s="147">
        <v>100.0</v>
      </c>
      <c r="L22" s="148">
        <f>IFERROR(__xludf.DUMMYFUNCTION("QUERY(OptionPositionsLog, ""SELECT E WHERE B = '"" &amp; $B22  &amp; ""' ORDER BY A DESC LIMIT 1"")"),7.5)</f>
        <v>7.5</v>
      </c>
      <c r="M22" s="30">
        <v>3.61</v>
      </c>
      <c r="N22" s="140">
        <f t="shared" si="1"/>
        <v>750</v>
      </c>
      <c r="O22" s="140">
        <f t="shared" si="2"/>
        <v>0</v>
      </c>
      <c r="P22" s="149">
        <f t="shared" si="3"/>
        <v>0</v>
      </c>
      <c r="Q22" s="138" t="str">
        <f t="shared" si="4"/>
        <v/>
      </c>
      <c r="R22" s="150">
        <f t="shared" si="5"/>
        <v>136.249</v>
      </c>
      <c r="S22" s="140">
        <f t="shared" si="6"/>
        <v>30</v>
      </c>
      <c r="T22" s="140">
        <f>IFERROR(__xludf.DUMMYFUNCTION("IF(ISBLANK($M22), QUERY(OptionPositionsLog!$A$2:$K796, ""SELECT F WHERE B = '"" &amp; $B22  &amp; ""' ORDER BY A DESC LIMIT 1""), 0)"),0.0)</f>
        <v>0</v>
      </c>
      <c r="U22" s="136">
        <f>IFERROR(__xludf.DUMMYFUNCTION("IF(ISBLANK($M22), QUERY(OptionPositionsLog!$A$2:$K796, ""SELECT G WHERE B = '"" &amp; $B22  &amp; ""' ORDER BY A DESC LIMIT 1"")*F22, 0)"),0.0)</f>
        <v>0</v>
      </c>
      <c r="V22" s="136">
        <f>IFERROR(__xludf.DUMMYFUNCTION("IF(ISBLANK($M22), QUERY(OptionPositionsLog!$A$2:$K796, ""SELECT H WHERE B = '"" &amp; $B22  &amp; ""' ORDER BY A DESC LIMIT 1"")*F22, 0)"),0.0)</f>
        <v>0</v>
      </c>
      <c r="W22" s="136">
        <f>IFERROR(__xludf.DUMMYFUNCTION("IF(ISBLANK($M22), QUERY(OptionPositionsLog!$A$2:$K796, ""SELECT I WHERE B = '"" &amp; $B22  &amp; ""' ORDER BY A DESC LIMIT 1""), 0)"),0.0)</f>
        <v>0</v>
      </c>
      <c r="X22" s="136">
        <f>IFERROR(__xludf.DUMMYFUNCTION("IF(ISBLANK($M22), QUERY(OptionPositionsLog!$A$2:$K796, ""SELECT J WHERE B = '"" &amp; $B22  &amp; ""' ORDER BY A DESC LIMIT 1""), 0)"),0.0)</f>
        <v>0</v>
      </c>
      <c r="Y22" s="136" t="str">
        <f>IFERROR(__xludf.DUMMYFUNCTION("IF(ISBLANK($M22), QUERY(OptionPositionsLog!$A$2:$K796, ""SELECT D WHERE B = '"" &amp; $B22  &amp; ""' ORDER BY A DESC LIMIT 1"")*100, """")"),"")</f>
        <v/>
      </c>
      <c r="Z22" s="148">
        <f>IFERROR(__xludf.DUMMYFUNCTION("QUERY(OptionPositionsLog, ""SELECT K WHERE B = '"" &amp; $B22  &amp; ""' ORDER BY K DESC LIMIT 1"")"),5114.06)</f>
        <v>5114.06</v>
      </c>
      <c r="AA22" s="151">
        <f t="shared" si="7"/>
        <v>68.88888889</v>
      </c>
      <c r="AB22" s="152" t="str">
        <f t="shared" si="8"/>
        <v/>
      </c>
      <c r="AC22" s="153">
        <f t="shared" si="9"/>
        <v>2.664204174</v>
      </c>
      <c r="AD22" s="31"/>
    </row>
    <row r="23" ht="22.5" customHeight="1">
      <c r="A23" s="3" t="s">
        <v>162</v>
      </c>
      <c r="B23" s="144" t="s">
        <v>477</v>
      </c>
      <c r="C23" s="145">
        <v>46028.0</v>
      </c>
      <c r="D23" s="145">
        <v>46073.0</v>
      </c>
      <c r="E23" s="145">
        <v>46027.0</v>
      </c>
      <c r="F23" s="146">
        <v>-1.0</v>
      </c>
      <c r="G23" s="15" t="s">
        <v>459</v>
      </c>
      <c r="H23" s="46">
        <v>720.0</v>
      </c>
      <c r="I23" s="15">
        <v>2.95249</v>
      </c>
      <c r="J23" s="30">
        <v>1.0</v>
      </c>
      <c r="K23" s="147">
        <v>100.0</v>
      </c>
      <c r="L23" s="148">
        <f>IFERROR(__xludf.DUMMYFUNCTION("QUERY(OptionPositionsLog, ""SELECT E WHERE B = '"" &amp; $B23  &amp; ""' ORDER BY A DESC LIMIT 1"")"),0.23)</f>
        <v>0.23</v>
      </c>
      <c r="M23" s="30">
        <v>0.08</v>
      </c>
      <c r="N23" s="140">
        <f t="shared" si="1"/>
        <v>23</v>
      </c>
      <c r="O23" s="140">
        <f t="shared" si="2"/>
        <v>0</v>
      </c>
      <c r="P23" s="149">
        <f t="shared" si="3"/>
        <v>0</v>
      </c>
      <c r="Q23" s="138" t="str">
        <f t="shared" si="4"/>
        <v/>
      </c>
      <c r="R23" s="150">
        <f t="shared" si="5"/>
        <v>286.249</v>
      </c>
      <c r="S23" s="140">
        <f t="shared" si="6"/>
        <v>100</v>
      </c>
      <c r="T23" s="140">
        <f>IFERROR(__xludf.DUMMYFUNCTION("IF(ISBLANK($M23), QUERY(OptionPositionsLog!$A$2:$K796, ""SELECT F WHERE B = '"" &amp; $B23  &amp; ""' ORDER BY A DESC LIMIT 1""), 0)"),0.0)</f>
        <v>0</v>
      </c>
      <c r="U23" s="136">
        <f>IFERROR(__xludf.DUMMYFUNCTION("IF(ISBLANK($M23), QUERY(OptionPositionsLog!$A$2:$K796, ""SELECT G WHERE B = '"" &amp; $B23  &amp; ""' ORDER BY A DESC LIMIT 1"")*F23, 0)"),0.0)</f>
        <v>0</v>
      </c>
      <c r="V23" s="136">
        <f>IFERROR(__xludf.DUMMYFUNCTION("IF(ISBLANK($M23), QUERY(OptionPositionsLog!$A$2:$K796, ""SELECT H WHERE B = '"" &amp; $B23  &amp; ""' ORDER BY A DESC LIMIT 1"")*F23, 0)"),0.0)</f>
        <v>0</v>
      </c>
      <c r="W23" s="136">
        <f>IFERROR(__xludf.DUMMYFUNCTION("IF(ISBLANK($M23), QUERY(OptionPositionsLog!$A$2:$K796, ""SELECT I WHERE B = '"" &amp; $B23  &amp; ""' ORDER BY A DESC LIMIT 1""), 0)"),0.0)</f>
        <v>0</v>
      </c>
      <c r="X23" s="136">
        <f>IFERROR(__xludf.DUMMYFUNCTION("IF(ISBLANK($M23), QUERY(OptionPositionsLog!$A$2:$K796, ""SELECT J WHERE B = '"" &amp; $B23  &amp; ""' ORDER BY A DESC LIMIT 1""), 0)"),0.0)</f>
        <v>0</v>
      </c>
      <c r="Y23" s="136" t="str">
        <f>IFERROR(__xludf.DUMMYFUNCTION("IF(ISBLANK($M23), QUERY(OptionPositionsLog!$A$2:$K796, ""SELECT D WHERE B = '"" &amp; $B23  &amp; ""' ORDER BY A DESC LIMIT 1"")*100, """")"),"")</f>
        <v/>
      </c>
      <c r="Z23" s="148">
        <f>IFERROR(__xludf.DUMMYFUNCTION("QUERY(OptionPositionsLog, ""SELECT K WHERE B = '"" &amp; $B23  &amp; ""' ORDER BY K DESC LIMIT 1"")"),30.24)</f>
        <v>30.24</v>
      </c>
      <c r="AA23" s="151">
        <f t="shared" si="7"/>
        <v>-2.222222222</v>
      </c>
      <c r="AB23" s="152" t="str">
        <f t="shared" si="8"/>
        <v/>
      </c>
      <c r="AC23" s="153">
        <f t="shared" si="9"/>
        <v>946.5906085</v>
      </c>
      <c r="AD23" s="31"/>
    </row>
    <row r="24" ht="22.5" customHeight="1">
      <c r="A24" s="3" t="s">
        <v>162</v>
      </c>
      <c r="B24" s="144" t="s">
        <v>478</v>
      </c>
      <c r="C24" s="145">
        <v>46028.0</v>
      </c>
      <c r="D24" s="145">
        <v>46073.0</v>
      </c>
      <c r="E24" s="145">
        <v>46073.0</v>
      </c>
      <c r="F24" s="146">
        <v>1.0</v>
      </c>
      <c r="G24" s="15" t="s">
        <v>459</v>
      </c>
      <c r="H24" s="46">
        <v>716.0</v>
      </c>
      <c r="I24" s="15">
        <v>3.97751</v>
      </c>
      <c r="J24" s="30">
        <v>1.0</v>
      </c>
      <c r="K24" s="147">
        <v>100.0</v>
      </c>
      <c r="L24" s="148">
        <f>IFERROR(__xludf.DUMMYFUNCTION("QUERY(OptionPositionsLog, ""SELECT E WHERE B = '"" &amp; $B24  &amp; ""' ORDER BY A DESC LIMIT 1"")"),0.02)</f>
        <v>0.02</v>
      </c>
      <c r="M24" s="30">
        <v>0.0</v>
      </c>
      <c r="N24" s="140">
        <f t="shared" si="1"/>
        <v>2</v>
      </c>
      <c r="O24" s="140">
        <f t="shared" si="2"/>
        <v>0</v>
      </c>
      <c r="P24" s="149">
        <f t="shared" si="3"/>
        <v>0</v>
      </c>
      <c r="Q24" s="138" t="str">
        <f t="shared" si="4"/>
        <v/>
      </c>
      <c r="R24" s="150">
        <f t="shared" si="5"/>
        <v>-398.751</v>
      </c>
      <c r="S24" s="140">
        <f t="shared" si="6"/>
        <v>-100</v>
      </c>
      <c r="T24" s="140">
        <f>IFERROR(__xludf.DUMMYFUNCTION("IF(ISBLANK($M24), QUERY(OptionPositionsLog!$A$2:$K796, ""SELECT F WHERE B = '"" &amp; $B24  &amp; ""' ORDER BY A DESC LIMIT 1""), 0)"),0.0)</f>
        <v>0</v>
      </c>
      <c r="U24" s="136">
        <f>IFERROR(__xludf.DUMMYFUNCTION("IF(ISBLANK($M24), QUERY(OptionPositionsLog!$A$2:$K796, ""SELECT G WHERE B = '"" &amp; $B24  &amp; ""' ORDER BY A DESC LIMIT 1"")*F24, 0)"),0.0)</f>
        <v>0</v>
      </c>
      <c r="V24" s="136">
        <f>IFERROR(__xludf.DUMMYFUNCTION("IF(ISBLANK($M24), QUERY(OptionPositionsLog!$A$2:$K796, ""SELECT H WHERE B = '"" &amp; $B24  &amp; ""' ORDER BY A DESC LIMIT 1"")*F24, 0)"),0.0)</f>
        <v>0</v>
      </c>
      <c r="W24" s="136">
        <f>IFERROR(__xludf.DUMMYFUNCTION("IF(ISBLANK($M24), QUERY(OptionPositionsLog!$A$2:$K796, ""SELECT I WHERE B = '"" &amp; $B24  &amp; ""' ORDER BY A DESC LIMIT 1""), 0)"),0.0)</f>
        <v>0</v>
      </c>
      <c r="X24" s="136">
        <f>IFERROR(__xludf.DUMMYFUNCTION("IF(ISBLANK($M24), QUERY(OptionPositionsLog!$A$2:$K796, ""SELECT J WHERE B = '"" &amp; $B24  &amp; ""' ORDER BY A DESC LIMIT 1""), 0)"),0.0)</f>
        <v>0</v>
      </c>
      <c r="Y24" s="136" t="str">
        <f>IFERROR(__xludf.DUMMYFUNCTION("IF(ISBLANK($M24), QUERY(OptionPositionsLog!$A$2:$K796, ""SELECT D WHERE B = '"" &amp; $B24  &amp; ""' ORDER BY A DESC LIMIT 1"")*100, """")"),"")</f>
        <v/>
      </c>
      <c r="Z24" s="148">
        <f>IFERROR(__xludf.DUMMYFUNCTION("QUERY(OptionPositionsLog, ""SELECT K WHERE B = '"" &amp; $B24  &amp; ""' ORDER BY K DESC LIMIT 1"")"),43.46)</f>
        <v>43.46</v>
      </c>
      <c r="AA24" s="151">
        <f t="shared" si="7"/>
        <v>100</v>
      </c>
      <c r="AB24" s="152" t="str">
        <f t="shared" si="8"/>
        <v/>
      </c>
      <c r="AC24" s="153">
        <f t="shared" si="9"/>
        <v>-917.5126553</v>
      </c>
      <c r="AD24" s="31"/>
    </row>
    <row r="25" ht="22.5" customHeight="1">
      <c r="A25" s="3" t="s">
        <v>173</v>
      </c>
      <c r="B25" s="144" t="s">
        <v>479</v>
      </c>
      <c r="C25" s="145">
        <v>46029.0</v>
      </c>
      <c r="D25" s="145">
        <v>46073.0</v>
      </c>
      <c r="E25" s="145">
        <v>46073.0</v>
      </c>
      <c r="F25" s="146">
        <v>1.0</v>
      </c>
      <c r="G25" s="15" t="s">
        <v>459</v>
      </c>
      <c r="H25" s="46">
        <v>14.0</v>
      </c>
      <c r="I25" s="15">
        <v>0.59049</v>
      </c>
      <c r="J25" s="30">
        <v>1.0</v>
      </c>
      <c r="K25" s="147">
        <v>100.0</v>
      </c>
      <c r="L25" s="148">
        <f>IFERROR(__xludf.DUMMYFUNCTION("QUERY(OptionPositionsLog, ""SELECT E WHERE B = '"" &amp; $B25  &amp; ""' ORDER BY A DESC LIMIT 1"")"),0.55)</f>
        <v>0.55</v>
      </c>
      <c r="M25" s="30">
        <v>0.0</v>
      </c>
      <c r="N25" s="140">
        <f t="shared" si="1"/>
        <v>55</v>
      </c>
      <c r="O25" s="140">
        <f t="shared" si="2"/>
        <v>0</v>
      </c>
      <c r="P25" s="149">
        <f t="shared" si="3"/>
        <v>0</v>
      </c>
      <c r="Q25" s="138" t="str">
        <f t="shared" si="4"/>
        <v/>
      </c>
      <c r="R25" s="150">
        <f t="shared" si="5"/>
        <v>-60.049</v>
      </c>
      <c r="S25" s="140">
        <f t="shared" si="6"/>
        <v>-100</v>
      </c>
      <c r="T25" s="140">
        <f>IFERROR(__xludf.DUMMYFUNCTION("IF(ISBLANK($M25), QUERY(OptionPositionsLog!$A$2:$K796, ""SELECT F WHERE B = '"" &amp; $B25  &amp; ""' ORDER BY A DESC LIMIT 1""), 0)"),0.0)</f>
        <v>0</v>
      </c>
      <c r="U25" s="136">
        <f>IFERROR(__xludf.DUMMYFUNCTION("IF(ISBLANK($M25), QUERY(OptionPositionsLog!$A$2:$K796, ""SELECT G WHERE B = '"" &amp; $B25  &amp; ""' ORDER BY A DESC LIMIT 1"")*F25, 0)"),0.0)</f>
        <v>0</v>
      </c>
      <c r="V25" s="136">
        <f>IFERROR(__xludf.DUMMYFUNCTION("IF(ISBLANK($M25), QUERY(OptionPositionsLog!$A$2:$K796, ""SELECT H WHERE B = '"" &amp; $B25  &amp; ""' ORDER BY A DESC LIMIT 1"")*F25, 0)"),0.0)</f>
        <v>0</v>
      </c>
      <c r="W25" s="136">
        <f>IFERROR(__xludf.DUMMYFUNCTION("IF(ISBLANK($M25), QUERY(OptionPositionsLog!$A$2:$K796, ""SELECT I WHERE B = '"" &amp; $B25  &amp; ""' ORDER BY A DESC LIMIT 1""), 0)"),0.0)</f>
        <v>0</v>
      </c>
      <c r="X25" s="136">
        <f>IFERROR(__xludf.DUMMYFUNCTION("IF(ISBLANK($M25), QUERY(OptionPositionsLog!$A$2:$K796, ""SELECT J WHERE B = '"" &amp; $B25  &amp; ""' ORDER BY A DESC LIMIT 1""), 0)"),0.0)</f>
        <v>0</v>
      </c>
      <c r="Y25" s="136" t="str">
        <f>IFERROR(__xludf.DUMMYFUNCTION("IF(ISBLANK($M25), QUERY(OptionPositionsLog!$A$2:$K796, ""SELECT D WHERE B = '"" &amp; $B25  &amp; ""' ORDER BY A DESC LIMIT 1"")*100, """")"),"")</f>
        <v/>
      </c>
      <c r="Z25" s="148">
        <f>IFERROR(__xludf.DUMMYFUNCTION("QUERY(OptionPositionsLog, ""SELECT K WHERE B = '"" &amp; $B25  &amp; ""' ORDER BY K DESC LIMIT 1"")"),60.16)</f>
        <v>60.16</v>
      </c>
      <c r="AA25" s="151">
        <f t="shared" si="7"/>
        <v>100</v>
      </c>
      <c r="AB25" s="152" t="str">
        <f t="shared" si="8"/>
        <v/>
      </c>
      <c r="AC25" s="153">
        <f t="shared" si="9"/>
        <v>-99.81549202</v>
      </c>
      <c r="AD25" s="31"/>
    </row>
    <row r="26" ht="22.5" customHeight="1">
      <c r="A26" s="3" t="s">
        <v>183</v>
      </c>
      <c r="B26" s="144" t="s">
        <v>480</v>
      </c>
      <c r="C26" s="145">
        <v>46030.0</v>
      </c>
      <c r="D26" s="145">
        <v>46073.0</v>
      </c>
      <c r="E26" s="145">
        <v>46073.0</v>
      </c>
      <c r="F26" s="146">
        <v>1.0</v>
      </c>
      <c r="G26" s="15" t="s">
        <v>459</v>
      </c>
      <c r="H26" s="46">
        <v>60.0</v>
      </c>
      <c r="I26" s="15">
        <v>1.45051</v>
      </c>
      <c r="J26" s="30">
        <v>1.0</v>
      </c>
      <c r="K26" s="147">
        <v>100.0</v>
      </c>
      <c r="L26" s="148">
        <f>IFERROR(__xludf.DUMMYFUNCTION("QUERY(OptionPositionsLog, ""SELECT E WHERE B = '"" &amp; $B26  &amp; ""' ORDER BY A DESC LIMIT 1"")"),0.01)</f>
        <v>0.01</v>
      </c>
      <c r="M26" s="30">
        <v>0.0</v>
      </c>
      <c r="N26" s="140">
        <f t="shared" si="1"/>
        <v>1</v>
      </c>
      <c r="O26" s="140">
        <f t="shared" si="2"/>
        <v>0</v>
      </c>
      <c r="P26" s="149">
        <f t="shared" si="3"/>
        <v>0</v>
      </c>
      <c r="Q26" s="138" t="str">
        <f t="shared" si="4"/>
        <v/>
      </c>
      <c r="R26" s="150">
        <f t="shared" si="5"/>
        <v>-146.051</v>
      </c>
      <c r="S26" s="140">
        <f t="shared" si="6"/>
        <v>-100</v>
      </c>
      <c r="T26" s="140">
        <f>IFERROR(__xludf.DUMMYFUNCTION("IF(ISBLANK($M26), QUERY(OptionPositionsLog!$A$2:$K796, ""SELECT F WHERE B = '"" &amp; $B26  &amp; ""' ORDER BY A DESC LIMIT 1""), 0)"),0.0)</f>
        <v>0</v>
      </c>
      <c r="U26" s="136">
        <f>IFERROR(__xludf.DUMMYFUNCTION("IF(ISBLANK($M26), QUERY(OptionPositionsLog!$A$2:$K796, ""SELECT G WHERE B = '"" &amp; $B26  &amp; ""' ORDER BY A DESC LIMIT 1"")*F26, 0)"),0.0)</f>
        <v>0</v>
      </c>
      <c r="V26" s="136">
        <f>IFERROR(__xludf.DUMMYFUNCTION("IF(ISBLANK($M26), QUERY(OptionPositionsLog!$A$2:$K796, ""SELECT H WHERE B = '"" &amp; $B26  &amp; ""' ORDER BY A DESC LIMIT 1"")*F26, 0)"),0.0)</f>
        <v>0</v>
      </c>
      <c r="W26" s="136">
        <f>IFERROR(__xludf.DUMMYFUNCTION("IF(ISBLANK($M26), QUERY(OptionPositionsLog!$A$2:$K796, ""SELECT I WHERE B = '"" &amp; $B26  &amp; ""' ORDER BY A DESC LIMIT 1""), 0)"),0.0)</f>
        <v>0</v>
      </c>
      <c r="X26" s="136">
        <f>IFERROR(__xludf.DUMMYFUNCTION("IF(ISBLANK($M26), QUERY(OptionPositionsLog!$A$2:$K796, ""SELECT J WHERE B = '"" &amp; $B26  &amp; ""' ORDER BY A DESC LIMIT 1""), 0)"),0.0)</f>
        <v>0</v>
      </c>
      <c r="Y26" s="136" t="str">
        <f>IFERROR(__xludf.DUMMYFUNCTION("IF(ISBLANK($M26), QUERY(OptionPositionsLog!$A$2:$K796, ""SELECT D WHERE B = '"" &amp; $B26  &amp; ""' ORDER BY A DESC LIMIT 1"")*100, """")"),"")</f>
        <v/>
      </c>
      <c r="Z26" s="148">
        <f>IFERROR(__xludf.DUMMYFUNCTION("QUERY(OptionPositionsLog, ""SELECT K WHERE B = '"" &amp; $B26  &amp; ""' ORDER BY K DESC LIMIT 1"")"),23.85)</f>
        <v>23.85</v>
      </c>
      <c r="AA26" s="151">
        <f t="shared" si="7"/>
        <v>100</v>
      </c>
      <c r="AB26" s="152" t="str">
        <f t="shared" si="8"/>
        <v/>
      </c>
      <c r="AC26" s="153">
        <f t="shared" si="9"/>
        <v>-612.3731656</v>
      </c>
      <c r="AD26" s="31"/>
    </row>
    <row r="27" ht="22.5" customHeight="1">
      <c r="A27" s="129" t="s">
        <v>183</v>
      </c>
      <c r="B27" s="130" t="s">
        <v>481</v>
      </c>
      <c r="C27" s="145">
        <v>46030.0</v>
      </c>
      <c r="D27" s="131">
        <v>46073.0</v>
      </c>
      <c r="E27" s="131">
        <v>46058.0</v>
      </c>
      <c r="F27" s="132">
        <v>-1.0</v>
      </c>
      <c r="G27" s="30" t="s">
        <v>459</v>
      </c>
      <c r="H27" s="133">
        <v>63.0</v>
      </c>
      <c r="I27" s="30">
        <v>0.77945</v>
      </c>
      <c r="J27" s="30">
        <v>1.0</v>
      </c>
      <c r="K27" s="147">
        <v>100.0</v>
      </c>
      <c r="L27" s="148">
        <f>IFERROR(__xludf.DUMMYFUNCTION("QUERY(OptionPositionsLog, ""SELECT E WHERE B = '"" &amp; $B27  &amp; ""' ORDER BY A DESC LIMIT 1"")"),0.08)</f>
        <v>0.08</v>
      </c>
      <c r="M27" s="30">
        <v>0.05</v>
      </c>
      <c r="N27" s="140">
        <f t="shared" si="1"/>
        <v>8</v>
      </c>
      <c r="O27" s="140">
        <f t="shared" si="2"/>
        <v>0</v>
      </c>
      <c r="P27" s="149">
        <f t="shared" si="3"/>
        <v>0</v>
      </c>
      <c r="Q27" s="138" t="str">
        <f t="shared" si="4"/>
        <v/>
      </c>
      <c r="R27" s="150">
        <f t="shared" si="5"/>
        <v>71.945</v>
      </c>
      <c r="S27" s="140">
        <f t="shared" si="6"/>
        <v>90</v>
      </c>
      <c r="T27" s="140">
        <f>IFERROR(__xludf.DUMMYFUNCTION("IF(ISBLANK($M27), QUERY(OptionPositionsLog!$A$2:$K796, ""SELECT F WHERE B = '"" &amp; $B27  &amp; ""' ORDER BY A DESC LIMIT 1""), 0)"),0.0)</f>
        <v>0</v>
      </c>
      <c r="U27" s="136">
        <f>IFERROR(__xludf.DUMMYFUNCTION("IF(ISBLANK($M27), QUERY(OptionPositionsLog!$A$2:$K796, ""SELECT G WHERE B = '"" &amp; $B27  &amp; ""' ORDER BY A DESC LIMIT 1"")*F27, 0)"),0.0)</f>
        <v>0</v>
      </c>
      <c r="V27" s="136">
        <f>IFERROR(__xludf.DUMMYFUNCTION("IF(ISBLANK($M27), QUERY(OptionPositionsLog!$A$2:$K796, ""SELECT H WHERE B = '"" &amp; $B27  &amp; ""' ORDER BY A DESC LIMIT 1"")*F27, 0)"),0.0)</f>
        <v>0</v>
      </c>
      <c r="W27" s="136">
        <f>IFERROR(__xludf.DUMMYFUNCTION("IF(ISBLANK($M27), QUERY(OptionPositionsLog!$A$2:$K796, ""SELECT I WHERE B = '"" &amp; $B27  &amp; ""' ORDER BY A DESC LIMIT 1""), 0)"),0.0)</f>
        <v>0</v>
      </c>
      <c r="X27" s="136">
        <f>IFERROR(__xludf.DUMMYFUNCTION("IF(ISBLANK($M27), QUERY(OptionPositionsLog!$A$2:$K796, ""SELECT J WHERE B = '"" &amp; $B27  &amp; ""' ORDER BY A DESC LIMIT 1""), 0)"),0.0)</f>
        <v>0</v>
      </c>
      <c r="Y27" s="136" t="str">
        <f>IFERROR(__xludf.DUMMYFUNCTION("IF(ISBLANK($M27), QUERY(OptionPositionsLog!$A$2:$K796, ""SELECT D WHERE B = '"" &amp; $B27  &amp; ""' ORDER BY A DESC LIMIT 1"")*100, """")"),"")</f>
        <v/>
      </c>
      <c r="Z27" s="148">
        <f>IFERROR(__xludf.DUMMYFUNCTION("QUERY(OptionPositionsLog, ""SELECT K WHERE B = '"" &amp; $B27  &amp; ""' ORDER BY K DESC LIMIT 1"")"),12.49)</f>
        <v>12.49</v>
      </c>
      <c r="AA27" s="151">
        <f t="shared" si="7"/>
        <v>65.11627907</v>
      </c>
      <c r="AB27" s="152" t="str">
        <f t="shared" si="8"/>
        <v/>
      </c>
      <c r="AC27" s="153">
        <f t="shared" si="9"/>
        <v>576.0208167</v>
      </c>
      <c r="AD27" s="31"/>
    </row>
    <row r="28" ht="22.5" customHeight="1">
      <c r="A28" s="129" t="s">
        <v>183</v>
      </c>
      <c r="B28" s="130" t="s">
        <v>482</v>
      </c>
      <c r="C28" s="145">
        <v>46030.0</v>
      </c>
      <c r="D28" s="131">
        <v>46073.0</v>
      </c>
      <c r="E28" s="131">
        <v>46058.0</v>
      </c>
      <c r="F28" s="132">
        <v>-1.0</v>
      </c>
      <c r="G28" s="30" t="s">
        <v>455</v>
      </c>
      <c r="H28" s="133">
        <v>48.0</v>
      </c>
      <c r="I28" s="30">
        <v>1.79945</v>
      </c>
      <c r="J28" s="30">
        <v>1.0</v>
      </c>
      <c r="K28" s="147">
        <v>100.0</v>
      </c>
      <c r="L28" s="148">
        <f>IFERROR(__xludf.DUMMYFUNCTION("QUERY(OptionPositionsLog, ""SELECT E WHERE B = '"" &amp; $B28  &amp; ""' ORDER BY A DESC LIMIT 1"")"),3.3)</f>
        <v>3.3</v>
      </c>
      <c r="M28" s="30">
        <v>2.15</v>
      </c>
      <c r="N28" s="140">
        <f t="shared" si="1"/>
        <v>330</v>
      </c>
      <c r="O28" s="140">
        <f t="shared" si="2"/>
        <v>0</v>
      </c>
      <c r="P28" s="149">
        <f t="shared" si="3"/>
        <v>0</v>
      </c>
      <c r="Q28" s="138" t="str">
        <f t="shared" si="4"/>
        <v/>
      </c>
      <c r="R28" s="150">
        <f t="shared" si="5"/>
        <v>-36.055</v>
      </c>
      <c r="S28" s="140">
        <f t="shared" si="6"/>
        <v>-20</v>
      </c>
      <c r="T28" s="140">
        <f>IFERROR(__xludf.DUMMYFUNCTION("IF(ISBLANK($M28), QUERY(OptionPositionsLog!$A$2:$K796, ""SELECT F WHERE B = '"" &amp; $B28  &amp; ""' ORDER BY A DESC LIMIT 1""), 0)"),0.0)</f>
        <v>0</v>
      </c>
      <c r="U28" s="136">
        <f>IFERROR(__xludf.DUMMYFUNCTION("IF(ISBLANK($M28), QUERY(OptionPositionsLog!$A$2:$K796, ""SELECT G WHERE B = '"" &amp; $B28  &amp; ""' ORDER BY A DESC LIMIT 1"")*F28, 0)"),0.0)</f>
        <v>0</v>
      </c>
      <c r="V28" s="136">
        <f>IFERROR(__xludf.DUMMYFUNCTION("IF(ISBLANK($M28), QUERY(OptionPositionsLog!$A$2:$K796, ""SELECT H WHERE B = '"" &amp; $B28  &amp; ""' ORDER BY A DESC LIMIT 1"")*F28, 0)"),0.0)</f>
        <v>0</v>
      </c>
      <c r="W28" s="136">
        <f>IFERROR(__xludf.DUMMYFUNCTION("IF(ISBLANK($M28), QUERY(OptionPositionsLog!$A$2:$K796, ""SELECT I WHERE B = '"" &amp; $B28  &amp; ""' ORDER BY A DESC LIMIT 1""), 0)"),0.0)</f>
        <v>0</v>
      </c>
      <c r="X28" s="136">
        <f>IFERROR(__xludf.DUMMYFUNCTION("IF(ISBLANK($M28), QUERY(OptionPositionsLog!$A$2:$K796, ""SELECT J WHERE B = '"" &amp; $B28  &amp; ""' ORDER BY A DESC LIMIT 1""), 0)"),0.0)</f>
        <v>0</v>
      </c>
      <c r="Y28" s="136" t="str">
        <f>IFERROR(__xludf.DUMMYFUNCTION("IF(ISBLANK($M28), QUERY(OptionPositionsLog!$A$2:$K796, ""SELECT D WHERE B = '"" &amp; $B28  &amp; ""' ORDER BY A DESC LIMIT 1"")*100, """")"),"")</f>
        <v/>
      </c>
      <c r="Z28" s="148">
        <f>IFERROR(__xludf.DUMMYFUNCTION("QUERY(OptionPositionsLog, ""SELECT K WHERE B = '"" &amp; $B28  &amp; ""' ORDER BY K DESC LIMIT 1"")"),847.4)</f>
        <v>847.4</v>
      </c>
      <c r="AA28" s="151">
        <f t="shared" si="7"/>
        <v>65.11627907</v>
      </c>
      <c r="AB28" s="152" t="str">
        <f t="shared" si="8"/>
        <v/>
      </c>
      <c r="AC28" s="153">
        <f t="shared" si="9"/>
        <v>-4.254779325</v>
      </c>
      <c r="AD28" s="31"/>
    </row>
    <row r="29" ht="22.5" customHeight="1">
      <c r="A29" s="3" t="s">
        <v>130</v>
      </c>
      <c r="B29" s="144" t="s">
        <v>483</v>
      </c>
      <c r="C29" s="145">
        <v>46030.0</v>
      </c>
      <c r="D29" s="145">
        <v>46073.0</v>
      </c>
      <c r="E29" s="145">
        <v>46064.0</v>
      </c>
      <c r="F29" s="146">
        <v>1.0</v>
      </c>
      <c r="G29" s="15" t="s">
        <v>459</v>
      </c>
      <c r="H29" s="46">
        <v>8.0</v>
      </c>
      <c r="I29" s="15">
        <v>0.26049</v>
      </c>
      <c r="J29" s="30">
        <v>1.0</v>
      </c>
      <c r="K29" s="147">
        <v>100.0</v>
      </c>
      <c r="L29" s="148">
        <f>IFERROR(__xludf.DUMMYFUNCTION("QUERY(OptionPositionsLog, ""SELECT E WHERE B = '"" &amp; $B29  &amp; ""' ORDER BY A DESC LIMIT 1"")"),0.25)</f>
        <v>0.25</v>
      </c>
      <c r="M29" s="30">
        <v>0.33</v>
      </c>
      <c r="N29" s="140">
        <f t="shared" si="1"/>
        <v>25</v>
      </c>
      <c r="O29" s="140">
        <f t="shared" si="2"/>
        <v>0</v>
      </c>
      <c r="P29" s="149">
        <f t="shared" si="3"/>
        <v>0</v>
      </c>
      <c r="Q29" s="138" t="str">
        <f t="shared" si="4"/>
        <v/>
      </c>
      <c r="R29" s="150">
        <f t="shared" si="5"/>
        <v>5.951</v>
      </c>
      <c r="S29" s="140">
        <f t="shared" si="6"/>
        <v>20</v>
      </c>
      <c r="T29" s="140">
        <f>IFERROR(__xludf.DUMMYFUNCTION("IF(ISBLANK($M29), QUERY(OptionPositionsLog!$A$2:$K796, ""SELECT F WHERE B = '"" &amp; $B29  &amp; ""' ORDER BY A DESC LIMIT 1""), 0)"),0.0)</f>
        <v>0</v>
      </c>
      <c r="U29" s="136">
        <f>IFERROR(__xludf.DUMMYFUNCTION("IF(ISBLANK($M29), QUERY(OptionPositionsLog!$A$2:$K796, ""SELECT G WHERE B = '"" &amp; $B29  &amp; ""' ORDER BY A DESC LIMIT 1"")*F29, 0)"),0.0)</f>
        <v>0</v>
      </c>
      <c r="V29" s="136">
        <f>IFERROR(__xludf.DUMMYFUNCTION("IF(ISBLANK($M29), QUERY(OptionPositionsLog!$A$2:$K796, ""SELECT H WHERE B = '"" &amp; $B29  &amp; ""' ORDER BY A DESC LIMIT 1"")*F29, 0)"),0.0)</f>
        <v>0</v>
      </c>
      <c r="W29" s="136">
        <f>IFERROR(__xludf.DUMMYFUNCTION("IF(ISBLANK($M29), QUERY(OptionPositionsLog!$A$2:$K796, ""SELECT I WHERE B = '"" &amp; $B29  &amp; ""' ORDER BY A DESC LIMIT 1""), 0)"),0.0)</f>
        <v>0</v>
      </c>
      <c r="X29" s="136">
        <f>IFERROR(__xludf.DUMMYFUNCTION("IF(ISBLANK($M29), QUERY(OptionPositionsLog!$A$2:$K796, ""SELECT J WHERE B = '"" &amp; $B29  &amp; ""' ORDER BY A DESC LIMIT 1""), 0)"),0.0)</f>
        <v>0</v>
      </c>
      <c r="Y29" s="136" t="str">
        <f>IFERROR(__xludf.DUMMYFUNCTION("IF(ISBLANK($M29), QUERY(OptionPositionsLog!$A$2:$K796, ""SELECT D WHERE B = '"" &amp; $B29  &amp; ""' ORDER BY A DESC LIMIT 1"")*100, """")"),"")</f>
        <v/>
      </c>
      <c r="Z29" s="148">
        <f>IFERROR(__xludf.DUMMYFUNCTION("QUERY(OptionPositionsLog, ""SELECT K WHERE B = '"" &amp; $B29  &amp; ""' ORDER BY K DESC LIMIT 1"")"),63.46)</f>
        <v>63.46</v>
      </c>
      <c r="AA29" s="151">
        <f t="shared" si="7"/>
        <v>79.06976744</v>
      </c>
      <c r="AB29" s="152" t="str">
        <f t="shared" si="8"/>
        <v/>
      </c>
      <c r="AC29" s="153">
        <f t="shared" si="9"/>
        <v>9.377560668</v>
      </c>
      <c r="AD29" s="31"/>
    </row>
    <row r="30" ht="22.5" customHeight="1">
      <c r="A30" s="3" t="s">
        <v>145</v>
      </c>
      <c r="B30" s="144" t="s">
        <v>484</v>
      </c>
      <c r="C30" s="145">
        <v>46030.0</v>
      </c>
      <c r="D30" s="145">
        <v>46073.0</v>
      </c>
      <c r="E30" s="145">
        <v>46058.0</v>
      </c>
      <c r="F30" s="146">
        <v>1.0</v>
      </c>
      <c r="G30" s="15" t="s">
        <v>459</v>
      </c>
      <c r="H30" s="46">
        <v>10.0</v>
      </c>
      <c r="I30" s="15">
        <v>0.62049</v>
      </c>
      <c r="J30" s="30">
        <v>1.0</v>
      </c>
      <c r="K30" s="147">
        <v>100.0</v>
      </c>
      <c r="L30" s="148">
        <f>IFERROR(__xludf.DUMMYFUNCTION("QUERY(OptionPositionsLog, ""SELECT E WHERE B = '"" &amp; $B30  &amp; ""' ORDER BY A DESC LIMIT 1"")"),1.39)</f>
        <v>1.39</v>
      </c>
      <c r="M30" s="30">
        <v>0.3</v>
      </c>
      <c r="N30" s="140">
        <f t="shared" si="1"/>
        <v>139</v>
      </c>
      <c r="O30" s="140">
        <f t="shared" si="2"/>
        <v>0</v>
      </c>
      <c r="P30" s="149">
        <f t="shared" si="3"/>
        <v>0</v>
      </c>
      <c r="Q30" s="138" t="str">
        <f t="shared" si="4"/>
        <v/>
      </c>
      <c r="R30" s="150">
        <f t="shared" si="5"/>
        <v>-33.049</v>
      </c>
      <c r="S30" s="140">
        <f t="shared" si="6"/>
        <v>-50</v>
      </c>
      <c r="T30" s="140">
        <f>IFERROR(__xludf.DUMMYFUNCTION("IF(ISBLANK($M30), QUERY(OptionPositionsLog!$A$2:$K796, ""SELECT F WHERE B = '"" &amp; $B30  &amp; ""' ORDER BY A DESC LIMIT 1""), 0)"),0.0)</f>
        <v>0</v>
      </c>
      <c r="U30" s="136">
        <f>IFERROR(__xludf.DUMMYFUNCTION("IF(ISBLANK($M30), QUERY(OptionPositionsLog!$A$2:$K796, ""SELECT G WHERE B = '"" &amp; $B30  &amp; ""' ORDER BY A DESC LIMIT 1"")*F30, 0)"),0.0)</f>
        <v>0</v>
      </c>
      <c r="V30" s="136">
        <f>IFERROR(__xludf.DUMMYFUNCTION("IF(ISBLANK($M30), QUERY(OptionPositionsLog!$A$2:$K796, ""SELECT H WHERE B = '"" &amp; $B30  &amp; ""' ORDER BY A DESC LIMIT 1"")*F30, 0)"),0.0)</f>
        <v>0</v>
      </c>
      <c r="W30" s="136">
        <f>IFERROR(__xludf.DUMMYFUNCTION("IF(ISBLANK($M30), QUERY(OptionPositionsLog!$A$2:$K796, ""SELECT I WHERE B = '"" &amp; $B30  &amp; ""' ORDER BY A DESC LIMIT 1""), 0)"),0.0)</f>
        <v>0</v>
      </c>
      <c r="X30" s="136">
        <f>IFERROR(__xludf.DUMMYFUNCTION("IF(ISBLANK($M30), QUERY(OptionPositionsLog!$A$2:$K796, ""SELECT J WHERE B = '"" &amp; $B30  &amp; ""' ORDER BY A DESC LIMIT 1""), 0)"),0.0)</f>
        <v>0</v>
      </c>
      <c r="Y30" s="136" t="str">
        <f>IFERROR(__xludf.DUMMYFUNCTION("IF(ISBLANK($M30), QUERY(OptionPositionsLog!$A$2:$K796, ""SELECT D WHERE B = '"" &amp; $B30  &amp; ""' ORDER BY A DESC LIMIT 1"")*100, """")"),"")</f>
        <v/>
      </c>
      <c r="Z30" s="148">
        <f>IFERROR(__xludf.DUMMYFUNCTION("QUERY(OptionPositionsLog, ""SELECT K WHERE B = '"" &amp; $B30  &amp; ""' ORDER BY K DESC LIMIT 1"")"),155.6)</f>
        <v>155.6</v>
      </c>
      <c r="AA30" s="151">
        <f t="shared" si="7"/>
        <v>65.11627907</v>
      </c>
      <c r="AB30" s="152" t="str">
        <f t="shared" si="8"/>
        <v/>
      </c>
      <c r="AC30" s="153">
        <f t="shared" si="9"/>
        <v>-21.23971722</v>
      </c>
      <c r="AD30" s="31"/>
    </row>
    <row r="31" ht="22.5" customHeight="1">
      <c r="A31" s="3" t="s">
        <v>146</v>
      </c>
      <c r="B31" s="144" t="s">
        <v>485</v>
      </c>
      <c r="C31" s="145">
        <v>46031.0</v>
      </c>
      <c r="D31" s="145">
        <v>46077.0</v>
      </c>
      <c r="E31" s="145">
        <v>46041.0</v>
      </c>
      <c r="F31" s="146">
        <v>1.0</v>
      </c>
      <c r="G31" s="15" t="s">
        <v>459</v>
      </c>
      <c r="H31" s="46">
        <v>2.75</v>
      </c>
      <c r="I31" s="15">
        <v>0.17624</v>
      </c>
      <c r="J31" s="30">
        <v>1.0</v>
      </c>
      <c r="K31" s="147">
        <v>10000.0</v>
      </c>
      <c r="L31" s="148">
        <f>IFERROR(__xludf.DUMMYFUNCTION("QUERY(OptionPositionsLog, ""SELECT E WHERE B = '"" &amp; $B31  &amp; ""' ORDER BY A DESC LIMIT 1"")"),0.185)</f>
        <v>0.185</v>
      </c>
      <c r="M31" s="30">
        <v>0.337</v>
      </c>
      <c r="N31" s="140">
        <f t="shared" si="1"/>
        <v>1850</v>
      </c>
      <c r="O31" s="140">
        <f t="shared" si="2"/>
        <v>0</v>
      </c>
      <c r="P31" s="149">
        <f t="shared" si="3"/>
        <v>0</v>
      </c>
      <c r="Q31" s="138" t="str">
        <f t="shared" si="4"/>
        <v/>
      </c>
      <c r="R31" s="150">
        <f t="shared" si="5"/>
        <v>1606.6</v>
      </c>
      <c r="S31" s="140">
        <f t="shared" si="6"/>
        <v>90</v>
      </c>
      <c r="T31" s="140">
        <f>IFERROR(__xludf.DUMMYFUNCTION("IF(ISBLANK($M31), QUERY(OptionPositionsLog!$A$2:$K796, ""SELECT F WHERE B = '"" &amp; $B31  &amp; ""' ORDER BY A DESC LIMIT 1""), 0)"),0.0)</f>
        <v>0</v>
      </c>
      <c r="U31" s="136">
        <f>IFERROR(__xludf.DUMMYFUNCTION("IF(ISBLANK($M31), QUERY(OptionPositionsLog!$A$2:$K796, ""SELECT G WHERE B = '"" &amp; $B31  &amp; ""' ORDER BY A DESC LIMIT 1"")*F31, 0)"),0.0)</f>
        <v>0</v>
      </c>
      <c r="V31" s="136">
        <f>IFERROR(__xludf.DUMMYFUNCTION("IF(ISBLANK($M31), QUERY(OptionPositionsLog!$A$2:$K796, ""SELECT H WHERE B = '"" &amp; $B31  &amp; ""' ORDER BY A DESC LIMIT 1"")*F31, 0)"),0.0)</f>
        <v>0</v>
      </c>
      <c r="W31" s="136">
        <f>IFERROR(__xludf.DUMMYFUNCTION("IF(ISBLANK($M31), QUERY(OptionPositionsLog!$A$2:$K796, ""SELECT I WHERE B = '"" &amp; $B31  &amp; ""' ORDER BY A DESC LIMIT 1""), 0)"),0.0)</f>
        <v>0</v>
      </c>
      <c r="X31" s="136">
        <f>IFERROR(__xludf.DUMMYFUNCTION("IF(ISBLANK($M31), QUERY(OptionPositionsLog!$A$2:$K796, ""SELECT J WHERE B = '"" &amp; $B31  &amp; ""' ORDER BY A DESC LIMIT 1""), 0)"),0.0)</f>
        <v>0</v>
      </c>
      <c r="Y31" s="136" t="str">
        <f>IFERROR(__xludf.DUMMYFUNCTION("IF(ISBLANK($M31), QUERY(OptionPositionsLog!$A$2:$K796, ""SELECT D WHERE B = '"" &amp; $B31  &amp; ""' ORDER BY A DESC LIMIT 1"")*100, """")"),"")</f>
        <v/>
      </c>
      <c r="Z31" s="148">
        <f>IFERROR(__xludf.DUMMYFUNCTION("QUERY(OptionPositionsLog, ""SELECT K WHERE B = '"" &amp; $B31  &amp; ""' ORDER BY K DESC LIMIT 1"")"),4812.89)</f>
        <v>4812.89</v>
      </c>
      <c r="AA31" s="151">
        <f t="shared" si="7"/>
        <v>21.73913043</v>
      </c>
      <c r="AB31" s="152" t="str">
        <f t="shared" si="8"/>
        <v/>
      </c>
      <c r="AC31" s="153">
        <f t="shared" si="9"/>
        <v>33.38119093</v>
      </c>
      <c r="AD31" s="31"/>
    </row>
    <row r="32" ht="22.5" customHeight="1">
      <c r="A32" s="3" t="s">
        <v>146</v>
      </c>
      <c r="B32" s="144" t="s">
        <v>486</v>
      </c>
      <c r="C32" s="145">
        <v>46031.0</v>
      </c>
      <c r="D32" s="145">
        <v>46077.0</v>
      </c>
      <c r="E32" s="145">
        <v>46041.0</v>
      </c>
      <c r="F32" s="146">
        <v>-1.0</v>
      </c>
      <c r="G32" s="15" t="s">
        <v>459</v>
      </c>
      <c r="H32" s="46">
        <v>2.85</v>
      </c>
      <c r="I32" s="15">
        <v>0.14176</v>
      </c>
      <c r="J32" s="30">
        <v>1.0</v>
      </c>
      <c r="K32" s="147">
        <v>10000.0</v>
      </c>
      <c r="L32" s="148">
        <f>IFERROR(__xludf.DUMMYFUNCTION("QUERY(OptionPositionsLog, ""SELECT E WHERE B = '"" &amp; $B32  &amp; ""' ORDER BY A DESC LIMIT 1"")"),0.16)</f>
        <v>0.16</v>
      </c>
      <c r="M32" s="30">
        <v>0.286</v>
      </c>
      <c r="N32" s="140">
        <f t="shared" si="1"/>
        <v>1600</v>
      </c>
      <c r="O32" s="140">
        <f t="shared" si="2"/>
        <v>0</v>
      </c>
      <c r="P32" s="149">
        <f t="shared" si="3"/>
        <v>0</v>
      </c>
      <c r="Q32" s="138" t="str">
        <f t="shared" si="4"/>
        <v/>
      </c>
      <c r="R32" s="150">
        <f t="shared" si="5"/>
        <v>-1443.4</v>
      </c>
      <c r="S32" s="140">
        <f t="shared" si="6"/>
        <v>-100</v>
      </c>
      <c r="T32" s="140">
        <f>IFERROR(__xludf.DUMMYFUNCTION("IF(ISBLANK($M32), QUERY(OptionPositionsLog!$A$2:$K796, ""SELECT F WHERE B = '"" &amp; $B32  &amp; ""' ORDER BY A DESC LIMIT 1""), 0)"),0.0)</f>
        <v>0</v>
      </c>
      <c r="U32" s="136">
        <f>IFERROR(__xludf.DUMMYFUNCTION("IF(ISBLANK($M32), QUERY(OptionPositionsLog!$A$2:$K796, ""SELECT G WHERE B = '"" &amp; $B32  &amp; ""' ORDER BY A DESC LIMIT 1"")*F32, 0)"),0.0)</f>
        <v>0</v>
      </c>
      <c r="V32" s="136">
        <f>IFERROR(__xludf.DUMMYFUNCTION("IF(ISBLANK($M32), QUERY(OptionPositionsLog!$A$2:$K796, ""SELECT H WHERE B = '"" &amp; $B32  &amp; ""' ORDER BY A DESC LIMIT 1"")*F32, 0)"),0.0)</f>
        <v>0</v>
      </c>
      <c r="W32" s="136">
        <f>IFERROR(__xludf.DUMMYFUNCTION("IF(ISBLANK($M32), QUERY(OptionPositionsLog!$A$2:$K796, ""SELECT I WHERE B = '"" &amp; $B32  &amp; ""' ORDER BY A DESC LIMIT 1""), 0)"),0.0)</f>
        <v>0</v>
      </c>
      <c r="X32" s="136">
        <f>IFERROR(__xludf.DUMMYFUNCTION("IF(ISBLANK($M32), QUERY(OptionPositionsLog!$A$2:$K796, ""SELECT J WHERE B = '"" &amp; $B32  &amp; ""' ORDER BY A DESC LIMIT 1""), 0)"),0.0)</f>
        <v>0</v>
      </c>
      <c r="Y32" s="136" t="str">
        <f>IFERROR(__xludf.DUMMYFUNCTION("IF(ISBLANK($M32), QUERY(OptionPositionsLog!$A$2:$K796, ""SELECT D WHERE B = '"" &amp; $B32  &amp; ""' ORDER BY A DESC LIMIT 1"")*100, """")"),"")</f>
        <v/>
      </c>
      <c r="Z32" s="148">
        <f>IFERROR(__xludf.DUMMYFUNCTION("QUERY(OptionPositionsLog, ""SELECT K WHERE B = '"" &amp; $B32  &amp; ""' ORDER BY K DESC LIMIT 1"")"),1937.29)</f>
        <v>1937.29</v>
      </c>
      <c r="AA32" s="151">
        <f t="shared" si="7"/>
        <v>21.73913043</v>
      </c>
      <c r="AB32" s="152" t="str">
        <f t="shared" si="8"/>
        <v/>
      </c>
      <c r="AC32" s="153">
        <f t="shared" si="9"/>
        <v>-74.50614002</v>
      </c>
      <c r="AD32" s="31"/>
    </row>
    <row r="33" ht="22.5" customHeight="1">
      <c r="A33" s="3" t="s">
        <v>141</v>
      </c>
      <c r="B33" s="144" t="s">
        <v>487</v>
      </c>
      <c r="C33" s="145">
        <v>46034.0</v>
      </c>
      <c r="D33" s="145">
        <v>46070.0</v>
      </c>
      <c r="E33" s="145">
        <v>46048.0</v>
      </c>
      <c r="F33" s="146">
        <v>-1.0</v>
      </c>
      <c r="G33" s="15" t="s">
        <v>455</v>
      </c>
      <c r="H33" s="46">
        <v>50.0</v>
      </c>
      <c r="I33" s="15">
        <v>0.21763</v>
      </c>
      <c r="J33" s="30">
        <v>1.0</v>
      </c>
      <c r="K33" s="147">
        <v>1000.0</v>
      </c>
      <c r="L33" s="148">
        <f>IFERROR(__xludf.DUMMYFUNCTION("QUERY(OptionPositionsLog, ""SELECT E WHERE B = '"" &amp; $B33  &amp; ""' ORDER BY A DESC LIMIT 1"")"),0.11)</f>
        <v>0.11</v>
      </c>
      <c r="M33" s="30">
        <v>0.11</v>
      </c>
      <c r="N33" s="140">
        <f t="shared" si="1"/>
        <v>110</v>
      </c>
      <c r="O33" s="140">
        <f t="shared" si="2"/>
        <v>0</v>
      </c>
      <c r="P33" s="149">
        <f t="shared" si="3"/>
        <v>0</v>
      </c>
      <c r="Q33" s="138" t="str">
        <f t="shared" si="4"/>
        <v/>
      </c>
      <c r="R33" s="150">
        <f t="shared" si="5"/>
        <v>106.63</v>
      </c>
      <c r="S33" s="140">
        <f t="shared" si="6"/>
        <v>50</v>
      </c>
      <c r="T33" s="140">
        <f>IFERROR(__xludf.DUMMYFUNCTION("IF(ISBLANK($M33), QUERY(OptionPositionsLog!$A$2:$K796, ""SELECT F WHERE B = '"" &amp; $B33  &amp; ""' ORDER BY A DESC LIMIT 1""), 0)"),0.0)</f>
        <v>0</v>
      </c>
      <c r="U33" s="136">
        <f>IFERROR(__xludf.DUMMYFUNCTION("IF(ISBLANK($M33), QUERY(OptionPositionsLog!$A$2:$K796, ""SELECT G WHERE B = '"" &amp; $B33  &amp; ""' ORDER BY A DESC LIMIT 1"")*F33, 0)"),0.0)</f>
        <v>0</v>
      </c>
      <c r="V33" s="136">
        <f>IFERROR(__xludf.DUMMYFUNCTION("IF(ISBLANK($M33), QUERY(OptionPositionsLog!$A$2:$K796, ""SELECT H WHERE B = '"" &amp; $B33  &amp; ""' ORDER BY A DESC LIMIT 1"")*F33, 0)"),0.0)</f>
        <v>0</v>
      </c>
      <c r="W33" s="136">
        <f>IFERROR(__xludf.DUMMYFUNCTION("IF(ISBLANK($M33), QUERY(OptionPositionsLog!$A$2:$K796, ""SELECT I WHERE B = '"" &amp; $B33  &amp; ""' ORDER BY A DESC LIMIT 1""), 0)"),0.0)</f>
        <v>0</v>
      </c>
      <c r="X33" s="136">
        <f>IFERROR(__xludf.DUMMYFUNCTION("IF(ISBLANK($M33), QUERY(OptionPositionsLog!$A$2:$K796, ""SELECT J WHERE B = '"" &amp; $B33  &amp; ""' ORDER BY A DESC LIMIT 1""), 0)"),0.0)</f>
        <v>0</v>
      </c>
      <c r="Y33" s="136" t="str">
        <f>IFERROR(__xludf.DUMMYFUNCTION("IF(ISBLANK($M33), QUERY(OptionPositionsLog!$A$2:$K796, ""SELECT D WHERE B = '"" &amp; $B33  &amp; ""' ORDER BY A DESC LIMIT 1"")*100, """")"),"")</f>
        <v/>
      </c>
      <c r="Z33" s="148">
        <f>IFERROR(__xludf.DUMMYFUNCTION("QUERY(OptionPositionsLog, ""SELECT K WHERE B = '"" &amp; $B33  &amp; ""' ORDER BY K DESC LIMIT 1"")"),3698.19)</f>
        <v>3698.19</v>
      </c>
      <c r="AA33" s="151">
        <f t="shared" si="7"/>
        <v>38.88888889</v>
      </c>
      <c r="AB33" s="152" t="str">
        <f t="shared" si="8"/>
        <v/>
      </c>
      <c r="AC33" s="153">
        <f t="shared" si="9"/>
        <v>2.883302372</v>
      </c>
      <c r="AD33" s="31"/>
    </row>
    <row r="34" ht="22.5" customHeight="1">
      <c r="A34" s="3" t="s">
        <v>42</v>
      </c>
      <c r="B34" s="144" t="s">
        <v>488</v>
      </c>
      <c r="C34" s="145">
        <v>46034.0</v>
      </c>
      <c r="D34" s="145">
        <v>46073.0</v>
      </c>
      <c r="E34" s="145">
        <v>46036.0</v>
      </c>
      <c r="F34" s="146">
        <v>-1.0</v>
      </c>
      <c r="G34" s="15" t="s">
        <v>455</v>
      </c>
      <c r="H34" s="46">
        <v>70.0</v>
      </c>
      <c r="I34" s="15">
        <v>3.41298</v>
      </c>
      <c r="J34" s="30">
        <v>1.0</v>
      </c>
      <c r="K34" s="147">
        <v>100.0</v>
      </c>
      <c r="L34" s="148">
        <f>IFERROR(__xludf.DUMMYFUNCTION("QUERY(OptionPositionsLog, ""SELECT E WHERE B = '"" &amp; $B34  &amp; ""' ORDER BY A DESC LIMIT 1"")"),3.0)</f>
        <v>3</v>
      </c>
      <c r="M34" s="30">
        <v>2.35</v>
      </c>
      <c r="N34" s="140">
        <f t="shared" si="1"/>
        <v>300</v>
      </c>
      <c r="O34" s="140">
        <f t="shared" si="2"/>
        <v>0</v>
      </c>
      <c r="P34" s="149">
        <f t="shared" si="3"/>
        <v>0</v>
      </c>
      <c r="Q34" s="138" t="str">
        <f t="shared" si="4"/>
        <v/>
      </c>
      <c r="R34" s="150">
        <f t="shared" si="5"/>
        <v>105.298</v>
      </c>
      <c r="S34" s="140">
        <f t="shared" si="6"/>
        <v>30</v>
      </c>
      <c r="T34" s="140">
        <f>IFERROR(__xludf.DUMMYFUNCTION("IF(ISBLANK($M34), QUERY(OptionPositionsLog!$A$2:$K796, ""SELECT F WHERE B = '"" &amp; $B34  &amp; ""' ORDER BY A DESC LIMIT 1""), 0)"),0.0)</f>
        <v>0</v>
      </c>
      <c r="U34" s="136">
        <f>IFERROR(__xludf.DUMMYFUNCTION("IF(ISBLANK($M34), QUERY(OptionPositionsLog!$A$2:$K796, ""SELECT G WHERE B = '"" &amp; $B34  &amp; ""' ORDER BY A DESC LIMIT 1"")*F34, 0)"),0.0)</f>
        <v>0</v>
      </c>
      <c r="V34" s="136">
        <f>IFERROR(__xludf.DUMMYFUNCTION("IF(ISBLANK($M34), QUERY(OptionPositionsLog!$A$2:$K796, ""SELECT H WHERE B = '"" &amp; $B34  &amp; ""' ORDER BY A DESC LIMIT 1"")*F34, 0)"),0.0)</f>
        <v>0</v>
      </c>
      <c r="W34" s="136">
        <f>IFERROR(__xludf.DUMMYFUNCTION("IF(ISBLANK($M34), QUERY(OptionPositionsLog!$A$2:$K796, ""SELECT I WHERE B = '"" &amp; $B34  &amp; ""' ORDER BY A DESC LIMIT 1""), 0)"),0.0)</f>
        <v>0</v>
      </c>
      <c r="X34" s="136">
        <f>IFERROR(__xludf.DUMMYFUNCTION("IF(ISBLANK($M34), QUERY(OptionPositionsLog!$A$2:$K796, ""SELECT J WHERE B = '"" &amp; $B34  &amp; ""' ORDER BY A DESC LIMIT 1""), 0)"),0.0)</f>
        <v>0</v>
      </c>
      <c r="Y34" s="136" t="str">
        <f>IFERROR(__xludf.DUMMYFUNCTION("IF(ISBLANK($M34), QUERY(OptionPositionsLog!$A$2:$K796, ""SELECT D WHERE B = '"" &amp; $B34  &amp; ""' ORDER BY A DESC LIMIT 1"")*100, """")"),"")</f>
        <v/>
      </c>
      <c r="Z34" s="148">
        <f>IFERROR(__xludf.DUMMYFUNCTION("QUERY(OptionPositionsLog, ""SELECT K WHERE B = '"" &amp; $B34  &amp; ""' ORDER BY K DESC LIMIT 1"")"),109.25)</f>
        <v>109.25</v>
      </c>
      <c r="AA34" s="151">
        <f t="shared" si="7"/>
        <v>5.128205128</v>
      </c>
      <c r="AB34" s="152" t="str">
        <f t="shared" si="8"/>
        <v/>
      </c>
      <c r="AC34" s="153">
        <f t="shared" si="9"/>
        <v>96.3826087</v>
      </c>
      <c r="AD34" s="31"/>
    </row>
    <row r="35" ht="22.5" customHeight="1">
      <c r="A35" s="3" t="s">
        <v>42</v>
      </c>
      <c r="B35" s="144" t="s">
        <v>489</v>
      </c>
      <c r="C35" s="145">
        <v>46034.0</v>
      </c>
      <c r="D35" s="145">
        <v>46073.0</v>
      </c>
      <c r="E35" s="145">
        <v>46036.0</v>
      </c>
      <c r="F35" s="146">
        <v>-1.0</v>
      </c>
      <c r="G35" s="15" t="s">
        <v>459</v>
      </c>
      <c r="H35" s="46">
        <v>95.0</v>
      </c>
      <c r="I35" s="15">
        <v>2.40298</v>
      </c>
      <c r="J35" s="30">
        <v>1.0</v>
      </c>
      <c r="K35" s="147">
        <v>100.0</v>
      </c>
      <c r="L35" s="148">
        <f>IFERROR(__xludf.DUMMYFUNCTION("QUERY(OptionPositionsLog, ""SELECT E WHERE B = '"" &amp; $B35  &amp; ""' ORDER BY A DESC LIMIT 1"")"),2.39)</f>
        <v>2.39</v>
      </c>
      <c r="M35" s="30">
        <v>5.02</v>
      </c>
      <c r="N35" s="140">
        <f t="shared" si="1"/>
        <v>239</v>
      </c>
      <c r="O35" s="140">
        <f t="shared" si="2"/>
        <v>0</v>
      </c>
      <c r="P35" s="149">
        <f t="shared" si="3"/>
        <v>0</v>
      </c>
      <c r="Q35" s="138" t="str">
        <f t="shared" si="4"/>
        <v/>
      </c>
      <c r="R35" s="150">
        <f t="shared" si="5"/>
        <v>-262.702</v>
      </c>
      <c r="S35" s="140">
        <f t="shared" si="6"/>
        <v>-110</v>
      </c>
      <c r="T35" s="140">
        <f>IFERROR(__xludf.DUMMYFUNCTION("IF(ISBLANK($M35), QUERY(OptionPositionsLog!$A$2:$K796, ""SELECT F WHERE B = '"" &amp; $B35  &amp; ""' ORDER BY A DESC LIMIT 1""), 0)"),0.0)</f>
        <v>0</v>
      </c>
      <c r="U35" s="136">
        <f>IFERROR(__xludf.DUMMYFUNCTION("IF(ISBLANK($M35), QUERY(OptionPositionsLog!$A$2:$K796, ""SELECT G WHERE B = '"" &amp; $B35  &amp; ""' ORDER BY A DESC LIMIT 1"")*F35, 0)"),0.0)</f>
        <v>0</v>
      </c>
      <c r="V35" s="136">
        <f>IFERROR(__xludf.DUMMYFUNCTION("IF(ISBLANK($M35), QUERY(OptionPositionsLog!$A$2:$K796, ""SELECT H WHERE B = '"" &amp; $B35  &amp; ""' ORDER BY A DESC LIMIT 1"")*F35, 0)"),0.0)</f>
        <v>0</v>
      </c>
      <c r="W35" s="136">
        <f>IFERROR(__xludf.DUMMYFUNCTION("IF(ISBLANK($M35), QUERY(OptionPositionsLog!$A$2:$K796, ""SELECT I WHERE B = '"" &amp; $B35  &amp; ""' ORDER BY A DESC LIMIT 1""), 0)"),0.0)</f>
        <v>0</v>
      </c>
      <c r="X35" s="136">
        <f>IFERROR(__xludf.DUMMYFUNCTION("IF(ISBLANK($M35), QUERY(OptionPositionsLog!$A$2:$K796, ""SELECT J WHERE B = '"" &amp; $B35  &amp; ""' ORDER BY A DESC LIMIT 1""), 0)"),0.0)</f>
        <v>0</v>
      </c>
      <c r="Y35" s="136" t="str">
        <f>IFERROR(__xludf.DUMMYFUNCTION("IF(ISBLANK($M35), QUERY(OptionPositionsLog!$A$2:$K796, ""SELECT D WHERE B = '"" &amp; $B35  &amp; ""' ORDER BY A DESC LIMIT 1"")*100, """")"),"")</f>
        <v/>
      </c>
      <c r="Z35" s="148">
        <f>IFERROR(__xludf.DUMMYFUNCTION("QUERY(OptionPositionsLog, ""SELECT K WHERE B = '"" &amp; $B35  &amp; ""' ORDER BY K DESC LIMIT 1"")"),189.98)</f>
        <v>189.98</v>
      </c>
      <c r="AA35" s="151">
        <f t="shared" si="7"/>
        <v>5.128205128</v>
      </c>
      <c r="AB35" s="152" t="str">
        <f t="shared" si="8"/>
        <v/>
      </c>
      <c r="AC35" s="153">
        <f t="shared" si="9"/>
        <v>-138.2787662</v>
      </c>
      <c r="AD35" s="31"/>
    </row>
    <row r="36" ht="22.5" customHeight="1">
      <c r="A36" s="3" t="s">
        <v>152</v>
      </c>
      <c r="B36" s="144" t="s">
        <v>490</v>
      </c>
      <c r="C36" s="145">
        <v>46035.0</v>
      </c>
      <c r="D36" s="145">
        <v>46073.0</v>
      </c>
      <c r="E36" s="145">
        <v>46036.0</v>
      </c>
      <c r="F36" s="146">
        <v>-1.0</v>
      </c>
      <c r="G36" s="15" t="s">
        <v>455</v>
      </c>
      <c r="H36" s="46">
        <v>400.0</v>
      </c>
      <c r="I36" s="15">
        <v>3.59298</v>
      </c>
      <c r="J36" s="30">
        <v>1.0</v>
      </c>
      <c r="K36" s="147">
        <v>100.0</v>
      </c>
      <c r="L36" s="148">
        <f>IFERROR(__xludf.DUMMYFUNCTION("QUERY(OptionPositionsLog, ""SELECT E WHERE B = '"" &amp; $B36  &amp; ""' ORDER BY A DESC LIMIT 1"")"),3.55)</f>
        <v>3.55</v>
      </c>
      <c r="M36" s="30">
        <v>2.65</v>
      </c>
      <c r="N36" s="140">
        <f t="shared" si="1"/>
        <v>355</v>
      </c>
      <c r="O36" s="140">
        <f t="shared" si="2"/>
        <v>0</v>
      </c>
      <c r="P36" s="149">
        <f t="shared" si="3"/>
        <v>0</v>
      </c>
      <c r="Q36" s="138" t="str">
        <f t="shared" si="4"/>
        <v/>
      </c>
      <c r="R36" s="150">
        <f t="shared" si="5"/>
        <v>93.298</v>
      </c>
      <c r="S36" s="140">
        <f t="shared" si="6"/>
        <v>30</v>
      </c>
      <c r="T36" s="140">
        <f>IFERROR(__xludf.DUMMYFUNCTION("IF(ISBLANK($M36), QUERY(OptionPositionsLog!$A$2:$K796, ""SELECT F WHERE B = '"" &amp; $B36  &amp; ""' ORDER BY A DESC LIMIT 1""), 0)"),0.0)</f>
        <v>0</v>
      </c>
      <c r="U36" s="136">
        <f>IFERROR(__xludf.DUMMYFUNCTION("IF(ISBLANK($M36), QUERY(OptionPositionsLog!$A$2:$K796, ""SELECT G WHERE B = '"" &amp; $B36  &amp; ""' ORDER BY A DESC LIMIT 1"")*F36, 0)"),0.0)</f>
        <v>0</v>
      </c>
      <c r="V36" s="136">
        <f>IFERROR(__xludf.DUMMYFUNCTION("IF(ISBLANK($M36), QUERY(OptionPositionsLog!$A$2:$K796, ""SELECT H WHERE B = '"" &amp; $B36  &amp; ""' ORDER BY A DESC LIMIT 1"")*F36, 0)"),0.0)</f>
        <v>0</v>
      </c>
      <c r="W36" s="136">
        <f>IFERROR(__xludf.DUMMYFUNCTION("IF(ISBLANK($M36), QUERY(OptionPositionsLog!$A$2:$K796, ""SELECT I WHERE B = '"" &amp; $B36  &amp; ""' ORDER BY A DESC LIMIT 1""), 0)"),0.0)</f>
        <v>0</v>
      </c>
      <c r="X36" s="136">
        <f>IFERROR(__xludf.DUMMYFUNCTION("IF(ISBLANK($M36), QUERY(OptionPositionsLog!$A$2:$K796, ""SELECT J WHERE B = '"" &amp; $B36  &amp; ""' ORDER BY A DESC LIMIT 1""), 0)"),0.0)</f>
        <v>0</v>
      </c>
      <c r="Y36" s="136" t="str">
        <f>IFERROR(__xludf.DUMMYFUNCTION("IF(ISBLANK($M36), QUERY(OptionPositionsLog!$A$2:$K796, ""SELECT D WHERE B = '"" &amp; $B36  &amp; ""' ORDER BY A DESC LIMIT 1"")*100, """")"),"")</f>
        <v/>
      </c>
      <c r="Z36" s="148">
        <f>IFERROR(__xludf.DUMMYFUNCTION("QUERY(OptionPositionsLog, ""SELECT K WHERE B = '"" &amp; $B36  &amp; ""' ORDER BY K DESC LIMIT 1"")"),534.57)</f>
        <v>534.57</v>
      </c>
      <c r="AA36" s="151">
        <f t="shared" si="7"/>
        <v>2.631578947</v>
      </c>
      <c r="AB36" s="152" t="str">
        <f t="shared" si="8"/>
        <v/>
      </c>
      <c r="AC36" s="153">
        <f t="shared" si="9"/>
        <v>17.45290607</v>
      </c>
      <c r="AD36" s="31"/>
    </row>
    <row r="37" ht="22.5" customHeight="1">
      <c r="A37" s="3" t="s">
        <v>152</v>
      </c>
      <c r="B37" s="144" t="s">
        <v>491</v>
      </c>
      <c r="C37" s="145">
        <v>46035.0</v>
      </c>
      <c r="D37" s="145">
        <v>46073.0</v>
      </c>
      <c r="E37" s="145">
        <v>46036.0</v>
      </c>
      <c r="F37" s="146">
        <v>-1.0</v>
      </c>
      <c r="G37" s="15" t="s">
        <v>459</v>
      </c>
      <c r="H37" s="46">
        <v>475.0</v>
      </c>
      <c r="I37" s="15">
        <v>1.47298</v>
      </c>
      <c r="J37" s="30">
        <v>1.0</v>
      </c>
      <c r="K37" s="147">
        <v>100.0</v>
      </c>
      <c r="L37" s="148">
        <f>IFERROR(__xludf.DUMMYFUNCTION("QUERY(OptionPositionsLog, ""SELECT E WHERE B = '"" &amp; $B37  &amp; ""' ORDER BY A DESC LIMIT 1"")"),1.35)</f>
        <v>1.35</v>
      </c>
      <c r="M37" s="30">
        <v>1.58</v>
      </c>
      <c r="N37" s="140">
        <f t="shared" si="1"/>
        <v>135</v>
      </c>
      <c r="O37" s="140">
        <f t="shared" si="2"/>
        <v>0</v>
      </c>
      <c r="P37" s="149">
        <f t="shared" si="3"/>
        <v>0</v>
      </c>
      <c r="Q37" s="138" t="str">
        <f t="shared" si="4"/>
        <v/>
      </c>
      <c r="R37" s="150">
        <f t="shared" si="5"/>
        <v>-11.702</v>
      </c>
      <c r="S37" s="140">
        <f t="shared" si="6"/>
        <v>-10</v>
      </c>
      <c r="T37" s="140">
        <f>IFERROR(__xludf.DUMMYFUNCTION("IF(ISBLANK($M37), QUERY(OptionPositionsLog!$A$2:$K796, ""SELECT F WHERE B = '"" &amp; $B37  &amp; ""' ORDER BY A DESC LIMIT 1""), 0)"),0.0)</f>
        <v>0</v>
      </c>
      <c r="U37" s="136">
        <f>IFERROR(__xludf.DUMMYFUNCTION("IF(ISBLANK($M37), QUERY(OptionPositionsLog!$A$2:$K796, ""SELECT G WHERE B = '"" &amp; $B37  &amp; ""' ORDER BY A DESC LIMIT 1"")*F37, 0)"),0.0)</f>
        <v>0</v>
      </c>
      <c r="V37" s="136">
        <f>IFERROR(__xludf.DUMMYFUNCTION("IF(ISBLANK($M37), QUERY(OptionPositionsLog!$A$2:$K796, ""SELECT H WHERE B = '"" &amp; $B37  &amp; ""' ORDER BY A DESC LIMIT 1"")*F37, 0)"),0.0)</f>
        <v>0</v>
      </c>
      <c r="W37" s="136">
        <f>IFERROR(__xludf.DUMMYFUNCTION("IF(ISBLANK($M37), QUERY(OptionPositionsLog!$A$2:$K796, ""SELECT I WHERE B = '"" &amp; $B37  &amp; ""' ORDER BY A DESC LIMIT 1""), 0)"),0.0)</f>
        <v>0</v>
      </c>
      <c r="X37" s="136">
        <f>IFERROR(__xludf.DUMMYFUNCTION("IF(ISBLANK($M37), QUERY(OptionPositionsLog!$A$2:$K796, ""SELECT J WHERE B = '"" &amp; $B37  &amp; ""' ORDER BY A DESC LIMIT 1""), 0)"),0.0)</f>
        <v>0</v>
      </c>
      <c r="Y37" s="136" t="str">
        <f>IFERROR(__xludf.DUMMYFUNCTION("IF(ISBLANK($M37), QUERY(OptionPositionsLog!$A$2:$K796, ""SELECT D WHERE B = '"" &amp; $B37  &amp; ""' ORDER BY A DESC LIMIT 1"")*100, """")"),"")</f>
        <v/>
      </c>
      <c r="Z37" s="148">
        <f>IFERROR(__xludf.DUMMYFUNCTION("QUERY(OptionPositionsLog, ""SELECT K WHERE B = '"" &amp; $B37  &amp; ""' ORDER BY K DESC LIMIT 1"")"),82.18)</f>
        <v>82.18</v>
      </c>
      <c r="AA37" s="151">
        <f t="shared" si="7"/>
        <v>2.631578947</v>
      </c>
      <c r="AB37" s="152" t="str">
        <f t="shared" si="8"/>
        <v/>
      </c>
      <c r="AC37" s="153">
        <f t="shared" si="9"/>
        <v>-14.23947432</v>
      </c>
      <c r="AD37" s="31"/>
    </row>
    <row r="38" ht="22.5" customHeight="1">
      <c r="A38" s="3" t="s">
        <v>141</v>
      </c>
      <c r="B38" s="144" t="s">
        <v>492</v>
      </c>
      <c r="C38" s="145">
        <v>46036.0</v>
      </c>
      <c r="D38" s="145">
        <v>46070.0</v>
      </c>
      <c r="E38" s="145">
        <v>46048.0</v>
      </c>
      <c r="F38" s="146">
        <v>-1.0</v>
      </c>
      <c r="G38" s="15" t="s">
        <v>459</v>
      </c>
      <c r="H38" s="46">
        <v>82.0</v>
      </c>
      <c r="I38" s="15">
        <v>0.31763</v>
      </c>
      <c r="J38" s="30">
        <v>1.0</v>
      </c>
      <c r="K38" s="147">
        <v>100.0</v>
      </c>
      <c r="L38" s="148">
        <f>IFERROR(__xludf.DUMMYFUNCTION("QUERY(OptionPositionsLog, ""SELECT E WHERE B = '"" &amp; $B38  &amp; ""' ORDER BY A DESC LIMIT 1"")"),0.34)</f>
        <v>0.34</v>
      </c>
      <c r="M38" s="30">
        <v>0.3</v>
      </c>
      <c r="N38" s="140">
        <f t="shared" si="1"/>
        <v>34</v>
      </c>
      <c r="O38" s="140">
        <f t="shared" si="2"/>
        <v>0</v>
      </c>
      <c r="P38" s="149">
        <f t="shared" si="3"/>
        <v>0</v>
      </c>
      <c r="Q38" s="138" t="str">
        <f t="shared" si="4"/>
        <v/>
      </c>
      <c r="R38" s="150">
        <f t="shared" si="5"/>
        <v>0.763</v>
      </c>
      <c r="S38" s="140">
        <f t="shared" si="6"/>
        <v>0</v>
      </c>
      <c r="T38" s="140">
        <f>IFERROR(__xludf.DUMMYFUNCTION("IF(ISBLANK($M38), QUERY(OptionPositionsLog!$A$2:$K796, ""SELECT F WHERE B = '"" &amp; $B38  &amp; ""' ORDER BY A DESC LIMIT 1""), 0)"),0.0)</f>
        <v>0</v>
      </c>
      <c r="U38" s="136">
        <f>IFERROR(__xludf.DUMMYFUNCTION("IF(ISBLANK($M38), QUERY(OptionPositionsLog!$A$2:$K796, ""SELECT G WHERE B = '"" &amp; $B38  &amp; ""' ORDER BY A DESC LIMIT 1"")*F38, 0)"),0.0)</f>
        <v>0</v>
      </c>
      <c r="V38" s="136">
        <f>IFERROR(__xludf.DUMMYFUNCTION("IF(ISBLANK($M38), QUERY(OptionPositionsLog!$A$2:$K796, ""SELECT H WHERE B = '"" &amp; $B38  &amp; ""' ORDER BY A DESC LIMIT 1"")*F38, 0)"),0.0)</f>
        <v>0</v>
      </c>
      <c r="W38" s="136">
        <f>IFERROR(__xludf.DUMMYFUNCTION("IF(ISBLANK($M38), QUERY(OptionPositionsLog!$A$2:$K796, ""SELECT I WHERE B = '"" &amp; $B38  &amp; ""' ORDER BY A DESC LIMIT 1""), 0)"),0.0)</f>
        <v>0</v>
      </c>
      <c r="X38" s="136">
        <f>IFERROR(__xludf.DUMMYFUNCTION("IF(ISBLANK($M38), QUERY(OptionPositionsLog!$A$2:$K796, ""SELECT J WHERE B = '"" &amp; $B38  &amp; ""' ORDER BY A DESC LIMIT 1""), 0)"),0.0)</f>
        <v>0</v>
      </c>
      <c r="Y38" s="136" t="str">
        <f>IFERROR(__xludf.DUMMYFUNCTION("IF(ISBLANK($M38), QUERY(OptionPositionsLog!$A$2:$K796, ""SELECT D WHERE B = '"" &amp; $B38  &amp; ""' ORDER BY A DESC LIMIT 1"")*100, """")"),"")</f>
        <v/>
      </c>
      <c r="Z38" s="148">
        <f>IFERROR(__xludf.DUMMYFUNCTION("QUERY(OptionPositionsLog, ""SELECT K WHERE B = '"" &amp; $B38  &amp; ""' ORDER BY K DESC LIMIT 1"")"),142.17)</f>
        <v>142.17</v>
      </c>
      <c r="AA38" s="151">
        <f t="shared" si="7"/>
        <v>35.29411765</v>
      </c>
      <c r="AB38" s="152" t="str">
        <f t="shared" si="8"/>
        <v/>
      </c>
      <c r="AC38" s="153">
        <f t="shared" si="9"/>
        <v>0.5366814377</v>
      </c>
      <c r="AD38" s="31"/>
    </row>
    <row r="39" ht="22.5" customHeight="1">
      <c r="A39" s="3" t="s">
        <v>108</v>
      </c>
      <c r="B39" s="144" t="s">
        <v>493</v>
      </c>
      <c r="C39" s="145">
        <v>46036.0</v>
      </c>
      <c r="D39" s="145">
        <v>46073.0</v>
      </c>
      <c r="E39" s="145">
        <v>46042.0</v>
      </c>
      <c r="F39" s="146">
        <v>1.0</v>
      </c>
      <c r="G39" s="15" t="s">
        <v>459</v>
      </c>
      <c r="H39" s="46">
        <v>60.0</v>
      </c>
      <c r="I39" s="15">
        <v>1.28049</v>
      </c>
      <c r="J39" s="30">
        <v>1.0</v>
      </c>
      <c r="K39" s="147">
        <v>100.0</v>
      </c>
      <c r="L39" s="148">
        <f>IFERROR(__xludf.DUMMYFUNCTION("QUERY(OptionPositionsLog, ""SELECT E WHERE B = '"" &amp; $B39  &amp; ""' ORDER BY A DESC LIMIT 1"")"),0.71)</f>
        <v>0.71</v>
      </c>
      <c r="M39" s="30">
        <v>0.28</v>
      </c>
      <c r="N39" s="140">
        <f t="shared" si="1"/>
        <v>71</v>
      </c>
      <c r="O39" s="140">
        <f t="shared" si="2"/>
        <v>0</v>
      </c>
      <c r="P39" s="149">
        <f t="shared" si="3"/>
        <v>0</v>
      </c>
      <c r="Q39" s="138" t="str">
        <f t="shared" si="4"/>
        <v/>
      </c>
      <c r="R39" s="150">
        <f t="shared" si="5"/>
        <v>-101.049</v>
      </c>
      <c r="S39" s="140">
        <f t="shared" si="6"/>
        <v>-80</v>
      </c>
      <c r="T39" s="140">
        <f>IFERROR(__xludf.DUMMYFUNCTION("IF(ISBLANK($M39), QUERY(OptionPositionsLog!$A$2:$K796, ""SELECT F WHERE B = '"" &amp; $B39  &amp; ""' ORDER BY A DESC LIMIT 1""), 0)"),0.0)</f>
        <v>0</v>
      </c>
      <c r="U39" s="136">
        <f>IFERROR(__xludf.DUMMYFUNCTION("IF(ISBLANK($M39), QUERY(OptionPositionsLog!$A$2:$K796, ""SELECT G WHERE B = '"" &amp; $B39  &amp; ""' ORDER BY A DESC LIMIT 1"")*F39, 0)"),0.0)</f>
        <v>0</v>
      </c>
      <c r="V39" s="136">
        <f>IFERROR(__xludf.DUMMYFUNCTION("IF(ISBLANK($M39), QUERY(OptionPositionsLog!$A$2:$K796, ""SELECT H WHERE B = '"" &amp; $B39  &amp; ""' ORDER BY A DESC LIMIT 1"")*F39, 0)"),0.0)</f>
        <v>0</v>
      </c>
      <c r="W39" s="136">
        <f>IFERROR(__xludf.DUMMYFUNCTION("IF(ISBLANK($M39), QUERY(OptionPositionsLog!$A$2:$K796, ""SELECT I WHERE B = '"" &amp; $B39  &amp; ""' ORDER BY A DESC LIMIT 1""), 0)"),0.0)</f>
        <v>0</v>
      </c>
      <c r="X39" s="136">
        <f>IFERROR(__xludf.DUMMYFUNCTION("IF(ISBLANK($M39), QUERY(OptionPositionsLog!$A$2:$K796, ""SELECT J WHERE B = '"" &amp; $B39  &amp; ""' ORDER BY A DESC LIMIT 1""), 0)"),0.0)</f>
        <v>0</v>
      </c>
      <c r="Y39" s="136" t="str">
        <f>IFERROR(__xludf.DUMMYFUNCTION("IF(ISBLANK($M39), QUERY(OptionPositionsLog!$A$2:$K796, ""SELECT D WHERE B = '"" &amp; $B39  &amp; ""' ORDER BY A DESC LIMIT 1"")*100, """")"),"")</f>
        <v/>
      </c>
      <c r="Z39" s="148">
        <f>IFERROR(__xludf.DUMMYFUNCTION("QUERY(OptionPositionsLog, ""SELECT K WHERE B = '"" &amp; $B39  &amp; ""' ORDER BY K DESC LIMIT 1"")"),27.14)</f>
        <v>27.14</v>
      </c>
      <c r="AA39" s="151">
        <f t="shared" si="7"/>
        <v>16.21621622</v>
      </c>
      <c r="AB39" s="152" t="str">
        <f t="shared" si="8"/>
        <v/>
      </c>
      <c r="AC39" s="153">
        <f t="shared" si="9"/>
        <v>-372.3249816</v>
      </c>
      <c r="AD39" s="31"/>
    </row>
    <row r="40" ht="22.5" customHeight="1">
      <c r="A40" s="3" t="s">
        <v>108</v>
      </c>
      <c r="B40" s="144" t="s">
        <v>494</v>
      </c>
      <c r="C40" s="145">
        <v>46036.0</v>
      </c>
      <c r="D40" s="145">
        <v>46073.0</v>
      </c>
      <c r="E40" s="145">
        <v>46042.0</v>
      </c>
      <c r="F40" s="146">
        <v>-1.0</v>
      </c>
      <c r="G40" s="15" t="s">
        <v>455</v>
      </c>
      <c r="H40" s="46">
        <v>53.0</v>
      </c>
      <c r="I40" s="15">
        <v>1.81948</v>
      </c>
      <c r="J40" s="30">
        <v>1.0</v>
      </c>
      <c r="K40" s="147">
        <v>100.0</v>
      </c>
      <c r="L40" s="148">
        <f>IFERROR(__xludf.DUMMYFUNCTION("QUERY(OptionPositionsLog, ""SELECT E WHERE B = '"" &amp; $B40  &amp; ""' ORDER BY A DESC LIMIT 1"")"),1.91)</f>
        <v>1.91</v>
      </c>
      <c r="M40" s="30">
        <v>3.46</v>
      </c>
      <c r="N40" s="140">
        <f t="shared" si="1"/>
        <v>191</v>
      </c>
      <c r="O40" s="140">
        <f t="shared" si="2"/>
        <v>0</v>
      </c>
      <c r="P40" s="149">
        <f t="shared" si="3"/>
        <v>0</v>
      </c>
      <c r="Q40" s="138" t="str">
        <f t="shared" si="4"/>
        <v/>
      </c>
      <c r="R40" s="150">
        <f t="shared" si="5"/>
        <v>-165.052</v>
      </c>
      <c r="S40" s="140">
        <f t="shared" si="6"/>
        <v>-90</v>
      </c>
      <c r="T40" s="140">
        <f>IFERROR(__xludf.DUMMYFUNCTION("IF(ISBLANK($M40), QUERY(OptionPositionsLog!$A$2:$K796, ""SELECT F WHERE B = '"" &amp; $B40  &amp; ""' ORDER BY A DESC LIMIT 1""), 0)"),0.0)</f>
        <v>0</v>
      </c>
      <c r="U40" s="136">
        <f>IFERROR(__xludf.DUMMYFUNCTION("IF(ISBLANK($M40), QUERY(OptionPositionsLog!$A$2:$K796, ""SELECT G WHERE B = '"" &amp; $B40  &amp; ""' ORDER BY A DESC LIMIT 1"")*F40, 0)"),0.0)</f>
        <v>0</v>
      </c>
      <c r="V40" s="136">
        <f>IFERROR(__xludf.DUMMYFUNCTION("IF(ISBLANK($M40), QUERY(OptionPositionsLog!$A$2:$K796, ""SELECT H WHERE B = '"" &amp; $B40  &amp; ""' ORDER BY A DESC LIMIT 1"")*F40, 0)"),0.0)</f>
        <v>0</v>
      </c>
      <c r="W40" s="136">
        <f>IFERROR(__xludf.DUMMYFUNCTION("IF(ISBLANK($M40), QUERY(OptionPositionsLog!$A$2:$K796, ""SELECT I WHERE B = '"" &amp; $B40  &amp; ""' ORDER BY A DESC LIMIT 1""), 0)"),0.0)</f>
        <v>0</v>
      </c>
      <c r="X40" s="136">
        <f>IFERROR(__xludf.DUMMYFUNCTION("IF(ISBLANK($M40), QUERY(OptionPositionsLog!$A$2:$K796, ""SELECT J WHERE B = '"" &amp; $B40  &amp; ""' ORDER BY A DESC LIMIT 1""), 0)"),0.0)</f>
        <v>0</v>
      </c>
      <c r="Y40" s="136" t="str">
        <f>IFERROR(__xludf.DUMMYFUNCTION("IF(ISBLANK($M40), QUERY(OptionPositionsLog!$A$2:$K796, ""SELECT D WHERE B = '"" &amp; $B40  &amp; ""' ORDER BY A DESC LIMIT 1"")*100, """")"),"")</f>
        <v/>
      </c>
      <c r="Z40" s="148">
        <f>IFERROR(__xludf.DUMMYFUNCTION("QUERY(OptionPositionsLog, ""SELECT K WHERE B = '"" &amp; $B40  &amp; ""' ORDER BY K DESC LIMIT 1"")"),1117.9)</f>
        <v>1117.9</v>
      </c>
      <c r="AA40" s="151">
        <f t="shared" si="7"/>
        <v>16.21621622</v>
      </c>
      <c r="AB40" s="152" t="str">
        <f t="shared" si="8"/>
        <v/>
      </c>
      <c r="AC40" s="153">
        <f t="shared" si="9"/>
        <v>-14.76446909</v>
      </c>
      <c r="AD40" s="31"/>
    </row>
    <row r="41" ht="22.5" customHeight="1">
      <c r="A41" s="3" t="s">
        <v>155</v>
      </c>
      <c r="B41" s="144" t="s">
        <v>495</v>
      </c>
      <c r="C41" s="145">
        <v>46039.0</v>
      </c>
      <c r="D41" s="145">
        <v>46101.0</v>
      </c>
      <c r="E41" s="145">
        <v>46057.0</v>
      </c>
      <c r="F41" s="146">
        <v>-1.0</v>
      </c>
      <c r="G41" s="15" t="s">
        <v>455</v>
      </c>
      <c r="H41" s="46">
        <v>230.0</v>
      </c>
      <c r="I41" s="15">
        <v>3.11748</v>
      </c>
      <c r="J41" s="30">
        <v>1.0</v>
      </c>
      <c r="K41" s="147">
        <v>100.0</v>
      </c>
      <c r="L41" s="148">
        <f>IFERROR(__xludf.DUMMYFUNCTION("QUERY(OptionPositionsLog, ""SELECT E WHERE B = '"" &amp; $B41  &amp; ""' ORDER BY A DESC LIMIT 1"")"),6.0)</f>
        <v>6</v>
      </c>
      <c r="M41" s="30">
        <v>10.62</v>
      </c>
      <c r="N41" s="140">
        <f t="shared" si="1"/>
        <v>600</v>
      </c>
      <c r="O41" s="140">
        <f t="shared" si="2"/>
        <v>0</v>
      </c>
      <c r="P41" s="149">
        <f t="shared" si="3"/>
        <v>0</v>
      </c>
      <c r="Q41" s="138" t="str">
        <f t="shared" si="4"/>
        <v/>
      </c>
      <c r="R41" s="150">
        <f t="shared" si="5"/>
        <v>-751.252</v>
      </c>
      <c r="S41" s="140">
        <f t="shared" si="6"/>
        <v>-240</v>
      </c>
      <c r="T41" s="140">
        <f>IFERROR(__xludf.DUMMYFUNCTION("IF(ISBLANK($M41), QUERY(OptionPositionsLog!$A$2:$K796, ""SELECT F WHERE B = '"" &amp; $B41  &amp; ""' ORDER BY A DESC LIMIT 1""), 0)"),0.0)</f>
        <v>0</v>
      </c>
      <c r="U41" s="136">
        <f>IFERROR(__xludf.DUMMYFUNCTION("IF(ISBLANK($M41), QUERY(OptionPositionsLog!$A$2:$K796, ""SELECT G WHERE B = '"" &amp; $B41  &amp; ""' ORDER BY A DESC LIMIT 1"")*F41, 0)"),0.0)</f>
        <v>0</v>
      </c>
      <c r="V41" s="136">
        <f>IFERROR(__xludf.DUMMYFUNCTION("IF(ISBLANK($M41), QUERY(OptionPositionsLog!$A$2:$K796, ""SELECT H WHERE B = '"" &amp; $B41  &amp; ""' ORDER BY A DESC LIMIT 1"")*F41, 0)"),0.0)</f>
        <v>0</v>
      </c>
      <c r="W41" s="136">
        <f>IFERROR(__xludf.DUMMYFUNCTION("IF(ISBLANK($M41), QUERY(OptionPositionsLog!$A$2:$K796, ""SELECT I WHERE B = '"" &amp; $B41  &amp; ""' ORDER BY A DESC LIMIT 1""), 0)"),0.0)</f>
        <v>0</v>
      </c>
      <c r="X41" s="136">
        <f>IFERROR(__xludf.DUMMYFUNCTION("IF(ISBLANK($M41), QUERY(OptionPositionsLog!$A$2:$K796, ""SELECT J WHERE B = '"" &amp; $B41  &amp; ""' ORDER BY A DESC LIMIT 1""), 0)"),0.0)</f>
        <v>0</v>
      </c>
      <c r="Y41" s="136" t="str">
        <f>IFERROR(__xludf.DUMMYFUNCTION("IF(ISBLANK($M41), QUERY(OptionPositionsLog!$A$2:$K796, ""SELECT D WHERE B = '"" &amp; $B41  &amp; ""' ORDER BY A DESC LIMIT 1"")*100, """")"),"")</f>
        <v/>
      </c>
      <c r="Z41" s="148">
        <f>IFERROR(__xludf.DUMMYFUNCTION("QUERY(OptionPositionsLog, ""SELECT K WHERE B = '"" &amp; $B41  &amp; ""' ORDER BY K DESC LIMIT 1"")"),440.08)</f>
        <v>440.08</v>
      </c>
      <c r="AA41" s="151" t="str">
        <f t="shared" ref="AA41:AA42" si="10">(IF(ISBLANK(#REF!),TODAY(), #REF!)-C41) * 100/ (D41-C41)</f>
        <v>#REF!</v>
      </c>
      <c r="AB41" s="152" t="str">
        <f t="shared" si="8"/>
        <v/>
      </c>
      <c r="AC41" s="153">
        <f t="shared" si="9"/>
        <v>-170.7080531</v>
      </c>
      <c r="AD41" s="31"/>
    </row>
    <row r="42" ht="22.5" customHeight="1">
      <c r="A42" s="3" t="s">
        <v>155</v>
      </c>
      <c r="B42" s="144" t="s">
        <v>496</v>
      </c>
      <c r="C42" s="145">
        <v>46039.0</v>
      </c>
      <c r="D42" s="145">
        <v>46101.0</v>
      </c>
      <c r="E42" s="145">
        <v>46057.0</v>
      </c>
      <c r="F42" s="146">
        <v>1.0</v>
      </c>
      <c r="G42" s="15" t="s">
        <v>455</v>
      </c>
      <c r="H42" s="46">
        <v>240.0</v>
      </c>
      <c r="I42" s="15">
        <v>4.39249</v>
      </c>
      <c r="J42" s="30">
        <v>1.0</v>
      </c>
      <c r="K42" s="147">
        <v>100.0</v>
      </c>
      <c r="L42" s="148">
        <f>IFERROR(__xludf.DUMMYFUNCTION("QUERY(OptionPositionsLog, ""SELECT E WHERE B = '"" &amp; $B42  &amp; ""' ORDER BY A DESC LIMIT 1"")"),8.7)</f>
        <v>8.7</v>
      </c>
      <c r="M42" s="30">
        <v>14.42</v>
      </c>
      <c r="N42" s="140">
        <f t="shared" si="1"/>
        <v>870</v>
      </c>
      <c r="O42" s="140">
        <f t="shared" si="2"/>
        <v>0</v>
      </c>
      <c r="P42" s="149">
        <f t="shared" si="3"/>
        <v>0</v>
      </c>
      <c r="Q42" s="138" t="str">
        <f t="shared" si="4"/>
        <v/>
      </c>
      <c r="R42" s="150">
        <f t="shared" si="5"/>
        <v>1001.751</v>
      </c>
      <c r="S42" s="140">
        <f t="shared" si="6"/>
        <v>230</v>
      </c>
      <c r="T42" s="140">
        <f>IFERROR(__xludf.DUMMYFUNCTION("IF(ISBLANK($M42), QUERY(OptionPositionsLog!$A$2:$K796, ""SELECT F WHERE B = '"" &amp; $B42  &amp; ""' ORDER BY A DESC LIMIT 1""), 0)"),0.0)</f>
        <v>0</v>
      </c>
      <c r="U42" s="136">
        <f>IFERROR(__xludf.DUMMYFUNCTION("IF(ISBLANK($M42), QUERY(OptionPositionsLog!$A$2:$K796, ""SELECT G WHERE B = '"" &amp; $B42  &amp; ""' ORDER BY A DESC LIMIT 1"")*F42, 0)"),0.0)</f>
        <v>0</v>
      </c>
      <c r="V42" s="136">
        <f>IFERROR(__xludf.DUMMYFUNCTION("IF(ISBLANK($M42), QUERY(OptionPositionsLog!$A$2:$K796, ""SELECT H WHERE B = '"" &amp; $B42  &amp; ""' ORDER BY A DESC LIMIT 1"")*F42, 0)"),0.0)</f>
        <v>0</v>
      </c>
      <c r="W42" s="136">
        <f>IFERROR(__xludf.DUMMYFUNCTION("IF(ISBLANK($M42), QUERY(OptionPositionsLog!$A$2:$K796, ""SELECT I WHERE B = '"" &amp; $B42  &amp; ""' ORDER BY A DESC LIMIT 1""), 0)"),0.0)</f>
        <v>0</v>
      </c>
      <c r="X42" s="136">
        <f>IFERROR(__xludf.DUMMYFUNCTION("IF(ISBLANK($M42), QUERY(OptionPositionsLog!$A$2:$K796, ""SELECT J WHERE B = '"" &amp; $B42  &amp; ""' ORDER BY A DESC LIMIT 1""), 0)"),0.0)</f>
        <v>0</v>
      </c>
      <c r="Y42" s="136" t="str">
        <f>IFERROR(__xludf.DUMMYFUNCTION("IF(ISBLANK($M42), QUERY(OptionPositionsLog!$A$2:$K796, ""SELECT D WHERE B = '"" &amp; $B42  &amp; ""' ORDER BY A DESC LIMIT 1"")*100, """")"),"")</f>
        <v/>
      </c>
      <c r="Z42" s="148">
        <f>IFERROR(__xludf.DUMMYFUNCTION("QUERY(OptionPositionsLog, ""SELECT K WHERE B = '"" &amp; $B42  &amp; ""' ORDER BY K DESC LIMIT 1"")"),1975.57)</f>
        <v>1975.57</v>
      </c>
      <c r="AA42" s="151" t="str">
        <f t="shared" si="10"/>
        <v>#REF!</v>
      </c>
      <c r="AB42" s="152" t="str">
        <f t="shared" si="8"/>
        <v/>
      </c>
      <c r="AC42" s="153">
        <f t="shared" si="9"/>
        <v>50.70693521</v>
      </c>
      <c r="AD42" s="31"/>
    </row>
    <row r="43" ht="22.5" customHeight="1">
      <c r="A43" s="3" t="s">
        <v>190</v>
      </c>
      <c r="B43" s="144" t="s">
        <v>497</v>
      </c>
      <c r="C43" s="145">
        <v>46042.0</v>
      </c>
      <c r="D43" s="145">
        <v>46073.0</v>
      </c>
      <c r="E43" s="145">
        <v>46073.0</v>
      </c>
      <c r="F43" s="146">
        <v>1.0</v>
      </c>
      <c r="G43" s="15" t="s">
        <v>455</v>
      </c>
      <c r="H43" s="46">
        <v>27.0</v>
      </c>
      <c r="I43" s="15">
        <v>0.42049</v>
      </c>
      <c r="J43" s="30">
        <v>1.0</v>
      </c>
      <c r="K43" s="147">
        <v>100.0</v>
      </c>
      <c r="L43" s="148">
        <f>IFERROR(__xludf.DUMMYFUNCTION("QUERY(OptionPositionsLog, ""SELECT E WHERE B = '"" &amp; $B43  &amp; ""' ORDER BY A DESC LIMIT 1"")"),0.0)</f>
        <v>0</v>
      </c>
      <c r="M43" s="30">
        <v>0.0</v>
      </c>
      <c r="N43" s="140">
        <f t="shared" si="1"/>
        <v>0</v>
      </c>
      <c r="O43" s="140">
        <f t="shared" si="2"/>
        <v>0</v>
      </c>
      <c r="P43" s="149">
        <f t="shared" si="3"/>
        <v>0</v>
      </c>
      <c r="Q43" s="138" t="str">
        <f t="shared" si="4"/>
        <v/>
      </c>
      <c r="R43" s="150">
        <f t="shared" si="5"/>
        <v>-43.049</v>
      </c>
      <c r="S43" s="140">
        <f t="shared" si="6"/>
        <v>-100</v>
      </c>
      <c r="T43" s="140">
        <f>IFERROR(__xludf.DUMMYFUNCTION("IF(ISBLANK($M43), QUERY(OptionPositionsLog!$A$2:$K796, ""SELECT F WHERE B = '"" &amp; $B43  &amp; ""' ORDER BY A DESC LIMIT 1""), 0)"),0.0)</f>
        <v>0</v>
      </c>
      <c r="U43" s="136">
        <f>IFERROR(__xludf.DUMMYFUNCTION("IF(ISBLANK($M43), QUERY(OptionPositionsLog!$A$2:$K796, ""SELECT G WHERE B = '"" &amp; $B43  &amp; ""' ORDER BY A DESC LIMIT 1"")*F43, 0)"),0.0)</f>
        <v>0</v>
      </c>
      <c r="V43" s="136">
        <f>IFERROR(__xludf.DUMMYFUNCTION("IF(ISBLANK($M43), QUERY(OptionPositionsLog!$A$2:$K796, ""SELECT H WHERE B = '"" &amp; $B43  &amp; ""' ORDER BY A DESC LIMIT 1"")*F43, 0)"),0.0)</f>
        <v>0</v>
      </c>
      <c r="W43" s="136">
        <f>IFERROR(__xludf.DUMMYFUNCTION("IF(ISBLANK($M43), QUERY(OptionPositionsLog!$A$2:$K796, ""SELECT I WHERE B = '"" &amp; $B43  &amp; ""' ORDER BY A DESC LIMIT 1""), 0)"),0.0)</f>
        <v>0</v>
      </c>
      <c r="X43" s="136">
        <f>IFERROR(__xludf.DUMMYFUNCTION("IF(ISBLANK($M43), QUERY(OptionPositionsLog!$A$2:$K796, ""SELECT J WHERE B = '"" &amp; $B43  &amp; ""' ORDER BY A DESC LIMIT 1""), 0)"),0.0)</f>
        <v>0</v>
      </c>
      <c r="Y43" s="136" t="str">
        <f>IFERROR(__xludf.DUMMYFUNCTION("IF(ISBLANK($M43), QUERY(OptionPositionsLog!$A$2:$K796, ""SELECT D WHERE B = '"" &amp; $B43  &amp; ""' ORDER BY A DESC LIMIT 1"")*100, """")"),"")</f>
        <v/>
      </c>
      <c r="Z43" s="148">
        <f>IFERROR(__xludf.DUMMYFUNCTION("QUERY(OptionPositionsLog, ""SELECT K WHERE B = '"" &amp; $B43  &amp; ""' ORDER BY K DESC LIMIT 1"")"),31.45)</f>
        <v>31.45</v>
      </c>
      <c r="AA43" s="151">
        <f t="shared" ref="AA43:AA174" si="11">(IF(ISBLANK(E43),TODAY(), E43)-C43) * 100/ (D43-C43)</f>
        <v>100</v>
      </c>
      <c r="AB43" s="152" t="str">
        <f t="shared" si="8"/>
        <v/>
      </c>
      <c r="AC43" s="153">
        <f t="shared" si="9"/>
        <v>-136.8807631</v>
      </c>
      <c r="AD43" s="31"/>
    </row>
    <row r="44" ht="22.5" customHeight="1">
      <c r="A44" s="3" t="s">
        <v>209</v>
      </c>
      <c r="B44" s="144" t="s">
        <v>498</v>
      </c>
      <c r="C44" s="145">
        <v>46042.0</v>
      </c>
      <c r="D44" s="145">
        <v>46073.0</v>
      </c>
      <c r="E44" s="145">
        <v>46056.0</v>
      </c>
      <c r="F44" s="146">
        <v>1.0</v>
      </c>
      <c r="G44" s="15" t="s">
        <v>459</v>
      </c>
      <c r="H44" s="46">
        <v>62.5</v>
      </c>
      <c r="I44" s="15">
        <v>0.59899</v>
      </c>
      <c r="J44" s="30">
        <v>1.0</v>
      </c>
      <c r="K44" s="147">
        <v>100.0</v>
      </c>
      <c r="L44" s="148">
        <f>IFERROR(__xludf.DUMMYFUNCTION("QUERY(OptionPositionsLog, ""SELECT E WHERE B = '"" &amp; $B44  &amp; ""' ORDER BY A DESC LIMIT 1"")"),0.15)</f>
        <v>0.15</v>
      </c>
      <c r="M44" s="30">
        <v>0.32</v>
      </c>
      <c r="N44" s="140">
        <f t="shared" si="1"/>
        <v>15</v>
      </c>
      <c r="O44" s="140">
        <f t="shared" si="2"/>
        <v>0</v>
      </c>
      <c r="P44" s="149">
        <f t="shared" si="3"/>
        <v>0</v>
      </c>
      <c r="Q44" s="138" t="str">
        <f t="shared" si="4"/>
        <v/>
      </c>
      <c r="R44" s="150">
        <f t="shared" si="5"/>
        <v>-28.899</v>
      </c>
      <c r="S44" s="140">
        <f t="shared" si="6"/>
        <v>-50</v>
      </c>
      <c r="T44" s="140">
        <f>IFERROR(__xludf.DUMMYFUNCTION("IF(ISBLANK($M44), QUERY(OptionPositionsLog!$A$2:$K796, ""SELECT F WHERE B = '"" &amp; $B44  &amp; ""' ORDER BY A DESC LIMIT 1""), 0)"),0.0)</f>
        <v>0</v>
      </c>
      <c r="U44" s="136">
        <f>IFERROR(__xludf.DUMMYFUNCTION("IF(ISBLANK($M44), QUERY(OptionPositionsLog!$A$2:$K796, ""SELECT G WHERE B = '"" &amp; $B44  &amp; ""' ORDER BY A DESC LIMIT 1"")*F44, 0)"),0.0)</f>
        <v>0</v>
      </c>
      <c r="V44" s="136">
        <f>IFERROR(__xludf.DUMMYFUNCTION("IF(ISBLANK($M44), QUERY(OptionPositionsLog!$A$2:$K796, ""SELECT H WHERE B = '"" &amp; $B44  &amp; ""' ORDER BY A DESC LIMIT 1"")*F44, 0)"),0.0)</f>
        <v>0</v>
      </c>
      <c r="W44" s="136">
        <f>IFERROR(__xludf.DUMMYFUNCTION("IF(ISBLANK($M44), QUERY(OptionPositionsLog!$A$2:$K796, ""SELECT I WHERE B = '"" &amp; $B44  &amp; ""' ORDER BY A DESC LIMIT 1""), 0)"),0.0)</f>
        <v>0</v>
      </c>
      <c r="X44" s="136">
        <f>IFERROR(__xludf.DUMMYFUNCTION("IF(ISBLANK($M44), QUERY(OptionPositionsLog!$A$2:$K796, ""SELECT J WHERE B = '"" &amp; $B44  &amp; ""' ORDER BY A DESC LIMIT 1""), 0)"),0.0)</f>
        <v>0</v>
      </c>
      <c r="Y44" s="136" t="str">
        <f>IFERROR(__xludf.DUMMYFUNCTION("IF(ISBLANK($M44), QUERY(OptionPositionsLog!$A$2:$K796, ""SELECT D WHERE B = '"" &amp; $B44  &amp; ""' ORDER BY A DESC LIMIT 1"")*100, """")"),"")</f>
        <v/>
      </c>
      <c r="Z44" s="148">
        <f>IFERROR(__xludf.DUMMYFUNCTION("QUERY(OptionPositionsLog, ""SELECT K WHERE B = '"" &amp; $B44  &amp; ""' ORDER BY K DESC LIMIT 1"")"),40.2)</f>
        <v>40.2</v>
      </c>
      <c r="AA44" s="151">
        <f t="shared" si="11"/>
        <v>45.16129032</v>
      </c>
      <c r="AB44" s="152" t="str">
        <f t="shared" si="8"/>
        <v/>
      </c>
      <c r="AC44" s="153">
        <f t="shared" si="9"/>
        <v>-71.8880597</v>
      </c>
      <c r="AD44" s="31"/>
    </row>
    <row r="45" ht="22.5" customHeight="1">
      <c r="A45" s="3" t="s">
        <v>204</v>
      </c>
      <c r="B45" s="144" t="s">
        <v>499</v>
      </c>
      <c r="C45" s="145">
        <v>46042.0</v>
      </c>
      <c r="D45" s="145">
        <v>46073.0</v>
      </c>
      <c r="E45" s="145">
        <v>46044.0</v>
      </c>
      <c r="F45" s="146">
        <v>-1.0</v>
      </c>
      <c r="G45" s="15" t="s">
        <v>455</v>
      </c>
      <c r="H45" s="46">
        <v>82.5</v>
      </c>
      <c r="I45" s="15">
        <v>1.29478</v>
      </c>
      <c r="J45" s="30">
        <v>1.0</v>
      </c>
      <c r="K45" s="147">
        <v>100.0</v>
      </c>
      <c r="L45" s="148">
        <f>IFERROR(__xludf.DUMMYFUNCTION("QUERY(OptionPositionsLog, ""SELECT E WHERE B = '"" &amp; $B45  &amp; ""' ORDER BY A DESC LIMIT 1"")"),1.135)</f>
        <v>1.135</v>
      </c>
      <c r="M45" s="30">
        <v>0.63</v>
      </c>
      <c r="N45" s="140">
        <f t="shared" si="1"/>
        <v>113.5</v>
      </c>
      <c r="O45" s="140">
        <f t="shared" si="2"/>
        <v>0</v>
      </c>
      <c r="P45" s="149">
        <f t="shared" si="3"/>
        <v>0</v>
      </c>
      <c r="Q45" s="138" t="str">
        <f t="shared" si="4"/>
        <v/>
      </c>
      <c r="R45" s="150">
        <f t="shared" si="5"/>
        <v>65.478</v>
      </c>
      <c r="S45" s="140">
        <f t="shared" si="6"/>
        <v>50</v>
      </c>
      <c r="T45" s="140">
        <f>IFERROR(__xludf.DUMMYFUNCTION("IF(ISBLANK($M45), QUERY(OptionPositionsLog!$A$2:$K796, ""SELECT F WHERE B = '"" &amp; $B45  &amp; ""' ORDER BY A DESC LIMIT 1""), 0)"),0.0)</f>
        <v>0</v>
      </c>
      <c r="U45" s="136">
        <f>IFERROR(__xludf.DUMMYFUNCTION("IF(ISBLANK($M45), QUERY(OptionPositionsLog!$A$2:$K796, ""SELECT G WHERE B = '"" &amp; $B45  &amp; ""' ORDER BY A DESC LIMIT 1"")*F45, 0)"),0.0)</f>
        <v>0</v>
      </c>
      <c r="V45" s="136">
        <f>IFERROR(__xludf.DUMMYFUNCTION("IF(ISBLANK($M45), QUERY(OptionPositionsLog!$A$2:$K796, ""SELECT H WHERE B = '"" &amp; $B45  &amp; ""' ORDER BY A DESC LIMIT 1"")*F45, 0)"),0.0)</f>
        <v>0</v>
      </c>
      <c r="W45" s="136">
        <f>IFERROR(__xludf.DUMMYFUNCTION("IF(ISBLANK($M45), QUERY(OptionPositionsLog!$A$2:$K796, ""SELECT I WHERE B = '"" &amp; $B45  &amp; ""' ORDER BY A DESC LIMIT 1""), 0)"),0.0)</f>
        <v>0</v>
      </c>
      <c r="X45" s="136">
        <f>IFERROR(__xludf.DUMMYFUNCTION("IF(ISBLANK($M45), QUERY(OptionPositionsLog!$A$2:$K796, ""SELECT J WHERE B = '"" &amp; $B45  &amp; ""' ORDER BY A DESC LIMIT 1""), 0)"),0.0)</f>
        <v>0</v>
      </c>
      <c r="Y45" s="136" t="str">
        <f>IFERROR(__xludf.DUMMYFUNCTION("IF(ISBLANK($M45), QUERY(OptionPositionsLog!$A$2:$K796, ""SELECT D WHERE B = '"" &amp; $B45  &amp; ""' ORDER BY A DESC LIMIT 1"")*100, """")"),"")</f>
        <v/>
      </c>
      <c r="Z45" s="148">
        <f>IFERROR(__xludf.DUMMYFUNCTION("QUERY(OptionPositionsLog, ""SELECT K WHERE B = '"" &amp; $B45  &amp; ""' ORDER BY K DESC LIMIT 1"")"),95.83)</f>
        <v>95.83</v>
      </c>
      <c r="AA45" s="151">
        <f t="shared" si="11"/>
        <v>6.451612903</v>
      </c>
      <c r="AB45" s="152" t="str">
        <f t="shared" si="8"/>
        <v/>
      </c>
      <c r="AC45" s="153">
        <f t="shared" si="9"/>
        <v>68.32724617</v>
      </c>
      <c r="AD45" s="31"/>
    </row>
    <row r="46" ht="22.5" customHeight="1">
      <c r="A46" s="3" t="s">
        <v>204</v>
      </c>
      <c r="B46" s="144" t="s">
        <v>500</v>
      </c>
      <c r="C46" s="145">
        <v>46042.0</v>
      </c>
      <c r="D46" s="145">
        <v>46073.0</v>
      </c>
      <c r="E46" s="145">
        <v>46065.0</v>
      </c>
      <c r="F46" s="146">
        <v>1.0</v>
      </c>
      <c r="G46" s="15" t="s">
        <v>455</v>
      </c>
      <c r="H46" s="46">
        <v>85.0</v>
      </c>
      <c r="I46" s="15">
        <v>2.13519</v>
      </c>
      <c r="J46" s="30">
        <v>1.0</v>
      </c>
      <c r="K46" s="147">
        <v>100.0</v>
      </c>
      <c r="L46" s="148">
        <f>IFERROR(__xludf.DUMMYFUNCTION("QUERY(OptionPositionsLog, ""SELECT E WHERE B = '"" &amp; $B46  &amp; ""' ORDER BY A DESC LIMIT 1"")"),0.45)</f>
        <v>0.45</v>
      </c>
      <c r="M46" s="30">
        <v>1.15</v>
      </c>
      <c r="N46" s="140">
        <f t="shared" si="1"/>
        <v>45</v>
      </c>
      <c r="O46" s="140">
        <f t="shared" si="2"/>
        <v>0</v>
      </c>
      <c r="P46" s="149">
        <f t="shared" si="3"/>
        <v>0</v>
      </c>
      <c r="Q46" s="138" t="str">
        <f t="shared" si="4"/>
        <v/>
      </c>
      <c r="R46" s="150">
        <f t="shared" si="5"/>
        <v>-99.519</v>
      </c>
      <c r="S46" s="140">
        <f t="shared" si="6"/>
        <v>-50</v>
      </c>
      <c r="T46" s="140">
        <f>IFERROR(__xludf.DUMMYFUNCTION("IF(ISBLANK($M46), QUERY(OptionPositionsLog!$A$2:$K796, ""SELECT F WHERE B = '"" &amp; $B46  &amp; ""' ORDER BY A DESC LIMIT 1""), 0)"),0.0)</f>
        <v>0</v>
      </c>
      <c r="U46" s="136">
        <f>IFERROR(__xludf.DUMMYFUNCTION("IF(ISBLANK($M46), QUERY(OptionPositionsLog!$A$2:$K796, ""SELECT G WHERE B = '"" &amp; $B46  &amp; ""' ORDER BY A DESC LIMIT 1"")*F46, 0)"),0.0)</f>
        <v>0</v>
      </c>
      <c r="V46" s="136">
        <f>IFERROR(__xludf.DUMMYFUNCTION("IF(ISBLANK($M46), QUERY(OptionPositionsLog!$A$2:$K796, ""SELECT H WHERE B = '"" &amp; $B46  &amp; ""' ORDER BY A DESC LIMIT 1"")*F46, 0)"),0.0)</f>
        <v>0</v>
      </c>
      <c r="W46" s="136">
        <f>IFERROR(__xludf.DUMMYFUNCTION("IF(ISBLANK($M46), QUERY(OptionPositionsLog!$A$2:$K796, ""SELECT I WHERE B = '"" &amp; $B46  &amp; ""' ORDER BY A DESC LIMIT 1""), 0)"),0.0)</f>
        <v>0</v>
      </c>
      <c r="X46" s="136">
        <f>IFERROR(__xludf.DUMMYFUNCTION("IF(ISBLANK($M46), QUERY(OptionPositionsLog!$A$2:$K796, ""SELECT J WHERE B = '"" &amp; $B46  &amp; ""' ORDER BY A DESC LIMIT 1""), 0)"),0.0)</f>
        <v>0</v>
      </c>
      <c r="Y46" s="136" t="str">
        <f>IFERROR(__xludf.DUMMYFUNCTION("IF(ISBLANK($M46), QUERY(OptionPositionsLog!$A$2:$K796, ""SELECT D WHERE B = '"" &amp; $B46  &amp; ""' ORDER BY A DESC LIMIT 1"")*100, """")"),"")</f>
        <v/>
      </c>
      <c r="Z46" s="148">
        <f>IFERROR(__xludf.DUMMYFUNCTION("QUERY(OptionPositionsLog, ""SELECT K WHERE B = '"" &amp; $B46  &amp; ""' ORDER BY K DESC LIMIT 1"")"),867.68)</f>
        <v>867.68</v>
      </c>
      <c r="AA46" s="151">
        <f t="shared" si="11"/>
        <v>74.19354839</v>
      </c>
      <c r="AB46" s="152" t="str">
        <f t="shared" si="8"/>
        <v/>
      </c>
      <c r="AC46" s="153">
        <f t="shared" si="9"/>
        <v>-11.46955099</v>
      </c>
      <c r="AD46" s="31"/>
    </row>
    <row r="47" ht="22.5" customHeight="1">
      <c r="A47" s="3" t="s">
        <v>222</v>
      </c>
      <c r="B47" s="144" t="s">
        <v>501</v>
      </c>
      <c r="C47" s="145">
        <v>46042.0</v>
      </c>
      <c r="D47" s="145">
        <v>46073.0</v>
      </c>
      <c r="E47" s="145">
        <v>46059.0</v>
      </c>
      <c r="F47" s="146">
        <v>-1.0</v>
      </c>
      <c r="G47" s="15" t="s">
        <v>455</v>
      </c>
      <c r="H47" s="46">
        <v>250.0</v>
      </c>
      <c r="I47" s="15">
        <v>2.55368</v>
      </c>
      <c r="J47" s="30">
        <v>1.0</v>
      </c>
      <c r="K47" s="147">
        <v>100.0</v>
      </c>
      <c r="L47" s="148">
        <f>IFERROR(__xludf.DUMMYFUNCTION("QUERY(OptionPositionsLog, ""SELECT E WHERE B = '"" &amp; $B47  &amp; ""' ORDER BY A DESC LIMIT 1"")"),3.18)</f>
        <v>3.18</v>
      </c>
      <c r="M47" s="30">
        <v>1.48</v>
      </c>
      <c r="N47" s="140">
        <f t="shared" si="1"/>
        <v>318</v>
      </c>
      <c r="O47" s="140">
        <f t="shared" si="2"/>
        <v>0</v>
      </c>
      <c r="P47" s="149">
        <f t="shared" si="3"/>
        <v>0</v>
      </c>
      <c r="Q47" s="138" t="str">
        <f t="shared" si="4"/>
        <v/>
      </c>
      <c r="R47" s="150">
        <f t="shared" si="5"/>
        <v>106.368</v>
      </c>
      <c r="S47" s="140">
        <f t="shared" si="6"/>
        <v>40</v>
      </c>
      <c r="T47" s="140">
        <f>IFERROR(__xludf.DUMMYFUNCTION("IF(ISBLANK($M47), QUERY(OptionPositionsLog!$A$2:$K796, ""SELECT F WHERE B = '"" &amp; $B47  &amp; ""' ORDER BY A DESC LIMIT 1""), 0)"),0.0)</f>
        <v>0</v>
      </c>
      <c r="U47" s="136">
        <f>IFERROR(__xludf.DUMMYFUNCTION("IF(ISBLANK($M47), QUERY(OptionPositionsLog!$A$2:$K796, ""SELECT G WHERE B = '"" &amp; $B47  &amp; ""' ORDER BY A DESC LIMIT 1"")*F47, 0)"),0.0)</f>
        <v>0</v>
      </c>
      <c r="V47" s="136">
        <f>IFERROR(__xludf.DUMMYFUNCTION("IF(ISBLANK($M47), QUERY(OptionPositionsLog!$A$2:$K796, ""SELECT H WHERE B = '"" &amp; $B47  &amp; ""' ORDER BY A DESC LIMIT 1"")*F47, 0)"),0.0)</f>
        <v>0</v>
      </c>
      <c r="W47" s="136">
        <f>IFERROR(__xludf.DUMMYFUNCTION("IF(ISBLANK($M47), QUERY(OptionPositionsLog!$A$2:$K796, ""SELECT I WHERE B = '"" &amp; $B47  &amp; ""' ORDER BY A DESC LIMIT 1""), 0)"),0.0)</f>
        <v>0</v>
      </c>
      <c r="X47" s="136">
        <f>IFERROR(__xludf.DUMMYFUNCTION("IF(ISBLANK($M47), QUERY(OptionPositionsLog!$A$2:$K796, ""SELECT J WHERE B = '"" &amp; $B47  &amp; ""' ORDER BY A DESC LIMIT 1""), 0)"),0.0)</f>
        <v>0</v>
      </c>
      <c r="Y47" s="136" t="str">
        <f>IFERROR(__xludf.DUMMYFUNCTION("IF(ISBLANK($M47), QUERY(OptionPositionsLog!$A$2:$K796, ""SELECT D WHERE B = '"" &amp; $B47  &amp; ""' ORDER BY A DESC LIMIT 1"")*100, """")"),"")</f>
        <v/>
      </c>
      <c r="Z47" s="148">
        <f>IFERROR(__xludf.DUMMYFUNCTION("QUERY(OptionPositionsLog, ""SELECT K WHERE B = '"" &amp; $B47  &amp; ""' ORDER BY K DESC LIMIT 1"")"),1871.24)</f>
        <v>1871.24</v>
      </c>
      <c r="AA47" s="151">
        <f t="shared" si="11"/>
        <v>54.83870968</v>
      </c>
      <c r="AB47" s="152" t="str">
        <f t="shared" si="8"/>
        <v/>
      </c>
      <c r="AC47" s="153">
        <f t="shared" si="9"/>
        <v>5.684359035</v>
      </c>
      <c r="AD47" s="31"/>
    </row>
    <row r="48" ht="22.5" customHeight="1">
      <c r="A48" s="3" t="s">
        <v>146</v>
      </c>
      <c r="B48" s="144" t="s">
        <v>502</v>
      </c>
      <c r="C48" s="145">
        <v>46044.0</v>
      </c>
      <c r="D48" s="145">
        <v>46080.0</v>
      </c>
      <c r="E48" s="145">
        <v>46075.0</v>
      </c>
      <c r="F48" s="146">
        <v>-1.0</v>
      </c>
      <c r="G48" s="15" t="s">
        <v>459</v>
      </c>
      <c r="H48" s="46">
        <v>9.5</v>
      </c>
      <c r="I48" s="15">
        <v>0.068</v>
      </c>
      <c r="J48" s="15">
        <v>1.0</v>
      </c>
      <c r="K48" s="15">
        <v>10000.0</v>
      </c>
      <c r="M48" s="15">
        <v>0.097</v>
      </c>
      <c r="N48" s="140">
        <f t="shared" si="1"/>
        <v>0</v>
      </c>
      <c r="O48" s="140">
        <f t="shared" si="2"/>
        <v>0</v>
      </c>
      <c r="P48" s="149">
        <f t="shared" si="3"/>
        <v>0</v>
      </c>
      <c r="Q48" s="138" t="str">
        <f t="shared" si="4"/>
        <v/>
      </c>
      <c r="R48" s="150">
        <f t="shared" si="5"/>
        <v>-291</v>
      </c>
      <c r="S48" s="140">
        <f t="shared" si="6"/>
        <v>-40</v>
      </c>
      <c r="T48" s="140">
        <f>IFERROR(__xludf.DUMMYFUNCTION("IF(ISBLANK($M48), QUERY(OptionPositionsLog!$A$2:$K796, ""SELECT F WHERE B = '"" &amp; $B48  &amp; ""' ORDER BY A DESC LIMIT 1""), 0)"),0.0)</f>
        <v>0</v>
      </c>
      <c r="U48" s="136">
        <f>IFERROR(__xludf.DUMMYFUNCTION("IF(ISBLANK($M48), QUERY(OptionPositionsLog!$A$2:$K796, ""SELECT G WHERE B = '"" &amp; $B48  &amp; ""' ORDER BY A DESC LIMIT 1"")*F48, 0)"),0.0)</f>
        <v>0</v>
      </c>
      <c r="V48" s="136">
        <f>IFERROR(__xludf.DUMMYFUNCTION("IF(ISBLANK($M48), QUERY(OptionPositionsLog!$A$2:$K796, ""SELECT H WHERE B = '"" &amp; $B48  &amp; ""' ORDER BY A DESC LIMIT 1"")*F48, 0)"),0.0)</f>
        <v>0</v>
      </c>
      <c r="W48" s="136">
        <f>IFERROR(__xludf.DUMMYFUNCTION("IF(ISBLANK($M48), QUERY(OptionPositionsLog!$A$2:$K796, ""SELECT I WHERE B = '"" &amp; $B48  &amp; ""' ORDER BY A DESC LIMIT 1""), 0)"),0.0)</f>
        <v>0</v>
      </c>
      <c r="X48" s="136">
        <f>IFERROR(__xludf.DUMMYFUNCTION("IF(ISBLANK($M48), QUERY(OptionPositionsLog!$A$2:$K796, ""SELECT J WHERE B = '"" &amp; $B48  &amp; ""' ORDER BY A DESC LIMIT 1""), 0)"),0.0)</f>
        <v>0</v>
      </c>
      <c r="Y48" s="136" t="str">
        <f>IFERROR(__xludf.DUMMYFUNCTION("IF(ISBLANK($M48), QUERY(OptionPositionsLog!$A$2:$K796, ""SELECT D WHERE B = '"" &amp; $B48  &amp; ""' ORDER BY A DESC LIMIT 1"")*100, """")"),"")</f>
        <v/>
      </c>
      <c r="Z48" s="148" t="str">
        <f>IFERROR(__xludf.DUMMYFUNCTION("QUERY(OptionPositionsLog, ""SELECT K WHERE B = '"" &amp; $B48  &amp; ""' ORDER BY K DESC LIMIT 1"")"),"#N/A")</f>
        <v>#N/A</v>
      </c>
      <c r="AA48" s="151">
        <f t="shared" si="11"/>
        <v>86.11111111</v>
      </c>
      <c r="AB48" s="152" t="str">
        <f t="shared" si="8"/>
        <v/>
      </c>
      <c r="AC48" s="153" t="str">
        <f t="shared" si="9"/>
        <v/>
      </c>
      <c r="AD48" s="31"/>
    </row>
    <row r="49" ht="22.5" customHeight="1">
      <c r="A49" s="3" t="s">
        <v>218</v>
      </c>
      <c r="B49" s="144" t="s">
        <v>503</v>
      </c>
      <c r="C49" s="145">
        <v>46043.0</v>
      </c>
      <c r="D49" s="145">
        <v>46073.0</v>
      </c>
      <c r="E49" s="145">
        <v>46055.0</v>
      </c>
      <c r="F49" s="146">
        <v>-1.0</v>
      </c>
      <c r="G49" s="15" t="s">
        <v>459</v>
      </c>
      <c r="H49" s="46">
        <v>90.0</v>
      </c>
      <c r="I49" s="15">
        <v>1.08298</v>
      </c>
      <c r="J49" s="30">
        <v>1.0</v>
      </c>
      <c r="K49" s="147">
        <v>100.0</v>
      </c>
      <c r="L49" s="148">
        <f>IFERROR(__xludf.DUMMYFUNCTION("QUERY(OptionPositionsLog, ""SELECT E WHERE B = '"" &amp; $B49  &amp; ""' ORDER BY A DESC LIMIT 1"")"),0.47)</f>
        <v>0.47</v>
      </c>
      <c r="M49" s="30">
        <v>0.38</v>
      </c>
      <c r="N49" s="140">
        <f t="shared" si="1"/>
        <v>47</v>
      </c>
      <c r="O49" s="140">
        <f t="shared" si="2"/>
        <v>0</v>
      </c>
      <c r="P49" s="149">
        <f t="shared" si="3"/>
        <v>0</v>
      </c>
      <c r="Q49" s="138" t="str">
        <f t="shared" si="4"/>
        <v/>
      </c>
      <c r="R49" s="150">
        <f t="shared" si="5"/>
        <v>69.298</v>
      </c>
      <c r="S49" s="140">
        <f t="shared" si="6"/>
        <v>60</v>
      </c>
      <c r="T49" s="140">
        <f>IFERROR(__xludf.DUMMYFUNCTION("IF(ISBLANK($M49), QUERY(OptionPositionsLog!$A$2:$K796, ""SELECT F WHERE B = '"" &amp; $B49  &amp; ""' ORDER BY A DESC LIMIT 1""), 0)"),0.0)</f>
        <v>0</v>
      </c>
      <c r="U49" s="136">
        <f>IFERROR(__xludf.DUMMYFUNCTION("IF(ISBLANK($M49), QUERY(OptionPositionsLog!$A$2:$K796, ""SELECT G WHERE B = '"" &amp; $B49  &amp; ""' ORDER BY A DESC LIMIT 1"")*F49, 0)"),0.0)</f>
        <v>0</v>
      </c>
      <c r="V49" s="136">
        <f>IFERROR(__xludf.DUMMYFUNCTION("IF(ISBLANK($M49), QUERY(OptionPositionsLog!$A$2:$K796, ""SELECT H WHERE B = '"" &amp; $B49  &amp; ""' ORDER BY A DESC LIMIT 1"")*F49, 0)"),0.0)</f>
        <v>0</v>
      </c>
      <c r="W49" s="136">
        <f>IFERROR(__xludf.DUMMYFUNCTION("IF(ISBLANK($M49), QUERY(OptionPositionsLog!$A$2:$K796, ""SELECT I WHERE B = '"" &amp; $B49  &amp; ""' ORDER BY A DESC LIMIT 1""), 0)"),0.0)</f>
        <v>0</v>
      </c>
      <c r="X49" s="136">
        <f>IFERROR(__xludf.DUMMYFUNCTION("IF(ISBLANK($M49), QUERY(OptionPositionsLog!$A$2:$K796, ""SELECT J WHERE B = '"" &amp; $B49  &amp; ""' ORDER BY A DESC LIMIT 1""), 0)"),0.0)</f>
        <v>0</v>
      </c>
      <c r="Y49" s="136" t="str">
        <f>IFERROR(__xludf.DUMMYFUNCTION("IF(ISBLANK($M49), QUERY(OptionPositionsLog!$A$2:$K796, ""SELECT D WHERE B = '"" &amp; $B49  &amp; ""' ORDER BY A DESC LIMIT 1"")*100, """")"),"")</f>
        <v/>
      </c>
      <c r="Z49" s="148">
        <f>IFERROR(__xludf.DUMMYFUNCTION("QUERY(OptionPositionsLog, ""SELECT K WHERE B = '"" &amp; $B49  &amp; ""' ORDER BY K DESC LIMIT 1"")"),128.02)</f>
        <v>128.02</v>
      </c>
      <c r="AA49" s="151">
        <f t="shared" si="11"/>
        <v>40</v>
      </c>
      <c r="AB49" s="152" t="str">
        <f t="shared" si="8"/>
        <v/>
      </c>
      <c r="AC49" s="153">
        <f t="shared" si="9"/>
        <v>54.13060459</v>
      </c>
      <c r="AD49" s="31"/>
    </row>
    <row r="50" ht="22.5" customHeight="1">
      <c r="A50" s="3" t="s">
        <v>218</v>
      </c>
      <c r="B50" s="144" t="s">
        <v>504</v>
      </c>
      <c r="C50" s="145">
        <v>46043.0</v>
      </c>
      <c r="D50" s="145">
        <v>46073.0</v>
      </c>
      <c r="E50" s="145">
        <v>46055.0</v>
      </c>
      <c r="F50" s="146">
        <v>1.0</v>
      </c>
      <c r="G50" s="15" t="s">
        <v>459</v>
      </c>
      <c r="H50" s="46">
        <v>85.0</v>
      </c>
      <c r="I50" s="15">
        <v>2.69699</v>
      </c>
      <c r="J50" s="30">
        <v>1.0</v>
      </c>
      <c r="K50" s="147">
        <v>100.0</v>
      </c>
      <c r="L50" s="148">
        <f>IFERROR(__xludf.DUMMYFUNCTION("QUERY(OptionPositionsLog, ""SELECT E WHERE B = '"" &amp; $B50  &amp; ""' ORDER BY A DESC LIMIT 1"")"),1.68)</f>
        <v>1.68</v>
      </c>
      <c r="M50" s="30">
        <v>1.39</v>
      </c>
      <c r="N50" s="140">
        <f t="shared" si="1"/>
        <v>168</v>
      </c>
      <c r="O50" s="140">
        <f t="shared" si="2"/>
        <v>0</v>
      </c>
      <c r="P50" s="149">
        <f t="shared" si="3"/>
        <v>0</v>
      </c>
      <c r="Q50" s="138" t="str">
        <f t="shared" si="4"/>
        <v/>
      </c>
      <c r="R50" s="150">
        <f t="shared" si="5"/>
        <v>-131.699</v>
      </c>
      <c r="S50" s="140">
        <f t="shared" si="6"/>
        <v>-50</v>
      </c>
      <c r="T50" s="140">
        <f>IFERROR(__xludf.DUMMYFUNCTION("IF(ISBLANK($M50), QUERY(OptionPositionsLog!$A$2:$K796, ""SELECT F WHERE B = '"" &amp; $B50  &amp; ""' ORDER BY A DESC LIMIT 1""), 0)"),0.0)</f>
        <v>0</v>
      </c>
      <c r="U50" s="136">
        <f>IFERROR(__xludf.DUMMYFUNCTION("IF(ISBLANK($M50), QUERY(OptionPositionsLog!$A$2:$K796, ""SELECT G WHERE B = '"" &amp; $B50  &amp; ""' ORDER BY A DESC LIMIT 1"")*F50, 0)"),0.0)</f>
        <v>0</v>
      </c>
      <c r="V50" s="136">
        <f>IFERROR(__xludf.DUMMYFUNCTION("IF(ISBLANK($M50), QUERY(OptionPositionsLog!$A$2:$K796, ""SELECT H WHERE B = '"" &amp; $B50  &amp; ""' ORDER BY A DESC LIMIT 1"")*F50, 0)"),0.0)</f>
        <v>0</v>
      </c>
      <c r="W50" s="136">
        <f>IFERROR(__xludf.DUMMYFUNCTION("IF(ISBLANK($M50), QUERY(OptionPositionsLog!$A$2:$K796, ""SELECT I WHERE B = '"" &amp; $B50  &amp; ""' ORDER BY A DESC LIMIT 1""), 0)"),0.0)</f>
        <v>0</v>
      </c>
      <c r="X50" s="136">
        <f>IFERROR(__xludf.DUMMYFUNCTION("IF(ISBLANK($M50), QUERY(OptionPositionsLog!$A$2:$K796, ""SELECT J WHERE B = '"" &amp; $B50  &amp; ""' ORDER BY A DESC LIMIT 1""), 0)"),0.0)</f>
        <v>0</v>
      </c>
      <c r="Y50" s="136" t="str">
        <f>IFERROR(__xludf.DUMMYFUNCTION("IF(ISBLANK($M50), QUERY(OptionPositionsLog!$A$2:$K796, ""SELECT D WHERE B = '"" &amp; $B50  &amp; ""' ORDER BY A DESC LIMIT 1"")*100, """")"),"")</f>
        <v/>
      </c>
      <c r="Z50" s="148">
        <f>IFERROR(__xludf.DUMMYFUNCTION("QUERY(OptionPositionsLog, ""SELECT K WHERE B = '"" &amp; $B50  &amp; ""' ORDER BY K DESC LIMIT 1"")"),692.55)</f>
        <v>692.55</v>
      </c>
      <c r="AA50" s="151">
        <f t="shared" si="11"/>
        <v>40</v>
      </c>
      <c r="AB50" s="152" t="str">
        <f t="shared" si="8"/>
        <v/>
      </c>
      <c r="AC50" s="153">
        <f t="shared" si="9"/>
        <v>-19.0165331</v>
      </c>
      <c r="AD50" s="31"/>
    </row>
    <row r="51" ht="22.5" customHeight="1">
      <c r="A51" s="3" t="s">
        <v>229</v>
      </c>
      <c r="B51" s="144" t="s">
        <v>505</v>
      </c>
      <c r="C51" s="145">
        <v>46043.0</v>
      </c>
      <c r="D51" s="145">
        <v>46073.0</v>
      </c>
      <c r="E51" s="145">
        <v>46064.0</v>
      </c>
      <c r="F51" s="146">
        <v>-1.0</v>
      </c>
      <c r="G51" s="15" t="s">
        <v>455</v>
      </c>
      <c r="H51" s="46">
        <v>60.0</v>
      </c>
      <c r="I51" s="15">
        <v>1.10945</v>
      </c>
      <c r="J51" s="30">
        <v>1.0</v>
      </c>
      <c r="K51" s="147">
        <v>100.0</v>
      </c>
      <c r="L51" s="148">
        <f>IFERROR(__xludf.DUMMYFUNCTION("QUERY(OptionPositionsLog, ""SELECT E WHERE B = '"" &amp; $B51  &amp; ""' ORDER BY A DESC LIMIT 1"")"),1.8)</f>
        <v>1.8</v>
      </c>
      <c r="M51" s="30">
        <v>1.7</v>
      </c>
      <c r="N51" s="140">
        <f t="shared" si="1"/>
        <v>180</v>
      </c>
      <c r="O51" s="140">
        <f t="shared" si="2"/>
        <v>0</v>
      </c>
      <c r="P51" s="149">
        <f t="shared" si="3"/>
        <v>0</v>
      </c>
      <c r="Q51" s="138" t="str">
        <f t="shared" si="4"/>
        <v/>
      </c>
      <c r="R51" s="150">
        <f t="shared" si="5"/>
        <v>-60.055</v>
      </c>
      <c r="S51" s="140">
        <f t="shared" si="6"/>
        <v>-50</v>
      </c>
      <c r="T51" s="140">
        <f>IFERROR(__xludf.DUMMYFUNCTION("IF(ISBLANK($M51), QUERY(OptionPositionsLog!$A$2:$K796, ""SELECT F WHERE B = '"" &amp; $B51  &amp; ""' ORDER BY A DESC LIMIT 1""), 0)"),0.0)</f>
        <v>0</v>
      </c>
      <c r="U51" s="136">
        <f>IFERROR(__xludf.DUMMYFUNCTION("IF(ISBLANK($M51), QUERY(OptionPositionsLog!$A$2:$K796, ""SELECT G WHERE B = '"" &amp; $B51  &amp; ""' ORDER BY A DESC LIMIT 1"")*F51, 0)"),0.0)</f>
        <v>0</v>
      </c>
      <c r="V51" s="136">
        <f>IFERROR(__xludf.DUMMYFUNCTION("IF(ISBLANK($M51), QUERY(OptionPositionsLog!$A$2:$K796, ""SELECT H WHERE B = '"" &amp; $B51  &amp; ""' ORDER BY A DESC LIMIT 1"")*F51, 0)"),0.0)</f>
        <v>0</v>
      </c>
      <c r="W51" s="136">
        <f>IFERROR(__xludf.DUMMYFUNCTION("IF(ISBLANK($M51), QUERY(OptionPositionsLog!$A$2:$K796, ""SELECT I WHERE B = '"" &amp; $B51  &amp; ""' ORDER BY A DESC LIMIT 1""), 0)"),0.0)</f>
        <v>0</v>
      </c>
      <c r="X51" s="136">
        <f>IFERROR(__xludf.DUMMYFUNCTION("IF(ISBLANK($M51), QUERY(OptionPositionsLog!$A$2:$K796, ""SELECT J WHERE B = '"" &amp; $B51  &amp; ""' ORDER BY A DESC LIMIT 1""), 0)"),0.0)</f>
        <v>0</v>
      </c>
      <c r="Y51" s="136" t="str">
        <f>IFERROR(__xludf.DUMMYFUNCTION("IF(ISBLANK($M51), QUERY(OptionPositionsLog!$A$2:$K796, ""SELECT D WHERE B = '"" &amp; $B51  &amp; ""' ORDER BY A DESC LIMIT 1"")*100, """")"),"")</f>
        <v/>
      </c>
      <c r="Z51" s="148">
        <f>IFERROR(__xludf.DUMMYFUNCTION("QUERY(OptionPositionsLog, ""SELECT K WHERE B = '"" &amp; $B51  &amp; ""' ORDER BY K DESC LIMIT 1"")"),142.78)</f>
        <v>142.78</v>
      </c>
      <c r="AA51" s="151">
        <f t="shared" si="11"/>
        <v>70</v>
      </c>
      <c r="AB51" s="152" t="str">
        <f t="shared" si="8"/>
        <v/>
      </c>
      <c r="AC51" s="153">
        <f t="shared" si="9"/>
        <v>-42.06121306</v>
      </c>
      <c r="AD51" s="31"/>
    </row>
    <row r="52" ht="22.5" customHeight="1">
      <c r="A52" s="3" t="s">
        <v>229</v>
      </c>
      <c r="B52" s="144" t="s">
        <v>506</v>
      </c>
      <c r="C52" s="145">
        <v>46043.0</v>
      </c>
      <c r="D52" s="145">
        <v>46073.0</v>
      </c>
      <c r="E52" s="145">
        <v>46064.0</v>
      </c>
      <c r="F52" s="146">
        <v>1.0</v>
      </c>
      <c r="G52" s="15" t="s">
        <v>455</v>
      </c>
      <c r="H52" s="46">
        <v>65.0</v>
      </c>
      <c r="I52" s="15">
        <v>2.29051</v>
      </c>
      <c r="J52" s="30">
        <v>1.0</v>
      </c>
      <c r="K52" s="147">
        <v>100.0</v>
      </c>
      <c r="L52" s="148">
        <f>IFERROR(__xludf.DUMMYFUNCTION("QUERY(OptionPositionsLog, ""SELECT E WHERE B = '"" &amp; $B52  &amp; ""' ORDER BY A DESC LIMIT 1"")"),3.67)</f>
        <v>3.67</v>
      </c>
      <c r="M52" s="30">
        <v>3.62</v>
      </c>
      <c r="N52" s="140">
        <f t="shared" si="1"/>
        <v>367</v>
      </c>
      <c r="O52" s="140">
        <f t="shared" si="2"/>
        <v>0</v>
      </c>
      <c r="P52" s="149">
        <f t="shared" si="3"/>
        <v>0</v>
      </c>
      <c r="Q52" s="138" t="str">
        <f t="shared" si="4"/>
        <v/>
      </c>
      <c r="R52" s="150">
        <f t="shared" si="5"/>
        <v>131.949</v>
      </c>
      <c r="S52" s="140">
        <f t="shared" si="6"/>
        <v>60</v>
      </c>
      <c r="T52" s="140">
        <f>IFERROR(__xludf.DUMMYFUNCTION("IF(ISBLANK($M52), QUERY(OptionPositionsLog!$A$2:$K796, ""SELECT F WHERE B = '"" &amp; $B52  &amp; ""' ORDER BY A DESC LIMIT 1""), 0)"),0.0)</f>
        <v>0</v>
      </c>
      <c r="U52" s="136">
        <f>IFERROR(__xludf.DUMMYFUNCTION("IF(ISBLANK($M52), QUERY(OptionPositionsLog!$A$2:$K796, ""SELECT G WHERE B = '"" &amp; $B52  &amp; ""' ORDER BY A DESC LIMIT 1"")*F52, 0)"),0.0)</f>
        <v>0</v>
      </c>
      <c r="V52" s="136">
        <f>IFERROR(__xludf.DUMMYFUNCTION("IF(ISBLANK($M52), QUERY(OptionPositionsLog!$A$2:$K796, ""SELECT H WHERE B = '"" &amp; $B52  &amp; ""' ORDER BY A DESC LIMIT 1"")*F52, 0)"),0.0)</f>
        <v>0</v>
      </c>
      <c r="W52" s="136">
        <f>IFERROR(__xludf.DUMMYFUNCTION("IF(ISBLANK($M52), QUERY(OptionPositionsLog!$A$2:$K796, ""SELECT I WHERE B = '"" &amp; $B52  &amp; ""' ORDER BY A DESC LIMIT 1""), 0)"),0.0)</f>
        <v>0</v>
      </c>
      <c r="X52" s="136">
        <f>IFERROR(__xludf.DUMMYFUNCTION("IF(ISBLANK($M52), QUERY(OptionPositionsLog!$A$2:$K796, ""SELECT J WHERE B = '"" &amp; $B52  &amp; ""' ORDER BY A DESC LIMIT 1""), 0)"),0.0)</f>
        <v>0</v>
      </c>
      <c r="Y52" s="136" t="str">
        <f>IFERROR(__xludf.DUMMYFUNCTION("IF(ISBLANK($M52), QUERY(OptionPositionsLog!$A$2:$K796, ""SELECT D WHERE B = '"" &amp; $B52  &amp; ""' ORDER BY A DESC LIMIT 1"")*100, """")"),"")</f>
        <v/>
      </c>
      <c r="Z52" s="148">
        <f>IFERROR(__xludf.DUMMYFUNCTION("QUERY(OptionPositionsLog, ""SELECT K WHERE B = '"" &amp; $B52  &amp; ""' ORDER BY K DESC LIMIT 1"")"),538.9)</f>
        <v>538.9</v>
      </c>
      <c r="AA52" s="151">
        <f t="shared" si="11"/>
        <v>70</v>
      </c>
      <c r="AB52" s="152" t="str">
        <f t="shared" si="8"/>
        <v/>
      </c>
      <c r="AC52" s="153">
        <f t="shared" si="9"/>
        <v>24.4848766</v>
      </c>
      <c r="AD52" s="31"/>
    </row>
    <row r="53" ht="22.5" customHeight="1">
      <c r="A53" s="3" t="s">
        <v>42</v>
      </c>
      <c r="B53" s="144" t="s">
        <v>507</v>
      </c>
      <c r="C53" s="145">
        <v>46043.0</v>
      </c>
      <c r="D53" s="145">
        <v>46101.0</v>
      </c>
      <c r="E53" s="145">
        <v>46076.0</v>
      </c>
      <c r="F53" s="146">
        <v>-1.0</v>
      </c>
      <c r="G53" s="15" t="s">
        <v>455</v>
      </c>
      <c r="H53" s="46">
        <v>67.0</v>
      </c>
      <c r="I53" s="15">
        <v>2.93945</v>
      </c>
      <c r="J53" s="30">
        <v>1.0</v>
      </c>
      <c r="K53" s="147">
        <v>100.0</v>
      </c>
      <c r="L53" s="148">
        <f>IFERROR(__xludf.DUMMYFUNCTION("QUERY(OptionPositionsLog, ""SELECT E WHERE B = '"" &amp; $B53  &amp; ""' ORDER BY A DESC LIMIT 1"")"),1.38)</f>
        <v>1.38</v>
      </c>
      <c r="M53" s="30">
        <v>1.02</v>
      </c>
      <c r="N53" s="140">
        <f t="shared" si="1"/>
        <v>138</v>
      </c>
      <c r="O53" s="140">
        <f t="shared" si="2"/>
        <v>0</v>
      </c>
      <c r="P53" s="149">
        <f t="shared" si="3"/>
        <v>0</v>
      </c>
      <c r="Q53" s="138" t="str">
        <f t="shared" si="4"/>
        <v/>
      </c>
      <c r="R53" s="150">
        <f t="shared" si="5"/>
        <v>190.945</v>
      </c>
      <c r="S53" s="140">
        <f t="shared" si="6"/>
        <v>60</v>
      </c>
      <c r="T53" s="140">
        <f>IFERROR(__xludf.DUMMYFUNCTION("IF(ISBLANK($M53), QUERY(OptionPositionsLog!$A$2:$K796, ""SELECT F WHERE B = '"" &amp; $B53  &amp; ""' ORDER BY A DESC LIMIT 1""), 0)"),0.0)</f>
        <v>0</v>
      </c>
      <c r="U53" s="136">
        <f>IFERROR(__xludf.DUMMYFUNCTION("IF(ISBLANK($M53), QUERY(OptionPositionsLog!$A$2:$K796, ""SELECT G WHERE B = '"" &amp; $B53  &amp; ""' ORDER BY A DESC LIMIT 1"")*F53, 0)"),0.0)</f>
        <v>0</v>
      </c>
      <c r="V53" s="136">
        <f>IFERROR(__xludf.DUMMYFUNCTION("IF(ISBLANK($M53), QUERY(OptionPositionsLog!$A$2:$K796, ""SELECT H WHERE B = '"" &amp; $B53  &amp; ""' ORDER BY A DESC LIMIT 1"")*F53, 0)"),0.0)</f>
        <v>0</v>
      </c>
      <c r="W53" s="136">
        <f>IFERROR(__xludf.DUMMYFUNCTION("IF(ISBLANK($M53), QUERY(OptionPositionsLog!$A$2:$K796, ""SELECT I WHERE B = '"" &amp; $B53  &amp; ""' ORDER BY A DESC LIMIT 1""), 0)"),0.0)</f>
        <v>0</v>
      </c>
      <c r="X53" s="136">
        <f>IFERROR(__xludf.DUMMYFUNCTION("IF(ISBLANK($M53), QUERY(OptionPositionsLog!$A$2:$K796, ""SELECT J WHERE B = '"" &amp; $B53  &amp; ""' ORDER BY A DESC LIMIT 1""), 0)"),0.0)</f>
        <v>0</v>
      </c>
      <c r="Y53" s="136" t="str">
        <f>IFERROR(__xludf.DUMMYFUNCTION("IF(ISBLANK($M53), QUERY(OptionPositionsLog!$A$2:$K796, ""SELECT D WHERE B = '"" &amp; $B53  &amp; ""' ORDER BY A DESC LIMIT 1"")*100, """")"),"")</f>
        <v/>
      </c>
      <c r="Z53" s="148">
        <f>IFERROR(__xludf.DUMMYFUNCTION("QUERY(OptionPositionsLog, ""SELECT K WHERE B = '"" &amp; $B53  &amp; ""' ORDER BY K DESC LIMIT 1"")"),669.36)</f>
        <v>669.36</v>
      </c>
      <c r="AA53" s="151">
        <f t="shared" si="11"/>
        <v>56.89655172</v>
      </c>
      <c r="AB53" s="152" t="str">
        <f t="shared" si="8"/>
        <v/>
      </c>
      <c r="AC53" s="153">
        <f t="shared" si="9"/>
        <v>28.52650293</v>
      </c>
      <c r="AD53" s="31"/>
    </row>
    <row r="54" ht="22.5" customHeight="1">
      <c r="A54" s="3" t="s">
        <v>235</v>
      </c>
      <c r="B54" s="144" t="s">
        <v>508</v>
      </c>
      <c r="C54" s="145">
        <v>46043.0</v>
      </c>
      <c r="D54" s="145">
        <v>46101.0</v>
      </c>
      <c r="E54" s="145">
        <v>46058.0</v>
      </c>
      <c r="F54" s="146">
        <v>-1.0</v>
      </c>
      <c r="G54" s="15" t="s">
        <v>459</v>
      </c>
      <c r="H54" s="46">
        <v>85.0</v>
      </c>
      <c r="I54" s="15">
        <v>1.21748</v>
      </c>
      <c r="J54" s="30">
        <v>1.0</v>
      </c>
      <c r="K54" s="147">
        <v>100.0</v>
      </c>
      <c r="L54" s="148">
        <f>IFERROR(__xludf.DUMMYFUNCTION("QUERY(OptionPositionsLog, ""SELECT E WHERE B = '"" &amp; $B54  &amp; ""' ORDER BY A DESC LIMIT 1"")"),0.95)</f>
        <v>0.95</v>
      </c>
      <c r="M54" s="30">
        <v>0.49</v>
      </c>
      <c r="N54" s="140">
        <f t="shared" si="1"/>
        <v>95</v>
      </c>
      <c r="O54" s="140">
        <f t="shared" si="2"/>
        <v>0</v>
      </c>
      <c r="P54" s="149">
        <f t="shared" si="3"/>
        <v>0</v>
      </c>
      <c r="Q54" s="138" t="str">
        <f t="shared" si="4"/>
        <v/>
      </c>
      <c r="R54" s="150">
        <f t="shared" si="5"/>
        <v>71.748</v>
      </c>
      <c r="S54" s="140">
        <f t="shared" si="6"/>
        <v>60</v>
      </c>
      <c r="T54" s="140">
        <f>IFERROR(__xludf.DUMMYFUNCTION("IF(ISBLANK($M54), QUERY(OptionPositionsLog!$A$2:$K796, ""SELECT F WHERE B = '"" &amp; $B54  &amp; ""' ORDER BY A DESC LIMIT 1""), 0)"),0.0)</f>
        <v>0</v>
      </c>
      <c r="U54" s="136">
        <f>IFERROR(__xludf.DUMMYFUNCTION("IF(ISBLANK($M54), QUERY(OptionPositionsLog!$A$2:$K796, ""SELECT G WHERE B = '"" &amp; $B54  &amp; ""' ORDER BY A DESC LIMIT 1"")*F54, 0)"),0.0)</f>
        <v>0</v>
      </c>
      <c r="V54" s="136">
        <f>IFERROR(__xludf.DUMMYFUNCTION("IF(ISBLANK($M54), QUERY(OptionPositionsLog!$A$2:$K796, ""SELECT H WHERE B = '"" &amp; $B54  &amp; ""' ORDER BY A DESC LIMIT 1"")*F54, 0)"),0.0)</f>
        <v>0</v>
      </c>
      <c r="W54" s="136">
        <f>IFERROR(__xludf.DUMMYFUNCTION("IF(ISBLANK($M54), QUERY(OptionPositionsLog!$A$2:$K796, ""SELECT I WHERE B = '"" &amp; $B54  &amp; ""' ORDER BY A DESC LIMIT 1""), 0)"),0.0)</f>
        <v>0</v>
      </c>
      <c r="X54" s="136">
        <f>IFERROR(__xludf.DUMMYFUNCTION("IF(ISBLANK($M54), QUERY(OptionPositionsLog!$A$2:$K796, ""SELECT J WHERE B = '"" &amp; $B54  &amp; ""' ORDER BY A DESC LIMIT 1""), 0)"),0.0)</f>
        <v>0</v>
      </c>
      <c r="Y54" s="136" t="str">
        <f>IFERROR(__xludf.DUMMYFUNCTION("IF(ISBLANK($M54), QUERY(OptionPositionsLog!$A$2:$K796, ""SELECT D WHERE B = '"" &amp; $B54  &amp; ""' ORDER BY A DESC LIMIT 1"")*100, """")"),"")</f>
        <v/>
      </c>
      <c r="Z54" s="148">
        <f>IFERROR(__xludf.DUMMYFUNCTION("QUERY(OptionPositionsLog, ""SELECT K WHERE B = '"" &amp; $B54  &amp; ""' ORDER BY K DESC LIMIT 1"")"),124.43)</f>
        <v>124.43</v>
      </c>
      <c r="AA54" s="151">
        <f t="shared" si="11"/>
        <v>25.86206897</v>
      </c>
      <c r="AB54" s="152" t="str">
        <f t="shared" si="8"/>
        <v/>
      </c>
      <c r="AC54" s="153">
        <f t="shared" si="9"/>
        <v>57.66133569</v>
      </c>
      <c r="AD54" s="31"/>
    </row>
    <row r="55" ht="22.5" customHeight="1">
      <c r="A55" s="3" t="s">
        <v>235</v>
      </c>
      <c r="B55" s="144" t="s">
        <v>509</v>
      </c>
      <c r="C55" s="145">
        <v>46043.0</v>
      </c>
      <c r="D55" s="145">
        <v>46101.0</v>
      </c>
      <c r="E55" s="145">
        <v>46058.0</v>
      </c>
      <c r="F55" s="146">
        <v>1.0</v>
      </c>
      <c r="G55" s="15" t="s">
        <v>459</v>
      </c>
      <c r="H55" s="46">
        <v>80.0</v>
      </c>
      <c r="I55" s="15">
        <v>2.53249</v>
      </c>
      <c r="J55" s="30">
        <v>1.0</v>
      </c>
      <c r="K55" s="147">
        <v>100.0</v>
      </c>
      <c r="L55" s="148">
        <f>IFERROR(__xludf.DUMMYFUNCTION("QUERY(OptionPositionsLog, ""SELECT E WHERE B = '"" &amp; $B55  &amp; ""' ORDER BY A DESC LIMIT 1"")"),2.03)</f>
        <v>2.03</v>
      </c>
      <c r="M55" s="30">
        <v>1.01</v>
      </c>
      <c r="N55" s="140">
        <f t="shared" si="1"/>
        <v>203</v>
      </c>
      <c r="O55" s="140">
        <f t="shared" si="2"/>
        <v>0</v>
      </c>
      <c r="P55" s="149">
        <f t="shared" si="3"/>
        <v>0</v>
      </c>
      <c r="Q55" s="138" t="str">
        <f t="shared" si="4"/>
        <v/>
      </c>
      <c r="R55" s="150">
        <f t="shared" si="5"/>
        <v>-153.249</v>
      </c>
      <c r="S55" s="140">
        <f t="shared" si="6"/>
        <v>-60</v>
      </c>
      <c r="T55" s="140">
        <f>IFERROR(__xludf.DUMMYFUNCTION("IF(ISBLANK($M55), QUERY(OptionPositionsLog!$A$2:$K796, ""SELECT F WHERE B = '"" &amp; $B55  &amp; ""' ORDER BY A DESC LIMIT 1""), 0)"),0.0)</f>
        <v>0</v>
      </c>
      <c r="U55" s="136">
        <f>IFERROR(__xludf.DUMMYFUNCTION("IF(ISBLANK($M55), QUERY(OptionPositionsLog!$A$2:$K796, ""SELECT G WHERE B = '"" &amp; $B55  &amp; ""' ORDER BY A DESC LIMIT 1"")*F55, 0)"),0.0)</f>
        <v>0</v>
      </c>
      <c r="V55" s="136">
        <f>IFERROR(__xludf.DUMMYFUNCTION("IF(ISBLANK($M55), QUERY(OptionPositionsLog!$A$2:$K796, ""SELECT H WHERE B = '"" &amp; $B55  &amp; ""' ORDER BY A DESC LIMIT 1"")*F55, 0)"),0.0)</f>
        <v>0</v>
      </c>
      <c r="W55" s="136">
        <f>IFERROR(__xludf.DUMMYFUNCTION("IF(ISBLANK($M55), QUERY(OptionPositionsLog!$A$2:$K796, ""SELECT I WHERE B = '"" &amp; $B55  &amp; ""' ORDER BY A DESC LIMIT 1""), 0)"),0.0)</f>
        <v>0</v>
      </c>
      <c r="X55" s="136">
        <f>IFERROR(__xludf.DUMMYFUNCTION("IF(ISBLANK($M55), QUERY(OptionPositionsLog!$A$2:$K796, ""SELECT J WHERE B = '"" &amp; $B55  &amp; ""' ORDER BY A DESC LIMIT 1""), 0)"),0.0)</f>
        <v>0</v>
      </c>
      <c r="Y55" s="136" t="str">
        <f>IFERROR(__xludf.DUMMYFUNCTION("IF(ISBLANK($M55), QUERY(OptionPositionsLog!$A$2:$K796, ""SELECT D WHERE B = '"" &amp; $B55  &amp; ""' ORDER BY A DESC LIMIT 1"")*100, """")"),"")</f>
        <v/>
      </c>
      <c r="Z55" s="148">
        <f>IFERROR(__xludf.DUMMYFUNCTION("QUERY(OptionPositionsLog, ""SELECT K WHERE B = '"" &amp; $B55  &amp; ""' ORDER BY K DESC LIMIT 1"")"),543.41)</f>
        <v>543.41</v>
      </c>
      <c r="AA55" s="151">
        <f t="shared" si="11"/>
        <v>25.86206897</v>
      </c>
      <c r="AB55" s="152" t="str">
        <f t="shared" si="8"/>
        <v/>
      </c>
      <c r="AC55" s="153">
        <f t="shared" si="9"/>
        <v>-28.20135809</v>
      </c>
      <c r="AD55" s="31"/>
    </row>
    <row r="56" ht="22.5" customHeight="1">
      <c r="A56" s="3" t="s">
        <v>241</v>
      </c>
      <c r="B56" s="144" t="s">
        <v>510</v>
      </c>
      <c r="C56" s="145">
        <v>46044.0</v>
      </c>
      <c r="D56" s="145">
        <v>46073.0</v>
      </c>
      <c r="E56" s="145">
        <v>46056.0</v>
      </c>
      <c r="F56" s="146">
        <v>1.0</v>
      </c>
      <c r="G56" s="15" t="s">
        <v>455</v>
      </c>
      <c r="H56" s="46">
        <v>37.5</v>
      </c>
      <c r="I56" s="15">
        <v>0.55049</v>
      </c>
      <c r="J56" s="30">
        <v>1.0</v>
      </c>
      <c r="K56" s="147">
        <v>100.0</v>
      </c>
      <c r="L56" s="148">
        <f>IFERROR(__xludf.DUMMYFUNCTION("QUERY(OptionPositionsLog, ""SELECT E WHERE B = '"" &amp; $B56  &amp; ""' ORDER BY A DESC LIMIT 1"")"),0.325)</f>
        <v>0.325</v>
      </c>
      <c r="M56" s="30">
        <v>0.17</v>
      </c>
      <c r="N56" s="140">
        <f t="shared" si="1"/>
        <v>32.5</v>
      </c>
      <c r="O56" s="140">
        <f t="shared" si="2"/>
        <v>0</v>
      </c>
      <c r="P56" s="149">
        <f t="shared" si="3"/>
        <v>0</v>
      </c>
      <c r="Q56" s="138" t="str">
        <f t="shared" si="4"/>
        <v/>
      </c>
      <c r="R56" s="150">
        <f t="shared" si="5"/>
        <v>-39.049</v>
      </c>
      <c r="S56" s="140">
        <f t="shared" si="6"/>
        <v>-70</v>
      </c>
      <c r="T56" s="140">
        <f>IFERROR(__xludf.DUMMYFUNCTION("IF(ISBLANK($M56), QUERY(OptionPositionsLog!$A$2:$K796, ""SELECT F WHERE B = '"" &amp; $B56  &amp; ""' ORDER BY A DESC LIMIT 1""), 0)"),0.0)</f>
        <v>0</v>
      </c>
      <c r="U56" s="136">
        <f>IFERROR(__xludf.DUMMYFUNCTION("IF(ISBLANK($M56), QUERY(OptionPositionsLog!$A$2:$K796, ""SELECT G WHERE B = '"" &amp; $B56  &amp; ""' ORDER BY A DESC LIMIT 1"")*F56, 0)"),0.0)</f>
        <v>0</v>
      </c>
      <c r="V56" s="136">
        <f>IFERROR(__xludf.DUMMYFUNCTION("IF(ISBLANK($M56), QUERY(OptionPositionsLog!$A$2:$K796, ""SELECT H WHERE B = '"" &amp; $B56  &amp; ""' ORDER BY A DESC LIMIT 1"")*F56, 0)"),0.0)</f>
        <v>0</v>
      </c>
      <c r="W56" s="136">
        <f>IFERROR(__xludf.DUMMYFUNCTION("IF(ISBLANK($M56), QUERY(OptionPositionsLog!$A$2:$K796, ""SELECT I WHERE B = '"" &amp; $B56  &amp; ""' ORDER BY A DESC LIMIT 1""), 0)"),0.0)</f>
        <v>0</v>
      </c>
      <c r="X56" s="136">
        <f>IFERROR(__xludf.DUMMYFUNCTION("IF(ISBLANK($M56), QUERY(OptionPositionsLog!$A$2:$K796, ""SELECT J WHERE B = '"" &amp; $B56  &amp; ""' ORDER BY A DESC LIMIT 1""), 0)"),0.0)</f>
        <v>0</v>
      </c>
      <c r="Y56" s="136" t="str">
        <f>IFERROR(__xludf.DUMMYFUNCTION("IF(ISBLANK($M56), QUERY(OptionPositionsLog!$A$2:$K796, ""SELECT D WHERE B = '"" &amp; $B56  &amp; ""' ORDER BY A DESC LIMIT 1"")*100, """")"),"")</f>
        <v/>
      </c>
      <c r="Z56" s="148">
        <f>IFERROR(__xludf.DUMMYFUNCTION("QUERY(OptionPositionsLog, ""SELECT K WHERE B = '"" &amp; $B56  &amp; ""' ORDER BY K DESC LIMIT 1"")"),55.19)</f>
        <v>55.19</v>
      </c>
      <c r="AA56" s="151">
        <f t="shared" si="11"/>
        <v>41.37931034</v>
      </c>
      <c r="AB56" s="152" t="str">
        <f t="shared" si="8"/>
        <v/>
      </c>
      <c r="AC56" s="153">
        <f t="shared" si="9"/>
        <v>-70.75375974</v>
      </c>
      <c r="AD56" s="31"/>
    </row>
    <row r="57" ht="22.5" customHeight="1">
      <c r="A57" s="3" t="s">
        <v>237</v>
      </c>
      <c r="B57" s="144" t="s">
        <v>511</v>
      </c>
      <c r="C57" s="145">
        <v>46044.0</v>
      </c>
      <c r="D57" s="145">
        <v>46101.0</v>
      </c>
      <c r="E57" s="145">
        <v>46085.0</v>
      </c>
      <c r="F57" s="146">
        <v>1.0</v>
      </c>
      <c r="G57" s="15" t="s">
        <v>459</v>
      </c>
      <c r="H57" s="46">
        <v>40.0</v>
      </c>
      <c r="I57" s="15">
        <v>0.35049</v>
      </c>
      <c r="J57" s="30">
        <v>1.0</v>
      </c>
      <c r="K57" s="147">
        <v>100.0</v>
      </c>
      <c r="L57" s="148">
        <f>IFERROR(__xludf.DUMMYFUNCTION("QUERY(OptionPositionsLog, ""SELECT E WHERE B = '"" &amp; $B57  &amp; ""' ORDER BY A DESC LIMIT 1"")"),0.18)</f>
        <v>0.18</v>
      </c>
      <c r="M57" s="30">
        <v>0.1</v>
      </c>
      <c r="N57" s="140">
        <f t="shared" si="1"/>
        <v>18</v>
      </c>
      <c r="O57" s="140">
        <f t="shared" si="2"/>
        <v>0</v>
      </c>
      <c r="P57" s="149">
        <f t="shared" si="3"/>
        <v>0</v>
      </c>
      <c r="Q57" s="138" t="str">
        <f t="shared" si="4"/>
        <v/>
      </c>
      <c r="R57" s="150">
        <f t="shared" si="5"/>
        <v>-26.049</v>
      </c>
      <c r="S57" s="140">
        <f t="shared" si="6"/>
        <v>-70</v>
      </c>
      <c r="T57" s="140">
        <f>IFERROR(__xludf.DUMMYFUNCTION("IF(ISBLANK($M57), QUERY(OptionPositionsLog!$A$2:$K796, ""SELECT F WHERE B = '"" &amp; $B57  &amp; ""' ORDER BY A DESC LIMIT 1""), 0)"),0.0)</f>
        <v>0</v>
      </c>
      <c r="U57" s="136">
        <f>IFERROR(__xludf.DUMMYFUNCTION("IF(ISBLANK($M57), QUERY(OptionPositionsLog!$A$2:$K796, ""SELECT G WHERE B = '"" &amp; $B57  &amp; ""' ORDER BY A DESC LIMIT 1"")*F57, 0)"),0.0)</f>
        <v>0</v>
      </c>
      <c r="V57" s="136">
        <f>IFERROR(__xludf.DUMMYFUNCTION("IF(ISBLANK($M57), QUERY(OptionPositionsLog!$A$2:$K796, ""SELECT H WHERE B = '"" &amp; $B57  &amp; ""' ORDER BY A DESC LIMIT 1"")*F57, 0)"),0.0)</f>
        <v>0</v>
      </c>
      <c r="W57" s="136">
        <f>IFERROR(__xludf.DUMMYFUNCTION("IF(ISBLANK($M57), QUERY(OptionPositionsLog!$A$2:$K796, ""SELECT I WHERE B = '"" &amp; $B57  &amp; ""' ORDER BY A DESC LIMIT 1""), 0)"),0.0)</f>
        <v>0</v>
      </c>
      <c r="X57" s="136">
        <f>IFERROR(__xludf.DUMMYFUNCTION("IF(ISBLANK($M57), QUERY(OptionPositionsLog!$A$2:$K796, ""SELECT J WHERE B = '"" &amp; $B57  &amp; ""' ORDER BY A DESC LIMIT 1""), 0)"),0.0)</f>
        <v>0</v>
      </c>
      <c r="Y57" s="136" t="str">
        <f>IFERROR(__xludf.DUMMYFUNCTION("IF(ISBLANK($M57), QUERY(OptionPositionsLog!$A$2:$K796, ""SELECT D WHERE B = '"" &amp; $B57  &amp; ""' ORDER BY A DESC LIMIT 1"")*100, """")"),"")</f>
        <v/>
      </c>
      <c r="Z57" s="148">
        <f>IFERROR(__xludf.DUMMYFUNCTION("QUERY(OptionPositionsLog, ""SELECT K WHERE B = '"" &amp; $B57  &amp; ""' ORDER BY K DESC LIMIT 1"")"),33.44)</f>
        <v>33.44</v>
      </c>
      <c r="AA57" s="151">
        <f t="shared" si="11"/>
        <v>71.92982456</v>
      </c>
      <c r="AB57" s="152" t="str">
        <f t="shared" si="8"/>
        <v/>
      </c>
      <c r="AC57" s="153">
        <f t="shared" si="9"/>
        <v>-77.89772727</v>
      </c>
      <c r="AD57" s="31"/>
    </row>
    <row r="58" ht="22.5" customHeight="1">
      <c r="A58" s="3" t="s">
        <v>245</v>
      </c>
      <c r="B58" s="144" t="s">
        <v>512</v>
      </c>
      <c r="C58" s="145">
        <v>46045.0</v>
      </c>
      <c r="D58" s="145">
        <v>46101.0</v>
      </c>
      <c r="E58" s="145">
        <v>46077.0</v>
      </c>
      <c r="F58" s="146">
        <v>1.0</v>
      </c>
      <c r="G58" s="15" t="s">
        <v>455</v>
      </c>
      <c r="H58" s="46">
        <v>36.0</v>
      </c>
      <c r="I58" s="15">
        <v>0.61699</v>
      </c>
      <c r="J58" s="30">
        <v>1.0</v>
      </c>
      <c r="K58" s="147">
        <v>100.0</v>
      </c>
      <c r="L58" s="148">
        <f>IFERROR(__xludf.DUMMYFUNCTION("QUERY(OptionPositionsLog, ""SELECT E WHERE B = '"" &amp; $B58  &amp; ""' ORDER BY A DESC LIMIT 1"")"),0.49)</f>
        <v>0.49</v>
      </c>
      <c r="M58" s="30">
        <v>0.3</v>
      </c>
      <c r="N58" s="140">
        <f t="shared" si="1"/>
        <v>49</v>
      </c>
      <c r="O58" s="140">
        <f t="shared" si="2"/>
        <v>0</v>
      </c>
      <c r="P58" s="149">
        <f t="shared" si="3"/>
        <v>0</v>
      </c>
      <c r="Q58" s="138" t="str">
        <f t="shared" si="4"/>
        <v/>
      </c>
      <c r="R58" s="150">
        <f t="shared" si="5"/>
        <v>-32.699</v>
      </c>
      <c r="S58" s="140">
        <f t="shared" si="6"/>
        <v>-50</v>
      </c>
      <c r="T58" s="140">
        <f>IFERROR(__xludf.DUMMYFUNCTION("IF(ISBLANK($M58), QUERY(OptionPositionsLog!$A$2:$K796, ""SELECT F WHERE B = '"" &amp; $B58  &amp; ""' ORDER BY A DESC LIMIT 1""), 0)"),0.0)</f>
        <v>0</v>
      </c>
      <c r="U58" s="136">
        <f>IFERROR(__xludf.DUMMYFUNCTION("IF(ISBLANK($M58), QUERY(OptionPositionsLog!$A$2:$K796, ""SELECT G WHERE B = '"" &amp; $B58  &amp; ""' ORDER BY A DESC LIMIT 1"")*F58, 0)"),0.0)</f>
        <v>0</v>
      </c>
      <c r="V58" s="136">
        <f>IFERROR(__xludf.DUMMYFUNCTION("IF(ISBLANK($M58), QUERY(OptionPositionsLog!$A$2:$K796, ""SELECT H WHERE B = '"" &amp; $B58  &amp; ""' ORDER BY A DESC LIMIT 1"")*F58, 0)"),0.0)</f>
        <v>0</v>
      </c>
      <c r="W58" s="136">
        <f>IFERROR(__xludf.DUMMYFUNCTION("IF(ISBLANK($M58), QUERY(OptionPositionsLog!$A$2:$K796, ""SELECT I WHERE B = '"" &amp; $B58  &amp; ""' ORDER BY A DESC LIMIT 1""), 0)"),0.0)</f>
        <v>0</v>
      </c>
      <c r="X58" s="136">
        <f>IFERROR(__xludf.DUMMYFUNCTION("IF(ISBLANK($M58), QUERY(OptionPositionsLog!$A$2:$K796, ""SELECT J WHERE B = '"" &amp; $B58  &amp; ""' ORDER BY A DESC LIMIT 1""), 0)"),0.0)</f>
        <v>0</v>
      </c>
      <c r="Y58" s="136" t="str">
        <f>IFERROR(__xludf.DUMMYFUNCTION("IF(ISBLANK($M58), QUERY(OptionPositionsLog!$A$2:$K796, ""SELECT D WHERE B = '"" &amp; $B58  &amp; ""' ORDER BY A DESC LIMIT 1"")*100, """")"),"")</f>
        <v/>
      </c>
      <c r="Z58" s="148">
        <f>IFERROR(__xludf.DUMMYFUNCTION("QUERY(OptionPositionsLog, ""SELECT K WHERE B = '"" &amp; $B58  &amp; ""' ORDER BY K DESC LIMIT 1"")"),53.06)</f>
        <v>53.06</v>
      </c>
      <c r="AA58" s="151">
        <f t="shared" si="11"/>
        <v>57.14285714</v>
      </c>
      <c r="AB58" s="152" t="str">
        <f t="shared" si="8"/>
        <v/>
      </c>
      <c r="AC58" s="153">
        <f t="shared" si="9"/>
        <v>-61.62646061</v>
      </c>
      <c r="AD58" s="31"/>
    </row>
    <row r="59" ht="22.5" customHeight="1">
      <c r="A59" s="3" t="s">
        <v>245</v>
      </c>
      <c r="B59" s="144" t="s">
        <v>513</v>
      </c>
      <c r="C59" s="145">
        <v>46045.0</v>
      </c>
      <c r="D59" s="145">
        <v>46101.0</v>
      </c>
      <c r="E59" s="145">
        <v>46076.0</v>
      </c>
      <c r="F59" s="146">
        <v>1.0</v>
      </c>
      <c r="G59" s="15" t="s">
        <v>459</v>
      </c>
      <c r="H59" s="46">
        <v>50.0</v>
      </c>
      <c r="I59" s="15">
        <v>2.04699</v>
      </c>
      <c r="J59" s="30">
        <v>1.0</v>
      </c>
      <c r="K59" s="147">
        <v>100.0</v>
      </c>
      <c r="L59" s="148">
        <f>IFERROR(__xludf.DUMMYFUNCTION("QUERY(OptionPositionsLog, ""SELECT E WHERE B = '"" &amp; $B59  &amp; ""' ORDER BY A DESC LIMIT 1"")"),1.78)</f>
        <v>1.78</v>
      </c>
      <c r="M59" s="30">
        <v>0.76</v>
      </c>
      <c r="N59" s="140">
        <f t="shared" si="1"/>
        <v>178</v>
      </c>
      <c r="O59" s="140">
        <f t="shared" si="2"/>
        <v>0</v>
      </c>
      <c r="P59" s="149">
        <f t="shared" si="3"/>
        <v>0</v>
      </c>
      <c r="Q59" s="138" t="str">
        <f t="shared" si="4"/>
        <v/>
      </c>
      <c r="R59" s="150">
        <f t="shared" si="5"/>
        <v>-129.699</v>
      </c>
      <c r="S59" s="140">
        <f t="shared" si="6"/>
        <v>-60</v>
      </c>
      <c r="T59" s="140">
        <f>IFERROR(__xludf.DUMMYFUNCTION("IF(ISBLANK($M59), QUERY(OptionPositionsLog!$A$2:$K796, ""SELECT F WHERE B = '"" &amp; $B59  &amp; ""' ORDER BY A DESC LIMIT 1""), 0)"),0.0)</f>
        <v>0</v>
      </c>
      <c r="U59" s="136">
        <f>IFERROR(__xludf.DUMMYFUNCTION("IF(ISBLANK($M59), QUERY(OptionPositionsLog!$A$2:$K796, ""SELECT G WHERE B = '"" &amp; $B59  &amp; ""' ORDER BY A DESC LIMIT 1"")*F59, 0)"),0.0)</f>
        <v>0</v>
      </c>
      <c r="V59" s="136">
        <f>IFERROR(__xludf.DUMMYFUNCTION("IF(ISBLANK($M59), QUERY(OptionPositionsLog!$A$2:$K796, ""SELECT H WHERE B = '"" &amp; $B59  &amp; ""' ORDER BY A DESC LIMIT 1"")*F59, 0)"),0.0)</f>
        <v>0</v>
      </c>
      <c r="W59" s="136">
        <f>IFERROR(__xludf.DUMMYFUNCTION("IF(ISBLANK($M59), QUERY(OptionPositionsLog!$A$2:$K796, ""SELECT I WHERE B = '"" &amp; $B59  &amp; ""' ORDER BY A DESC LIMIT 1""), 0)"),0.0)</f>
        <v>0</v>
      </c>
      <c r="X59" s="136">
        <f>IFERROR(__xludf.DUMMYFUNCTION("IF(ISBLANK($M59), QUERY(OptionPositionsLog!$A$2:$K796, ""SELECT J WHERE B = '"" &amp; $B59  &amp; ""' ORDER BY A DESC LIMIT 1""), 0)"),0.0)</f>
        <v>0</v>
      </c>
      <c r="Y59" s="136" t="str">
        <f>IFERROR(__xludf.DUMMYFUNCTION("IF(ISBLANK($M59), QUERY(OptionPositionsLog!$A$2:$K796, ""SELECT D WHERE B = '"" &amp; $B59  &amp; ""' ORDER BY A DESC LIMIT 1"")*100, """")"),"")</f>
        <v/>
      </c>
      <c r="Z59" s="148">
        <f>IFERROR(__xludf.DUMMYFUNCTION("QUERY(OptionPositionsLog, ""SELECT K WHERE B = '"" &amp; $B59  &amp; ""' ORDER BY K DESC LIMIT 1"")"),648.41)</f>
        <v>648.41</v>
      </c>
      <c r="AA59" s="151">
        <f t="shared" si="11"/>
        <v>55.35714286</v>
      </c>
      <c r="AB59" s="152" t="str">
        <f t="shared" si="8"/>
        <v/>
      </c>
      <c r="AC59" s="153">
        <f t="shared" si="9"/>
        <v>-20.0026218</v>
      </c>
      <c r="AD59" s="31"/>
    </row>
    <row r="60" ht="22.5" customHeight="1">
      <c r="A60" s="3" t="s">
        <v>245</v>
      </c>
      <c r="B60" s="144" t="s">
        <v>514</v>
      </c>
      <c r="C60" s="145">
        <v>46045.0</v>
      </c>
      <c r="D60" s="145">
        <v>46101.0</v>
      </c>
      <c r="E60" s="145">
        <v>46076.0</v>
      </c>
      <c r="F60" s="146">
        <v>-1.0</v>
      </c>
      <c r="G60" s="15" t="s">
        <v>459</v>
      </c>
      <c r="H60" s="46">
        <v>55.0</v>
      </c>
      <c r="I60" s="15">
        <v>1.07298</v>
      </c>
      <c r="J60" s="30">
        <v>1.0</v>
      </c>
      <c r="K60" s="147">
        <v>100.0</v>
      </c>
      <c r="L60" s="148">
        <f>IFERROR(__xludf.DUMMYFUNCTION("QUERY(OptionPositionsLog, ""SELECT E WHERE B = '"" &amp; $B60  &amp; ""' ORDER BY A DESC LIMIT 1"")"),0.8)</f>
        <v>0.8</v>
      </c>
      <c r="M60" s="30">
        <v>0.32</v>
      </c>
      <c r="N60" s="140">
        <f t="shared" si="1"/>
        <v>80</v>
      </c>
      <c r="O60" s="140">
        <f t="shared" si="2"/>
        <v>0</v>
      </c>
      <c r="P60" s="149">
        <f t="shared" si="3"/>
        <v>0</v>
      </c>
      <c r="Q60" s="138" t="str">
        <f t="shared" si="4"/>
        <v/>
      </c>
      <c r="R60" s="150">
        <f t="shared" si="5"/>
        <v>74.298</v>
      </c>
      <c r="S60" s="140">
        <f t="shared" si="6"/>
        <v>70</v>
      </c>
      <c r="T60" s="140">
        <f>IFERROR(__xludf.DUMMYFUNCTION("IF(ISBLANK($M60), QUERY(OptionPositionsLog!$A$2:$K796, ""SELECT F WHERE B = '"" &amp; $B60  &amp; ""' ORDER BY A DESC LIMIT 1""), 0)"),0.0)</f>
        <v>0</v>
      </c>
      <c r="U60" s="136">
        <f>IFERROR(__xludf.DUMMYFUNCTION("IF(ISBLANK($M60), QUERY(OptionPositionsLog!$A$2:$K796, ""SELECT G WHERE B = '"" &amp; $B60  &amp; ""' ORDER BY A DESC LIMIT 1"")*F60, 0)"),0.0)</f>
        <v>0</v>
      </c>
      <c r="V60" s="136">
        <f>IFERROR(__xludf.DUMMYFUNCTION("IF(ISBLANK($M60), QUERY(OptionPositionsLog!$A$2:$K796, ""SELECT H WHERE B = '"" &amp; $B60  &amp; ""' ORDER BY A DESC LIMIT 1"")*F60, 0)"),0.0)</f>
        <v>0</v>
      </c>
      <c r="W60" s="136">
        <f>IFERROR(__xludf.DUMMYFUNCTION("IF(ISBLANK($M60), QUERY(OptionPositionsLog!$A$2:$K796, ""SELECT I WHERE B = '"" &amp; $B60  &amp; ""' ORDER BY A DESC LIMIT 1""), 0)"),0.0)</f>
        <v>0</v>
      </c>
      <c r="X60" s="136">
        <f>IFERROR(__xludf.DUMMYFUNCTION("IF(ISBLANK($M60), QUERY(OptionPositionsLog!$A$2:$K796, ""SELECT J WHERE B = '"" &amp; $B60  &amp; ""' ORDER BY A DESC LIMIT 1""), 0)"),0.0)</f>
        <v>0</v>
      </c>
      <c r="Y60" s="136" t="str">
        <f>IFERROR(__xludf.DUMMYFUNCTION("IF(ISBLANK($M60), QUERY(OptionPositionsLog!$A$2:$K796, ""SELECT D WHERE B = '"" &amp; $B60  &amp; ""' ORDER BY A DESC LIMIT 1"")*100, """")"),"")</f>
        <v/>
      </c>
      <c r="Z60" s="148">
        <f>IFERROR(__xludf.DUMMYFUNCTION("QUERY(OptionPositionsLog, ""SELECT K WHERE B = '"" &amp; $B60  &amp; ""' ORDER BY K DESC LIMIT 1"")"),235.18)</f>
        <v>235.18</v>
      </c>
      <c r="AA60" s="151">
        <f t="shared" si="11"/>
        <v>55.35714286</v>
      </c>
      <c r="AB60" s="152" t="str">
        <f t="shared" si="8"/>
        <v/>
      </c>
      <c r="AC60" s="153">
        <f t="shared" si="9"/>
        <v>31.59197211</v>
      </c>
      <c r="AD60" s="31"/>
    </row>
    <row r="61" ht="22.5" customHeight="1">
      <c r="A61" s="3" t="s">
        <v>251</v>
      </c>
      <c r="B61" s="144" t="s">
        <v>515</v>
      </c>
      <c r="C61" s="145">
        <v>46045.0</v>
      </c>
      <c r="D61" s="145">
        <v>46101.0</v>
      </c>
      <c r="E61" s="15" t="s">
        <v>516</v>
      </c>
      <c r="F61" s="146">
        <v>1.0</v>
      </c>
      <c r="G61" s="15" t="s">
        <v>459</v>
      </c>
      <c r="H61" s="46">
        <v>17.0</v>
      </c>
      <c r="I61" s="15">
        <v>0.09049</v>
      </c>
      <c r="J61" s="30">
        <v>1.0</v>
      </c>
      <c r="K61" s="147">
        <v>100.0</v>
      </c>
      <c r="L61" s="148">
        <f>IFERROR(__xludf.DUMMYFUNCTION("QUERY(OptionPositionsLog, ""SELECT E WHERE B = '"" &amp; $B61  &amp; ""' ORDER BY A DESC LIMIT 1"")"),1.16)</f>
        <v>1.16</v>
      </c>
      <c r="M61" s="30"/>
      <c r="N61" s="140">
        <f t="shared" si="1"/>
        <v>116</v>
      </c>
      <c r="O61" s="140">
        <f t="shared" si="2"/>
        <v>1.06951</v>
      </c>
      <c r="P61" s="149">
        <f t="shared" si="3"/>
        <v>106.951</v>
      </c>
      <c r="Q61" s="138">
        <f t="shared" si="4"/>
        <v>1182</v>
      </c>
      <c r="R61" s="150">
        <f t="shared" si="5"/>
        <v>0</v>
      </c>
      <c r="S61" s="140">
        <f t="shared" si="6"/>
        <v>0</v>
      </c>
      <c r="T61" s="140">
        <f>IFERROR(__xludf.DUMMYFUNCTION("IF(ISBLANK($M61), QUERY(OptionPositionsLog!$A$2:$K796, ""SELECT F WHERE B = '"" &amp; $B61  &amp; ""' ORDER BY A DESC LIMIT 1""), 0)"),0.17)</f>
        <v>0.17</v>
      </c>
      <c r="U61" s="136">
        <f>IFERROR(__xludf.DUMMYFUNCTION("IF(ISBLANK($M61), QUERY(OptionPositionsLog!$A$2:$K796, ""SELECT G WHERE B = '"" &amp; $B61  &amp; ""' ORDER BY A DESC LIMIT 1"")*F61, 0)"),0.78798649)</f>
        <v>0.78798649</v>
      </c>
      <c r="V61" s="136">
        <f>IFERROR(__xludf.DUMMYFUNCTION("IF(ISBLANK($M61), QUERY(OptionPositionsLog!$A$2:$K796, ""SELECT H WHERE B = '"" &amp; $B61  &amp; ""' ORDER BY A DESC LIMIT 1"")*F61, 0)"),-0.02133527)</f>
        <v>-0.02133527</v>
      </c>
      <c r="W61" s="136">
        <f>IFERROR(__xludf.DUMMYFUNCTION("IF(ISBLANK($M61), QUERY(OptionPositionsLog!$A$2:$K796, ""SELECT I WHERE B = '"" &amp; $B61  &amp; ""' ORDER BY A DESC LIMIT 1""), 0)"),0.21204017)</f>
        <v>0.21204017</v>
      </c>
      <c r="X61" s="136">
        <f>IFERROR(__xludf.DUMMYFUNCTION("IF(ISBLANK($M61), QUERY(OptionPositionsLog!$A$2:$K796, ""SELECT J WHERE B = '"" &amp; $B61  &amp; ""' ORDER BY A DESC LIMIT 1""), 0)"),0.00895407)</f>
        <v>0.00895407</v>
      </c>
      <c r="Y61" s="136">
        <f>IFERROR(__xludf.DUMMYFUNCTION("IF(ISBLANK($M61), QUERY(OptionPositionsLog!$A$2:$K796, ""SELECT D WHERE B = '"" &amp; $B61  &amp; ""' ORDER BY A DESC LIMIT 1"")*100, """")"),46.0)</f>
        <v>46</v>
      </c>
      <c r="Z61" s="148">
        <f>IFERROR(__xludf.DUMMYFUNCTION("QUERY(OptionPositionsLog, ""SELECT K WHERE B = '"" &amp; $B61  &amp; ""' ORDER BY K DESC LIMIT 1"")"),109.38)</f>
        <v>109.38</v>
      </c>
      <c r="AA61" s="151">
        <f t="shared" si="11"/>
        <v>-82223.21429</v>
      </c>
      <c r="AB61" s="152">
        <f t="shared" si="8"/>
        <v>-69.56278704</v>
      </c>
      <c r="AC61" s="153">
        <f t="shared" si="9"/>
        <v>0</v>
      </c>
      <c r="AD61" s="31"/>
    </row>
    <row r="62" ht="22.5" customHeight="1">
      <c r="A62" s="3" t="s">
        <v>251</v>
      </c>
      <c r="B62" s="144" t="s">
        <v>517</v>
      </c>
      <c r="C62" s="145">
        <v>46045.0</v>
      </c>
      <c r="D62" s="145">
        <v>46101.0</v>
      </c>
      <c r="E62" s="15" t="s">
        <v>516</v>
      </c>
      <c r="F62" s="146">
        <v>1.0</v>
      </c>
      <c r="G62" s="15" t="s">
        <v>455</v>
      </c>
      <c r="H62" s="46">
        <v>12.0</v>
      </c>
      <c r="I62" s="15">
        <v>0.11049</v>
      </c>
      <c r="J62" s="30">
        <v>1.0</v>
      </c>
      <c r="K62" s="147">
        <v>100.0</v>
      </c>
      <c r="L62" s="148">
        <f>IFERROR(__xludf.DUMMYFUNCTION("QUERY(OptionPositionsLog, ""SELECT E WHERE B = '"" &amp; $B62  &amp; ""' ORDER BY A DESC LIMIT 1"")"),0.0)</f>
        <v>0</v>
      </c>
      <c r="M62" s="30"/>
      <c r="N62" s="140">
        <f t="shared" si="1"/>
        <v>0</v>
      </c>
      <c r="O62" s="140">
        <f t="shared" si="2"/>
        <v>-0.11049</v>
      </c>
      <c r="P62" s="149">
        <f t="shared" si="3"/>
        <v>-11.049</v>
      </c>
      <c r="Q62" s="138">
        <f t="shared" si="4"/>
        <v>-100</v>
      </c>
      <c r="R62" s="150">
        <f t="shared" si="5"/>
        <v>0</v>
      </c>
      <c r="S62" s="140">
        <f t="shared" si="6"/>
        <v>0</v>
      </c>
      <c r="T62" s="140">
        <f>IFERROR(__xludf.DUMMYFUNCTION("IF(ISBLANK($M62), QUERY(OptionPositionsLog!$A$2:$K796, ""SELECT F WHERE B = '"" &amp; $B62  &amp; ""' ORDER BY A DESC LIMIT 1""), 0)"),0.0)</f>
        <v>0</v>
      </c>
      <c r="U62" s="136">
        <f>IFERROR(__xludf.DUMMYFUNCTION("IF(ISBLANK($M62), QUERY(OptionPositionsLog!$A$2:$K796, ""SELECT G WHERE B = '"" &amp; $B62  &amp; ""' ORDER BY A DESC LIMIT 1"")*F62, 0)"),-8.122E-4)</f>
        <v>-0.0008122</v>
      </c>
      <c r="V62" s="136">
        <f>IFERROR(__xludf.DUMMYFUNCTION("IF(ISBLANK($M62), QUERY(OptionPositionsLog!$A$2:$K796, ""SELECT H WHERE B = '"" &amp; $B62  &amp; ""' ORDER BY A DESC LIMIT 1"")*F62, 0)"),-2.7378E-4)</f>
        <v>-0.00027378</v>
      </c>
      <c r="W62" s="136">
        <f>IFERROR(__xludf.DUMMYFUNCTION("IF(ISBLANK($M62), QUERY(OptionPositionsLog!$A$2:$K796, ""SELECT I WHERE B = '"" &amp; $B62  &amp; ""' ORDER BY A DESC LIMIT 1""), 0)"),0.00111915)</f>
        <v>0.00111915</v>
      </c>
      <c r="X62" s="136">
        <f>IFERROR(__xludf.DUMMYFUNCTION("IF(ISBLANK($M62), QUERY(OptionPositionsLog!$A$2:$K796, ""SELECT J WHERE B = '"" &amp; $B62  &amp; ""' ORDER BY A DESC LIMIT 1""), 0)"),7.533E-5)</f>
        <v>0.00007533</v>
      </c>
      <c r="Y62" s="136">
        <f>IFERROR(__xludf.DUMMYFUNCTION("IF(ISBLANK($M62), QUERY(OptionPositionsLog!$A$2:$K796, ""SELECT D WHERE B = '"" &amp; $B62  &amp; ""' ORDER BY A DESC LIMIT 1"")*100, """")"),92.0)</f>
        <v>92</v>
      </c>
      <c r="Z62" s="148">
        <f>IFERROR(__xludf.DUMMYFUNCTION("QUERY(OptionPositionsLog, ""SELECT K WHERE B = '"" &amp; $B62  &amp; ""' ORDER BY K DESC LIMIT 1"")"),5.98)</f>
        <v>5.98</v>
      </c>
      <c r="AA62" s="151">
        <f t="shared" si="11"/>
        <v>-82223.21429</v>
      </c>
      <c r="AB62" s="152">
        <f t="shared" si="8"/>
        <v>822.2321429</v>
      </c>
      <c r="AC62" s="153">
        <f t="shared" si="9"/>
        <v>0</v>
      </c>
      <c r="AD62" s="31"/>
    </row>
    <row r="63" ht="22.5" customHeight="1">
      <c r="A63" s="3" t="s">
        <v>217</v>
      </c>
      <c r="B63" s="144" t="s">
        <v>518</v>
      </c>
      <c r="C63" s="145">
        <v>46045.0</v>
      </c>
      <c r="D63" s="145">
        <v>46101.0</v>
      </c>
      <c r="E63" s="15" t="s">
        <v>516</v>
      </c>
      <c r="F63" s="146">
        <v>1.0</v>
      </c>
      <c r="G63" s="15" t="s">
        <v>459</v>
      </c>
      <c r="H63" s="46">
        <v>12.0</v>
      </c>
      <c r="I63" s="15">
        <v>0.11049</v>
      </c>
      <c r="J63" s="30">
        <v>1.0</v>
      </c>
      <c r="K63" s="147">
        <v>100.0</v>
      </c>
      <c r="L63" s="148">
        <f>IFERROR(__xludf.DUMMYFUNCTION("QUERY(OptionPositionsLog, ""SELECT E WHERE B = '"" &amp; $B63  &amp; ""' ORDER BY A DESC LIMIT 1"")"),0.12)</f>
        <v>0.12</v>
      </c>
      <c r="M63" s="30"/>
      <c r="N63" s="140">
        <f t="shared" si="1"/>
        <v>12</v>
      </c>
      <c r="O63" s="140">
        <f t="shared" si="2"/>
        <v>0.00951</v>
      </c>
      <c r="P63" s="149">
        <f t="shared" si="3"/>
        <v>0.951</v>
      </c>
      <c r="Q63" s="138">
        <f t="shared" si="4"/>
        <v>9</v>
      </c>
      <c r="R63" s="150">
        <f t="shared" si="5"/>
        <v>0</v>
      </c>
      <c r="S63" s="140">
        <f t="shared" si="6"/>
        <v>0</v>
      </c>
      <c r="T63" s="140">
        <f>IFERROR(__xludf.DUMMYFUNCTION("IF(ISBLANK($M63), QUERY(OptionPositionsLog!$A$2:$K796, ""SELECT F WHERE B = '"" &amp; $B63  &amp; ""' ORDER BY A DESC LIMIT 1""), 0)"),0.12)</f>
        <v>0.12</v>
      </c>
      <c r="U63" s="136">
        <f>IFERROR(__xludf.DUMMYFUNCTION("IF(ISBLANK($M63), QUERY(OptionPositionsLog!$A$2:$K796, ""SELECT G WHERE B = '"" &amp; $B63  &amp; ""' ORDER BY A DESC LIMIT 1"")*F63, 0)"),0.21701075)</f>
        <v>0.21701075</v>
      </c>
      <c r="V63" s="136">
        <f>IFERROR(__xludf.DUMMYFUNCTION("IF(ISBLANK($M63), QUERY(OptionPositionsLog!$A$2:$K796, ""SELECT H WHERE B = '"" &amp; $B63  &amp; ""' ORDER BY A DESC LIMIT 1"")*F63, 0)"),-0.01238985)</f>
        <v>-0.01238985</v>
      </c>
      <c r="W63" s="136">
        <f>IFERROR(__xludf.DUMMYFUNCTION("IF(ISBLANK($M63), QUERY(OptionPositionsLog!$A$2:$K796, ""SELECT I WHERE B = '"" &amp; $B63  &amp; ""' ORDER BY A DESC LIMIT 1""), 0)"),0.35888029)</f>
        <v>0.35888029</v>
      </c>
      <c r="X63" s="136">
        <f>IFERROR(__xludf.DUMMYFUNCTION("IF(ISBLANK($M63), QUERY(OptionPositionsLog!$A$2:$K796, ""SELECT J WHERE B = '"" &amp; $B63  &amp; ""' ORDER BY A DESC LIMIT 1""), 0)"),0.00519203)</f>
        <v>0.00519203</v>
      </c>
      <c r="Y63" s="136">
        <f>IFERROR(__xludf.DUMMYFUNCTION("IF(ISBLANK($M63), QUERY(OptionPositionsLog!$A$2:$K796, ""SELECT D WHERE B = '"" &amp; $B63  &amp; ""' ORDER BY A DESC LIMIT 1"")*100, """")"),44.0)</f>
        <v>44</v>
      </c>
      <c r="Z63" s="148">
        <f>IFERROR(__xludf.DUMMYFUNCTION("QUERY(OptionPositionsLog, ""SELECT K WHERE B = '"" &amp; $B63  &amp; ""' ORDER BY K DESC LIMIT 1"")"),14.2)</f>
        <v>14.2</v>
      </c>
      <c r="AA63" s="151">
        <f t="shared" si="11"/>
        <v>-82223.21429</v>
      </c>
      <c r="AB63" s="152">
        <f t="shared" si="8"/>
        <v>-9135.912698</v>
      </c>
      <c r="AC63" s="153">
        <f t="shared" si="9"/>
        <v>0</v>
      </c>
      <c r="AD63" s="31"/>
    </row>
    <row r="64" ht="22.5" customHeight="1">
      <c r="A64" s="3" t="s">
        <v>42</v>
      </c>
      <c r="B64" s="144" t="s">
        <v>519</v>
      </c>
      <c r="C64" s="145">
        <v>46045.0</v>
      </c>
      <c r="D64" s="145">
        <v>46101.0</v>
      </c>
      <c r="E64" s="15" t="s">
        <v>516</v>
      </c>
      <c r="F64" s="146">
        <v>-1.0</v>
      </c>
      <c r="G64" s="15" t="s">
        <v>455</v>
      </c>
      <c r="H64" s="46">
        <v>77.0</v>
      </c>
      <c r="I64" s="15">
        <v>3.19368</v>
      </c>
      <c r="J64" s="30">
        <v>1.0</v>
      </c>
      <c r="K64" s="147">
        <v>100.0</v>
      </c>
      <c r="L64" s="148">
        <f>IFERROR(__xludf.DUMMYFUNCTION("QUERY(OptionPositionsLog, ""SELECT E WHERE B = '"" &amp; $B64  &amp; ""' ORDER BY A DESC LIMIT 1"")"),2.74)</f>
        <v>2.74</v>
      </c>
      <c r="M64" s="30"/>
      <c r="N64" s="140">
        <f t="shared" si="1"/>
        <v>274</v>
      </c>
      <c r="O64" s="140">
        <f t="shared" si="2"/>
        <v>0.45368</v>
      </c>
      <c r="P64" s="149">
        <f t="shared" si="3"/>
        <v>45.368</v>
      </c>
      <c r="Q64" s="138">
        <f t="shared" si="4"/>
        <v>14</v>
      </c>
      <c r="R64" s="150">
        <f t="shared" si="5"/>
        <v>0</v>
      </c>
      <c r="S64" s="140">
        <f t="shared" si="6"/>
        <v>0</v>
      </c>
      <c r="T64" s="140">
        <f>IFERROR(__xludf.DUMMYFUNCTION("IF(ISBLANK($M64), QUERY(OptionPositionsLog!$A$2:$K796, ""SELECT F WHERE B = '"" &amp; $B64  &amp; ""' ORDER BY A DESC LIMIT 1""), 0)"),2.74)</f>
        <v>2.74</v>
      </c>
      <c r="U64" s="136">
        <f>IFERROR(__xludf.DUMMYFUNCTION("IF(ISBLANK($M64), QUERY(OptionPositionsLog!$A$2:$K796, ""SELECT G WHERE B = '"" &amp; $B64  &amp; ""' ORDER BY A DESC LIMIT 1"")*F64, 0)"),0.33109367)</f>
        <v>0.33109367</v>
      </c>
      <c r="V64" s="136">
        <f>IFERROR(__xludf.DUMMYFUNCTION("IF(ISBLANK($M64), QUERY(OptionPositionsLog!$A$2:$K796, ""SELECT H WHERE B = '"" &amp; $B64  &amp; ""' ORDER BY A DESC LIMIT 1"")*F64, 0)"),0.15484973)</f>
        <v>0.15484973</v>
      </c>
      <c r="W64" s="136">
        <f>IFERROR(__xludf.DUMMYFUNCTION("IF(ISBLANK($M64), QUERY(OptionPositionsLog!$A$2:$K796, ""SELECT I WHERE B = '"" &amp; $B64  &amp; ""' ORDER BY A DESC LIMIT 1""), 0)"),0.04215103)</f>
        <v>0.04215103</v>
      </c>
      <c r="X64" s="136">
        <f>IFERROR(__xludf.DUMMYFUNCTION("IF(ISBLANK($M64), QUERY(OptionPositionsLog!$A$2:$K796, ""SELECT J WHERE B = '"" &amp; $B64  &amp; ""' ORDER BY A DESC LIMIT 1""), 0)"),0.049461)</f>
        <v>0.049461</v>
      </c>
      <c r="Y64" s="136">
        <f>IFERROR(__xludf.DUMMYFUNCTION("IF(ISBLANK($M64), QUERY(OptionPositionsLog!$A$2:$K796, ""SELECT D WHERE B = '"" &amp; $B64  &amp; ""' ORDER BY A DESC LIMIT 1"")*100, """")"),65.0)</f>
        <v>65</v>
      </c>
      <c r="Z64" s="148">
        <f>IFERROR(__xludf.DUMMYFUNCTION("QUERY(OptionPositionsLog, ""SELECT K WHERE B = '"" &amp; $B64  &amp; ""' ORDER BY K DESC LIMIT 1"")"),1223.4)</f>
        <v>1223.4</v>
      </c>
      <c r="AA64" s="151">
        <f t="shared" si="11"/>
        <v>-82223.21429</v>
      </c>
      <c r="AB64" s="152">
        <f t="shared" si="8"/>
        <v>-5873.086735</v>
      </c>
      <c r="AC64" s="153">
        <f t="shared" si="9"/>
        <v>0</v>
      </c>
      <c r="AD64" s="31"/>
    </row>
    <row r="65" ht="22.5" customHeight="1">
      <c r="A65" s="3" t="s">
        <v>167</v>
      </c>
      <c r="B65" s="144" t="s">
        <v>520</v>
      </c>
      <c r="C65" s="145">
        <v>46045.0</v>
      </c>
      <c r="D65" s="145">
        <v>46101.0</v>
      </c>
      <c r="E65" s="15" t="s">
        <v>516</v>
      </c>
      <c r="F65" s="146">
        <v>-1.0</v>
      </c>
      <c r="G65" s="15" t="s">
        <v>459</v>
      </c>
      <c r="H65" s="46">
        <v>30.0</v>
      </c>
      <c r="I65" s="15">
        <v>1.93945</v>
      </c>
      <c r="J65" s="30">
        <v>1.0</v>
      </c>
      <c r="K65" s="147">
        <v>100.0</v>
      </c>
      <c r="L65" s="148">
        <f>IFERROR(__xludf.DUMMYFUNCTION("QUERY(OptionPositionsLog, ""SELECT E WHERE B = '"" &amp; $B65  &amp; ""' ORDER BY A DESC LIMIT 1"")"),0.54)</f>
        <v>0.54</v>
      </c>
      <c r="M65" s="30"/>
      <c r="N65" s="140">
        <f t="shared" si="1"/>
        <v>54</v>
      </c>
      <c r="O65" s="140">
        <f t="shared" si="2"/>
        <v>1.39945</v>
      </c>
      <c r="P65" s="149">
        <f t="shared" si="3"/>
        <v>139.945</v>
      </c>
      <c r="Q65" s="138">
        <f t="shared" si="4"/>
        <v>72</v>
      </c>
      <c r="R65" s="150">
        <f t="shared" si="5"/>
        <v>0</v>
      </c>
      <c r="S65" s="140">
        <f t="shared" si="6"/>
        <v>0</v>
      </c>
      <c r="T65" s="140">
        <f>IFERROR(__xludf.DUMMYFUNCTION("IF(ISBLANK($M65), QUERY(OptionPositionsLog!$A$2:$K796, ""SELECT F WHERE B = '"" &amp; $B65  &amp; ""' ORDER BY A DESC LIMIT 1""), 0)"),0.54)</f>
        <v>0.54</v>
      </c>
      <c r="U65" s="136">
        <f>IFERROR(__xludf.DUMMYFUNCTION("IF(ISBLANK($M65), QUERY(OptionPositionsLog!$A$2:$K796, ""SELECT G WHERE B = '"" &amp; $B65  &amp; ""' ORDER BY A DESC LIMIT 1"")*F65, 0)"),-0.14076619)</f>
        <v>-0.14076619</v>
      </c>
      <c r="V65" s="136">
        <f>IFERROR(__xludf.DUMMYFUNCTION("IF(ISBLANK($M65), QUERY(OptionPositionsLog!$A$2:$K796, ""SELECT H WHERE B = '"" &amp; $B65  &amp; ""' ORDER BY A DESC LIMIT 1"")*F65, 0)"),0.01941166)</f>
        <v>0.01941166</v>
      </c>
      <c r="W65" s="136">
        <f>IFERROR(__xludf.DUMMYFUNCTION("IF(ISBLANK($M65), QUERY(OptionPositionsLog!$A$2:$K796, ""SELECT I WHERE B = '"" &amp; $B65  &amp; ""' ORDER BY A DESC LIMIT 1""), 0)"),0.02891383)</f>
        <v>0.02891383</v>
      </c>
      <c r="X65" s="136">
        <f>IFERROR(__xludf.DUMMYFUNCTION("IF(ISBLANK($M65), QUERY(OptionPositionsLog!$A$2:$K796, ""SELECT J WHERE B = '"" &amp; $B65  &amp; ""' ORDER BY A DESC LIMIT 1""), 0)"),0.01254228)</f>
        <v>0.01254228</v>
      </c>
      <c r="Y65" s="136">
        <f>IFERROR(__xludf.DUMMYFUNCTION("IF(ISBLANK($M65), QUERY(OptionPositionsLog!$A$2:$K796, ""SELECT D WHERE B = '"" &amp; $B65  &amp; ""' ORDER BY A DESC LIMIT 1"")*100, """")"),145.0)</f>
        <v>145</v>
      </c>
      <c r="Z65" s="148">
        <f>IFERROR(__xludf.DUMMYFUNCTION("QUERY(OptionPositionsLog, ""SELECT K WHERE B = '"" &amp; $B65  &amp; ""' ORDER BY K DESC LIMIT 1"")"),179.15)</f>
        <v>179.15</v>
      </c>
      <c r="AA65" s="151">
        <f t="shared" si="11"/>
        <v>-82223.21429</v>
      </c>
      <c r="AB65" s="152">
        <f t="shared" si="8"/>
        <v>-1141.989087</v>
      </c>
      <c r="AC65" s="153">
        <f t="shared" si="9"/>
        <v>0</v>
      </c>
      <c r="AD65" s="31"/>
    </row>
    <row r="66" ht="22.5" customHeight="1">
      <c r="A66" s="3" t="s">
        <v>167</v>
      </c>
      <c r="B66" s="144" t="s">
        <v>521</v>
      </c>
      <c r="C66" s="145">
        <v>46045.0</v>
      </c>
      <c r="D66" s="145">
        <v>46101.0</v>
      </c>
      <c r="E66" s="15" t="s">
        <v>516</v>
      </c>
      <c r="F66" s="146">
        <v>1.0</v>
      </c>
      <c r="G66" s="15" t="s">
        <v>459</v>
      </c>
      <c r="H66" s="46">
        <v>25.0</v>
      </c>
      <c r="I66" s="15">
        <v>2.88051</v>
      </c>
      <c r="J66" s="30">
        <v>1.0</v>
      </c>
      <c r="K66" s="147">
        <v>100.0</v>
      </c>
      <c r="L66" s="148">
        <f>IFERROR(__xludf.DUMMYFUNCTION("QUERY(OptionPositionsLog, ""SELECT E WHERE B = '"" &amp; $B66  &amp; ""' ORDER BY A DESC LIMIT 1"")"),0.01)</f>
        <v>0.01</v>
      </c>
      <c r="M66" s="30"/>
      <c r="N66" s="140">
        <f t="shared" si="1"/>
        <v>1</v>
      </c>
      <c r="O66" s="140">
        <f t="shared" si="2"/>
        <v>-2.87051</v>
      </c>
      <c r="P66" s="149">
        <f t="shared" si="3"/>
        <v>-287.051</v>
      </c>
      <c r="Q66" s="138">
        <f t="shared" si="4"/>
        <v>-100</v>
      </c>
      <c r="R66" s="150">
        <f t="shared" si="5"/>
        <v>0</v>
      </c>
      <c r="S66" s="140">
        <f t="shared" si="6"/>
        <v>0</v>
      </c>
      <c r="T66" s="140">
        <f>IFERROR(__xludf.DUMMYFUNCTION("IF(ISBLANK($M66), QUERY(OptionPositionsLog!$A$2:$K796, ""SELECT F WHERE B = '"" &amp; $B66  &amp; ""' ORDER BY A DESC LIMIT 1""), 0)"),0.01)</f>
        <v>0.01</v>
      </c>
      <c r="U66" s="136">
        <f>IFERROR(__xludf.DUMMYFUNCTION("IF(ISBLANK($M66), QUERY(OptionPositionsLog!$A$2:$K796, ""SELECT G WHERE B = '"" &amp; $B66  &amp; ""' ORDER BY A DESC LIMIT 1"")*F66, 0)"),0.01042037)</f>
        <v>0.01042037</v>
      </c>
      <c r="V66" s="136">
        <f>IFERROR(__xludf.DUMMYFUNCTION("IF(ISBLANK($M66), QUERY(OptionPositionsLog!$A$2:$K796, ""SELECT H WHERE B = '"" &amp; $B66  &amp; ""' ORDER BY A DESC LIMIT 1"")*F66, 0)"),-0.00508758)</f>
        <v>-0.00508758</v>
      </c>
      <c r="W66" s="136">
        <f>IFERROR(__xludf.DUMMYFUNCTION("IF(ISBLANK($M66), QUERY(OptionPositionsLog!$A$2:$K796, ""SELECT I WHERE B = '"" &amp; $B66  &amp; ""' ORDER BY A DESC LIMIT 1""), 0)"),0.0074681)</f>
        <v>0.0074681</v>
      </c>
      <c r="X66" s="136">
        <f>IFERROR(__xludf.DUMMYFUNCTION("IF(ISBLANK($M66), QUERY(OptionPositionsLog!$A$2:$K796, ""SELECT J WHERE B = '"" &amp; $B66  &amp; ""' ORDER BY A DESC LIMIT 1""), 0)"),4.4165E-4)</f>
        <v>0.00044165</v>
      </c>
      <c r="Y66" s="136">
        <f>IFERROR(__xludf.DUMMYFUNCTION("IF(ISBLANK($M66), QUERY(OptionPositionsLog!$A$2:$K796, ""SELECT D WHERE B = '"" &amp; $B66  &amp; ""' ORDER BY A DESC LIMIT 1"")*100, """")"),221.0)</f>
        <v>221</v>
      </c>
      <c r="Z66" s="148">
        <f>IFERROR(__xludf.DUMMYFUNCTION("QUERY(OptionPositionsLog, ""SELECT K WHERE B = '"" &amp; $B66  &amp; ""' ORDER BY K DESC LIMIT 1"")"),579.45)</f>
        <v>579.45</v>
      </c>
      <c r="AA66" s="151">
        <f t="shared" si="11"/>
        <v>-82223.21429</v>
      </c>
      <c r="AB66" s="152">
        <f t="shared" si="8"/>
        <v>822.2321429</v>
      </c>
      <c r="AC66" s="153">
        <f t="shared" si="9"/>
        <v>0</v>
      </c>
      <c r="AD66" s="31"/>
    </row>
    <row r="67" ht="22.5" customHeight="1">
      <c r="A67" s="3" t="s">
        <v>204</v>
      </c>
      <c r="B67" s="144" t="s">
        <v>522</v>
      </c>
      <c r="C67" s="145">
        <v>46044.0</v>
      </c>
      <c r="D67" s="145">
        <v>46073.0</v>
      </c>
      <c r="E67" s="145">
        <v>46055.0</v>
      </c>
      <c r="F67" s="146">
        <v>-1.0</v>
      </c>
      <c r="G67" s="15" t="s">
        <v>455</v>
      </c>
      <c r="H67" s="46">
        <v>86.0</v>
      </c>
      <c r="I67" s="15">
        <v>1.34946</v>
      </c>
      <c r="J67" s="30">
        <v>1.0</v>
      </c>
      <c r="K67" s="147">
        <v>100.0</v>
      </c>
      <c r="L67" s="148">
        <f>IFERROR(__xludf.DUMMYFUNCTION("QUERY(OptionPositionsLog, ""SELECT E WHERE B = '"" &amp; $B67  &amp; ""' ORDER BY A DESC LIMIT 1"")"),0.75)</f>
        <v>0.75</v>
      </c>
      <c r="M67" s="30">
        <v>0.36</v>
      </c>
      <c r="N67" s="140">
        <f t="shared" si="1"/>
        <v>75</v>
      </c>
      <c r="O67" s="140">
        <f t="shared" si="2"/>
        <v>0</v>
      </c>
      <c r="P67" s="149">
        <f t="shared" si="3"/>
        <v>0</v>
      </c>
      <c r="Q67" s="138" t="str">
        <f t="shared" si="4"/>
        <v/>
      </c>
      <c r="R67" s="150">
        <f t="shared" si="5"/>
        <v>97.946</v>
      </c>
      <c r="S67" s="140">
        <f t="shared" si="6"/>
        <v>70</v>
      </c>
      <c r="T67" s="140">
        <f>IFERROR(__xludf.DUMMYFUNCTION("IF(ISBLANK($M67), QUERY(OptionPositionsLog!$A$2:$K796, ""SELECT F WHERE B = '"" &amp; $B67  &amp; ""' ORDER BY A DESC LIMIT 1""), 0)"),0.0)</f>
        <v>0</v>
      </c>
      <c r="U67" s="140">
        <f>IFERROR(__xludf.DUMMYFUNCTION("IF(ISBLANK($M67), QUERY(OptionPositionsLog!$A$2:$K796, ""SELECT G WHERE B = '"" &amp; $B67  &amp; ""' ORDER BY A DESC LIMIT 1"")*F67, 0)"),0.0)</f>
        <v>0</v>
      </c>
      <c r="V67" s="140">
        <f>IFERROR(__xludf.DUMMYFUNCTION("IF(ISBLANK($M67), QUERY(OptionPositionsLog!$A$2:$K796, ""SELECT H WHERE B = '"" &amp; $B67  &amp; ""' ORDER BY A DESC LIMIT 1"")*F67, 0)"),0.0)</f>
        <v>0</v>
      </c>
      <c r="W67" s="140">
        <f>IFERROR(__xludf.DUMMYFUNCTION("IF(ISBLANK($M67), QUERY(OptionPositionsLog!$A$2:$K796, ""SELECT I WHERE B = '"" &amp; $B67  &amp; ""' ORDER BY A DESC LIMIT 1""), 0)"),0.0)</f>
        <v>0</v>
      </c>
      <c r="X67" s="140">
        <f>IFERROR(__xludf.DUMMYFUNCTION("IF(ISBLANK($M67), QUERY(OptionPositionsLog!$A$2:$K796, ""SELECT J WHERE B = '"" &amp; $B67  &amp; ""' ORDER BY A DESC LIMIT 1""), 0)"),0.0)</f>
        <v>0</v>
      </c>
      <c r="Y67" s="140" t="str">
        <f>IFERROR(__xludf.DUMMYFUNCTION("IF(ISBLANK($M67), QUERY(OptionPositionsLog!$A$2:$K796, ""SELECT D WHERE B = '"" &amp; $B67  &amp; ""' ORDER BY A DESC LIMIT 1"")*100, """")"),"")</f>
        <v/>
      </c>
      <c r="Z67" s="148">
        <f>IFERROR(__xludf.DUMMYFUNCTION("QUERY(OptionPositionsLog, ""SELECT K WHERE B = '"" &amp; $B67  &amp; ""' ORDER BY K DESC LIMIT 1"")"),76.61)</f>
        <v>76.61</v>
      </c>
      <c r="AA67" s="154">
        <f t="shared" si="11"/>
        <v>37.93103448</v>
      </c>
      <c r="AB67" s="155" t="str">
        <f t="shared" si="8"/>
        <v/>
      </c>
      <c r="AC67" s="153">
        <f t="shared" si="9"/>
        <v>127.8501501</v>
      </c>
      <c r="AD67" s="31"/>
    </row>
    <row r="68" ht="22.5" customHeight="1">
      <c r="A68" s="3" t="s">
        <v>221</v>
      </c>
      <c r="B68" s="144" t="s">
        <v>523</v>
      </c>
      <c r="C68" s="145">
        <v>46050.0</v>
      </c>
      <c r="D68" s="145">
        <v>46101.0</v>
      </c>
      <c r="E68" s="145">
        <v>46090.0</v>
      </c>
      <c r="F68" s="146">
        <v>-1.0</v>
      </c>
      <c r="G68" s="15" t="s">
        <v>459</v>
      </c>
      <c r="H68" s="46">
        <v>6300.0</v>
      </c>
      <c r="I68" s="15">
        <v>20.85</v>
      </c>
      <c r="J68" s="30">
        <v>1.5</v>
      </c>
      <c r="K68" s="147">
        <v>10.0</v>
      </c>
      <c r="L68" s="148">
        <f>IFERROR(__xludf.DUMMYFUNCTION("QUERY(OptionPositionsLog, ""SELECT E WHERE B = '"" &amp; $B68  &amp; ""' ORDER BY A DESC LIMIT 1"")"),1.1)</f>
        <v>1.1</v>
      </c>
      <c r="M68" s="30">
        <v>1.1</v>
      </c>
      <c r="N68" s="140">
        <f t="shared" si="1"/>
        <v>11</v>
      </c>
      <c r="O68" s="140">
        <f t="shared" si="2"/>
        <v>0</v>
      </c>
      <c r="P68" s="149">
        <f t="shared" si="3"/>
        <v>0</v>
      </c>
      <c r="Q68" s="138" t="str">
        <f t="shared" si="4"/>
        <v/>
      </c>
      <c r="R68" s="150">
        <f t="shared" si="5"/>
        <v>196</v>
      </c>
      <c r="S68" s="140">
        <f t="shared" si="6"/>
        <v>90</v>
      </c>
      <c r="T68" s="140">
        <f>IFERROR(__xludf.DUMMYFUNCTION("IF(ISBLANK($M68), QUERY(OptionPositionsLog!$A$2:$K796, ""SELECT F WHERE B = '"" &amp; $B68  &amp; ""' ORDER BY A DESC LIMIT 1""), 0)"),0.0)</f>
        <v>0</v>
      </c>
      <c r="U68" s="140">
        <f>IFERROR(__xludf.DUMMYFUNCTION("IF(ISBLANK($M68), QUERY(OptionPositionsLog!$A$2:$K796, ""SELECT G WHERE B = '"" &amp; $B68  &amp; ""' ORDER BY A DESC LIMIT 1"")*F68, 0)"),0.0)</f>
        <v>0</v>
      </c>
      <c r="V68" s="140">
        <f>IFERROR(__xludf.DUMMYFUNCTION("IF(ISBLANK($M68), QUERY(OptionPositionsLog!$A$2:$K796, ""SELECT H WHERE B = '"" &amp; $B68  &amp; ""' ORDER BY A DESC LIMIT 1"")*F68, 0)"),0.0)</f>
        <v>0</v>
      </c>
      <c r="W68" s="140">
        <f>IFERROR(__xludf.DUMMYFUNCTION("IF(ISBLANK($M68), QUERY(OptionPositionsLog!$A$2:$K796, ""SELECT I WHERE B = '"" &amp; $B68  &amp; ""' ORDER BY A DESC LIMIT 1""), 0)"),0.0)</f>
        <v>0</v>
      </c>
      <c r="X68" s="140">
        <f>IFERROR(__xludf.DUMMYFUNCTION("IF(ISBLANK($M68), QUERY(OptionPositionsLog!$A$2:$K796, ""SELECT J WHERE B = '"" &amp; $B68  &amp; ""' ORDER BY A DESC LIMIT 1""), 0)"),0.0)</f>
        <v>0</v>
      </c>
      <c r="Y68" s="140" t="str">
        <f>IFERROR(__xludf.DUMMYFUNCTION("IF(ISBLANK($M68), QUERY(OptionPositionsLog!$A$2:$K796, ""SELECT D WHERE B = '"" &amp; $B68  &amp; ""' ORDER BY A DESC LIMIT 1"")*100, """")"),"")</f>
        <v/>
      </c>
      <c r="Z68" s="148">
        <f>IFERROR(__xludf.DUMMYFUNCTION("QUERY(OptionPositionsLog, ""SELECT K WHERE B = '"" &amp; $B68  &amp; ""' ORDER BY K DESC LIMIT 1"")"),11.81)</f>
        <v>11.81</v>
      </c>
      <c r="AA68" s="154">
        <f t="shared" si="11"/>
        <v>78.43137255</v>
      </c>
      <c r="AB68" s="155" t="str">
        <f t="shared" si="8"/>
        <v/>
      </c>
      <c r="AC68" s="153">
        <f t="shared" si="9"/>
        <v>1659.6105</v>
      </c>
      <c r="AD68" s="31"/>
    </row>
    <row r="69" ht="22.5" customHeight="1">
      <c r="A69" s="3" t="s">
        <v>221</v>
      </c>
      <c r="B69" s="144" t="s">
        <v>524</v>
      </c>
      <c r="C69" s="145">
        <v>46050.0</v>
      </c>
      <c r="D69" s="145">
        <v>46101.0</v>
      </c>
      <c r="E69" s="15" t="s">
        <v>516</v>
      </c>
      <c r="F69" s="146">
        <v>1.0</v>
      </c>
      <c r="G69" s="15" t="s">
        <v>459</v>
      </c>
      <c r="H69" s="46">
        <v>6275.0</v>
      </c>
      <c r="I69" s="15">
        <v>25.35</v>
      </c>
      <c r="J69" s="30">
        <v>1.5</v>
      </c>
      <c r="K69" s="147">
        <v>10.0</v>
      </c>
      <c r="L69" s="148">
        <f>IFERROR(__xludf.DUMMYFUNCTION("QUERY(OptionPositionsLog, ""SELECT E WHERE B = '"" &amp; $B69  &amp; ""' ORDER BY A DESC LIMIT 1"")"),1.8)</f>
        <v>1.8</v>
      </c>
      <c r="M69" s="30"/>
      <c r="N69" s="140">
        <f t="shared" si="1"/>
        <v>18</v>
      </c>
      <c r="O69" s="140">
        <f t="shared" si="2"/>
        <v>-23.55</v>
      </c>
      <c r="P69" s="149">
        <f t="shared" si="3"/>
        <v>-235.5</v>
      </c>
      <c r="Q69" s="138">
        <f t="shared" si="4"/>
        <v>-93</v>
      </c>
      <c r="R69" s="150">
        <f t="shared" si="5"/>
        <v>0</v>
      </c>
      <c r="S69" s="140">
        <f t="shared" si="6"/>
        <v>0</v>
      </c>
      <c r="T69" s="140">
        <f>IFERROR(__xludf.DUMMYFUNCTION("IF(ISBLANK($M69), QUERY(OptionPositionsLog!$A$2:$K796, ""SELECT F WHERE B = '"" &amp; $B69  &amp; ""' ORDER BY A DESC LIMIT 1""), 0)"),1.8)</f>
        <v>1.8</v>
      </c>
      <c r="U69" s="140">
        <f>IFERROR(__xludf.DUMMYFUNCTION("IF(ISBLANK($M69), QUERY(OptionPositionsLog!$A$2:$K796, ""SELECT G WHERE B = '"" &amp; $B69  &amp; ""' ORDER BY A DESC LIMIT 1"")*F69, 0)"),0.00672025)</f>
        <v>0.00672025</v>
      </c>
      <c r="V69" s="140">
        <f>IFERROR(__xludf.DUMMYFUNCTION("IF(ISBLANK($M69), QUERY(OptionPositionsLog!$A$2:$K796, ""SELECT H WHERE B = '"" &amp; $B69  &amp; ""' ORDER BY A DESC LIMIT 1"")*F69, 0)"),-0.1805147)</f>
        <v>-0.1805147</v>
      </c>
      <c r="W69" s="140">
        <f>IFERROR(__xludf.DUMMYFUNCTION("IF(ISBLANK($M69), QUERY(OptionPositionsLog!$A$2:$K796, ""SELECT I WHERE B = '"" &amp; $B69  &amp; ""' ORDER BY A DESC LIMIT 1""), 0)"),8.015E-5)</f>
        <v>0.00008015</v>
      </c>
      <c r="X69" s="140">
        <f>IFERROR(__xludf.DUMMYFUNCTION("IF(ISBLANK($M69), QUERY(OptionPositionsLog!$A$2:$K796, ""SELECT J WHERE B = '"" &amp; $B69  &amp; ""' ORDER BY A DESC LIMIT 1""), 0)"),0.20786389)</f>
        <v>0.20786389</v>
      </c>
      <c r="Y69" s="140">
        <f>IFERROR(__xludf.DUMMYFUNCTION("IF(ISBLANK($M69), QUERY(OptionPositionsLog!$A$2:$K796, ""SELECT D WHERE B = '"" &amp; $B69  &amp; ""' ORDER BY A DESC LIMIT 1"")*100, """")"),22.0)</f>
        <v>22</v>
      </c>
      <c r="Z69" s="148">
        <f>IFERROR(__xludf.DUMMYFUNCTION("QUERY(OptionPositionsLog, ""SELECT K WHERE B = '"" &amp; $B69  &amp; ""' ORDER BY K DESC LIMIT 1"")"),69.87)</f>
        <v>69.87</v>
      </c>
      <c r="AA69" s="154">
        <f t="shared" si="11"/>
        <v>-90294.11765</v>
      </c>
      <c r="AB69" s="155">
        <f t="shared" si="8"/>
        <v>970.9044908</v>
      </c>
      <c r="AC69" s="153">
        <f t="shared" si="9"/>
        <v>0</v>
      </c>
      <c r="AD69" s="31"/>
    </row>
    <row r="70" ht="22.5" customHeight="1">
      <c r="A70" s="3" t="s">
        <v>221</v>
      </c>
      <c r="B70" s="144" t="s">
        <v>525</v>
      </c>
      <c r="C70" s="145">
        <v>46050.0</v>
      </c>
      <c r="D70" s="145">
        <v>46101.0</v>
      </c>
      <c r="E70" s="145">
        <v>46090.0</v>
      </c>
      <c r="F70" s="146">
        <v>-1.0</v>
      </c>
      <c r="G70" s="15" t="s">
        <v>455</v>
      </c>
      <c r="H70" s="46">
        <v>5625.0</v>
      </c>
      <c r="I70" s="15">
        <v>49.55</v>
      </c>
      <c r="J70" s="30">
        <v>1.5</v>
      </c>
      <c r="K70" s="147">
        <v>10.0</v>
      </c>
      <c r="L70" s="148">
        <f>IFERROR(__xludf.DUMMYFUNCTION("QUERY(OptionPositionsLog, ""SELECT E WHERE B = '"" &amp; $B70  &amp; ""' ORDER BY A DESC LIMIT 1"")"),92.1)</f>
        <v>92.1</v>
      </c>
      <c r="M70" s="30">
        <v>182.8</v>
      </c>
      <c r="N70" s="140">
        <f t="shared" si="1"/>
        <v>921</v>
      </c>
      <c r="O70" s="140">
        <f t="shared" si="2"/>
        <v>0</v>
      </c>
      <c r="P70" s="149">
        <f t="shared" si="3"/>
        <v>0</v>
      </c>
      <c r="Q70" s="138" t="str">
        <f t="shared" si="4"/>
        <v/>
      </c>
      <c r="R70" s="150">
        <f t="shared" si="5"/>
        <v>-1334</v>
      </c>
      <c r="S70" s="140">
        <f t="shared" si="6"/>
        <v>-270</v>
      </c>
      <c r="T70" s="140">
        <f>IFERROR(__xludf.DUMMYFUNCTION("IF(ISBLANK($M70), QUERY(OptionPositionsLog!$A$2:$K796, ""SELECT F WHERE B = '"" &amp; $B70  &amp; ""' ORDER BY A DESC LIMIT 1""), 0)"),0.0)</f>
        <v>0</v>
      </c>
      <c r="U70" s="140">
        <f>IFERROR(__xludf.DUMMYFUNCTION("IF(ISBLANK($M70), QUERY(OptionPositionsLog!$A$2:$K796, ""SELECT G WHERE B = '"" &amp; $B70  &amp; ""' ORDER BY A DESC LIMIT 1"")*F70, 0)"),0.0)</f>
        <v>0</v>
      </c>
      <c r="V70" s="140">
        <f>IFERROR(__xludf.DUMMYFUNCTION("IF(ISBLANK($M70), QUERY(OptionPositionsLog!$A$2:$K796, ""SELECT H WHERE B = '"" &amp; $B70  &amp; ""' ORDER BY A DESC LIMIT 1"")*F70, 0)"),0.0)</f>
        <v>0</v>
      </c>
      <c r="W70" s="140">
        <f>IFERROR(__xludf.DUMMYFUNCTION("IF(ISBLANK($M70), QUERY(OptionPositionsLog!$A$2:$K796, ""SELECT I WHERE B = '"" &amp; $B70  &amp; ""' ORDER BY A DESC LIMIT 1""), 0)"),0.0)</f>
        <v>0</v>
      </c>
      <c r="X70" s="140">
        <f>IFERROR(__xludf.DUMMYFUNCTION("IF(ISBLANK($M70), QUERY(OptionPositionsLog!$A$2:$K796, ""SELECT J WHERE B = '"" &amp; $B70  &amp; ""' ORDER BY A DESC LIMIT 1""), 0)"),0.0)</f>
        <v>0</v>
      </c>
      <c r="Y70" s="140" t="str">
        <f>IFERROR(__xludf.DUMMYFUNCTION("IF(ISBLANK($M70), QUERY(OptionPositionsLog!$A$2:$K796, ""SELECT D WHERE B = '"" &amp; $B70  &amp; ""' ORDER BY A DESC LIMIT 1"")*100, """")"),"")</f>
        <v/>
      </c>
      <c r="Z70" s="148">
        <f>IFERROR(__xludf.DUMMYFUNCTION("QUERY(OptionPositionsLog, ""SELECT K WHERE B = '"" &amp; $B70  &amp; ""' ORDER BY K DESC LIMIT 1"")"),4457.12)</f>
        <v>4457.12</v>
      </c>
      <c r="AA70" s="154">
        <f t="shared" si="11"/>
        <v>78.43137255</v>
      </c>
      <c r="AB70" s="155" t="str">
        <f t="shared" si="8"/>
        <v/>
      </c>
      <c r="AC70" s="153">
        <f t="shared" si="9"/>
        <v>-29.92964066</v>
      </c>
      <c r="AD70" s="31"/>
    </row>
    <row r="71" ht="22.5" customHeight="1">
      <c r="A71" s="3" t="s">
        <v>264</v>
      </c>
      <c r="B71" s="144" t="s">
        <v>526</v>
      </c>
      <c r="C71" s="145">
        <v>46050.0</v>
      </c>
      <c r="D71" s="145">
        <v>46101.0</v>
      </c>
      <c r="E71" s="15" t="s">
        <v>516</v>
      </c>
      <c r="F71" s="146">
        <v>1.0</v>
      </c>
      <c r="G71" s="15" t="s">
        <v>459</v>
      </c>
      <c r="H71" s="46">
        <v>240.0</v>
      </c>
      <c r="I71" s="15">
        <v>2.35699</v>
      </c>
      <c r="J71" s="30">
        <v>1.0</v>
      </c>
      <c r="K71" s="147">
        <v>100.0</v>
      </c>
      <c r="L71" s="148">
        <f>IFERROR(__xludf.DUMMYFUNCTION("QUERY(OptionPositionsLog, ""SELECT E WHERE B = '"" &amp; $B71  &amp; ""' ORDER BY A DESC LIMIT 1"")"),4.1)</f>
        <v>4.1</v>
      </c>
      <c r="M71" s="30"/>
      <c r="N71" s="140">
        <f t="shared" si="1"/>
        <v>410</v>
      </c>
      <c r="O71" s="140">
        <f t="shared" si="2"/>
        <v>1.74301</v>
      </c>
      <c r="P71" s="149">
        <f t="shared" si="3"/>
        <v>174.301</v>
      </c>
      <c r="Q71" s="138">
        <f t="shared" si="4"/>
        <v>74</v>
      </c>
      <c r="R71" s="150">
        <f t="shared" si="5"/>
        <v>0</v>
      </c>
      <c r="S71" s="140">
        <f t="shared" si="6"/>
        <v>0</v>
      </c>
      <c r="T71" s="140">
        <f>IFERROR(__xludf.DUMMYFUNCTION("IF(ISBLANK($M71), QUERY(OptionPositionsLog!$A$2:$K796, ""SELECT F WHERE B = '"" &amp; $B71  &amp; ""' ORDER BY A DESC LIMIT 1""), 0)"),4.1)</f>
        <v>4.1</v>
      </c>
      <c r="U71" s="140">
        <f>IFERROR(__xludf.DUMMYFUNCTION("IF(ISBLANK($M71), QUERY(OptionPositionsLog!$A$2:$K796, ""SELECT G WHERE B = '"" &amp; $B71  &amp; ""' ORDER BY A DESC LIMIT 1"")*F71, 0)"),0.29543881)</f>
        <v>0.29543881</v>
      </c>
      <c r="V71" s="140">
        <f>IFERROR(__xludf.DUMMYFUNCTION("IF(ISBLANK($M71), QUERY(OptionPositionsLog!$A$2:$K796, ""SELECT H WHERE B = '"" &amp; $B71  &amp; ""' ORDER BY A DESC LIMIT 1"")*F71, 0)"),-0.13274565)</f>
        <v>-0.13274565</v>
      </c>
      <c r="W71" s="140">
        <f>IFERROR(__xludf.DUMMYFUNCTION("IF(ISBLANK($M71), QUERY(OptionPositionsLog!$A$2:$K796, ""SELECT I WHERE B = '"" &amp; $B71  &amp; ""' ORDER BY A DESC LIMIT 1""), 0)"),0.01549531)</f>
        <v>0.01549531</v>
      </c>
      <c r="X71" s="140">
        <f>IFERROR(__xludf.DUMMYFUNCTION("IF(ISBLANK($M71), QUERY(OptionPositionsLog!$A$2:$K796, ""SELECT J WHERE B = '"" &amp; $B71  &amp; ""' ORDER BY A DESC LIMIT 1""), 0)"),0.21583491)</f>
        <v>0.21583491</v>
      </c>
      <c r="Y71" s="140">
        <f>IFERROR(__xludf.DUMMYFUNCTION("IF(ISBLANK($M71), QUERY(OptionPositionsLog!$A$2:$K796, ""SELECT D WHERE B = '"" &amp; $B71  &amp; ""' ORDER BY A DESC LIMIT 1"")*100, """")"),34.0)</f>
        <v>34</v>
      </c>
      <c r="Z71" s="148">
        <f>IFERROR(__xludf.DUMMYFUNCTION("QUERY(OptionPositionsLog, ""SELECT K WHERE B = '"" &amp; $B71  &amp; ""' ORDER BY K DESC LIMIT 1"")"),1759.94)</f>
        <v>1759.94</v>
      </c>
      <c r="AA71" s="154">
        <f t="shared" si="11"/>
        <v>-90294.11765</v>
      </c>
      <c r="AB71" s="155">
        <f t="shared" si="8"/>
        <v>-1220.190779</v>
      </c>
      <c r="AC71" s="153">
        <f t="shared" si="9"/>
        <v>0</v>
      </c>
      <c r="AD71" s="31"/>
    </row>
    <row r="72" ht="22.5" customHeight="1">
      <c r="A72" s="3" t="s">
        <v>264</v>
      </c>
      <c r="B72" s="144" t="s">
        <v>527</v>
      </c>
      <c r="C72" s="145">
        <v>46050.0</v>
      </c>
      <c r="D72" s="145">
        <v>46101.0</v>
      </c>
      <c r="E72" s="15" t="s">
        <v>516</v>
      </c>
      <c r="F72" s="146">
        <v>-1.0</v>
      </c>
      <c r="G72" s="15" t="s">
        <v>459</v>
      </c>
      <c r="H72" s="46">
        <v>250.0</v>
      </c>
      <c r="I72" s="15">
        <v>1.21298</v>
      </c>
      <c r="J72" s="30">
        <v>1.0</v>
      </c>
      <c r="K72" s="147">
        <v>100.0</v>
      </c>
      <c r="L72" s="148">
        <f>IFERROR(__xludf.DUMMYFUNCTION("QUERY(OptionPositionsLog, ""SELECT E WHERE B = '"" &amp; $B72  &amp; ""' ORDER BY A DESC LIMIT 1"")"),2.2)</f>
        <v>2.2</v>
      </c>
      <c r="M72" s="30"/>
      <c r="N72" s="140">
        <f t="shared" si="1"/>
        <v>220</v>
      </c>
      <c r="O72" s="140">
        <f t="shared" si="2"/>
        <v>-0.98702</v>
      </c>
      <c r="P72" s="149">
        <f t="shared" si="3"/>
        <v>-98.702</v>
      </c>
      <c r="Q72" s="138">
        <f t="shared" si="4"/>
        <v>-81</v>
      </c>
      <c r="R72" s="150">
        <f t="shared" si="5"/>
        <v>0</v>
      </c>
      <c r="S72" s="140">
        <f t="shared" si="6"/>
        <v>0</v>
      </c>
      <c r="T72" s="140">
        <f>IFERROR(__xludf.DUMMYFUNCTION("IF(ISBLANK($M72), QUERY(OptionPositionsLog!$A$2:$K796, ""SELECT F WHERE B = '"" &amp; $B72  &amp; ""' ORDER BY A DESC LIMIT 1""), 0)"),2.2)</f>
        <v>2.2</v>
      </c>
      <c r="U72" s="140">
        <f>IFERROR(__xludf.DUMMYFUNCTION("IF(ISBLANK($M72), QUERY(OptionPositionsLog!$A$2:$K796, ""SELECT G WHERE B = '"" &amp; $B72  &amp; ""' ORDER BY A DESC LIMIT 1"")*F72, 0)"),-0.1743029)</f>
        <v>-0.1743029</v>
      </c>
      <c r="V72" s="140">
        <f>IFERROR(__xludf.DUMMYFUNCTION("IF(ISBLANK($M72), QUERY(OptionPositionsLog!$A$2:$K796, ""SELECT H WHERE B = '"" &amp; $B72  &amp; ""' ORDER BY A DESC LIMIT 1"")*F72, 0)"),0.09896764)</f>
        <v>0.09896764</v>
      </c>
      <c r="W72" s="140">
        <f>IFERROR(__xludf.DUMMYFUNCTION("IF(ISBLANK($M72), QUERY(OptionPositionsLog!$A$2:$K796, ""SELECT I WHERE B = '"" &amp; $B72  &amp; ""' ORDER BY A DESC LIMIT 1""), 0)"),0.01138763)</f>
        <v>0.01138763</v>
      </c>
      <c r="X72" s="140">
        <f>IFERROR(__xludf.DUMMYFUNCTION("IF(ISBLANK($M72), QUERY(OptionPositionsLog!$A$2:$K796, ""SELECT J WHERE B = '"" &amp; $B72  &amp; ""' ORDER BY A DESC LIMIT 1""), 0)"),0.16789825)</f>
        <v>0.16789825</v>
      </c>
      <c r="Y72" s="140">
        <f>IFERROR(__xludf.DUMMYFUNCTION("IF(ISBLANK($M72), QUERY(OptionPositionsLog!$A$2:$K796, ""SELECT D WHERE B = '"" &amp; $B72  &amp; ""' ORDER BY A DESC LIMIT 1"")*100, """")"),35.0)</f>
        <v>35</v>
      </c>
      <c r="Z72" s="148">
        <f>IFERROR(__xludf.DUMMYFUNCTION("QUERY(OptionPositionsLog, ""SELECT K WHERE B = '"" &amp; $B72  &amp; ""' ORDER BY K DESC LIMIT 1"")"),226.17)</f>
        <v>226.17</v>
      </c>
      <c r="AA72" s="154">
        <f t="shared" si="11"/>
        <v>-90294.11765</v>
      </c>
      <c r="AB72" s="155">
        <f t="shared" si="8"/>
        <v>1114.742193</v>
      </c>
      <c r="AC72" s="153">
        <f t="shared" si="9"/>
        <v>0</v>
      </c>
      <c r="AD72" s="31"/>
    </row>
    <row r="73" ht="22.5" customHeight="1">
      <c r="A73" s="3" t="s">
        <v>271</v>
      </c>
      <c r="B73" s="144" t="s">
        <v>528</v>
      </c>
      <c r="C73" s="145">
        <v>46050.0</v>
      </c>
      <c r="D73" s="145">
        <v>46073.0</v>
      </c>
      <c r="E73" s="145">
        <v>46073.0</v>
      </c>
      <c r="F73" s="146">
        <v>1.0</v>
      </c>
      <c r="G73" s="15" t="s">
        <v>455</v>
      </c>
      <c r="H73" s="46">
        <v>80.0</v>
      </c>
      <c r="I73" s="15">
        <v>0.26051</v>
      </c>
      <c r="J73" s="30">
        <v>1.0</v>
      </c>
      <c r="K73" s="147">
        <v>100.0</v>
      </c>
      <c r="L73" s="148">
        <f>IFERROR(__xludf.DUMMYFUNCTION("QUERY(OptionPositionsLog, ""SELECT E WHERE B = '"" &amp; $B73  &amp; ""' ORDER BY A DESC LIMIT 1"")"),0.0)</f>
        <v>0</v>
      </c>
      <c r="M73" s="30">
        <v>0.0</v>
      </c>
      <c r="N73" s="140">
        <f t="shared" si="1"/>
        <v>0</v>
      </c>
      <c r="O73" s="140">
        <f t="shared" si="2"/>
        <v>0</v>
      </c>
      <c r="P73" s="149">
        <f t="shared" si="3"/>
        <v>0</v>
      </c>
      <c r="Q73" s="138" t="str">
        <f t="shared" si="4"/>
        <v/>
      </c>
      <c r="R73" s="150">
        <f t="shared" si="5"/>
        <v>-27.051</v>
      </c>
      <c r="S73" s="140">
        <f t="shared" si="6"/>
        <v>-100</v>
      </c>
      <c r="T73" s="140">
        <f>IFERROR(__xludf.DUMMYFUNCTION("IF(ISBLANK($M73), QUERY(OptionPositionsLog!$A$2:$K796, ""SELECT F WHERE B = '"" &amp; $B73  &amp; ""' ORDER BY A DESC LIMIT 1""), 0)"),0.0)</f>
        <v>0</v>
      </c>
      <c r="U73" s="140">
        <f>IFERROR(__xludf.DUMMYFUNCTION("IF(ISBLANK($M73), QUERY(OptionPositionsLog!$A$2:$K796, ""SELECT G WHERE B = '"" &amp; $B73  &amp; ""' ORDER BY A DESC LIMIT 1"")*F73, 0)"),0.0)</f>
        <v>0</v>
      </c>
      <c r="V73" s="140">
        <f>IFERROR(__xludf.DUMMYFUNCTION("IF(ISBLANK($M73), QUERY(OptionPositionsLog!$A$2:$K796, ""SELECT H WHERE B = '"" &amp; $B73  &amp; ""' ORDER BY A DESC LIMIT 1"")*F73, 0)"),0.0)</f>
        <v>0</v>
      </c>
      <c r="W73" s="140">
        <f>IFERROR(__xludf.DUMMYFUNCTION("IF(ISBLANK($M73), QUERY(OptionPositionsLog!$A$2:$K796, ""SELECT I WHERE B = '"" &amp; $B73  &amp; ""' ORDER BY A DESC LIMIT 1""), 0)"),0.0)</f>
        <v>0</v>
      </c>
      <c r="X73" s="140">
        <f>IFERROR(__xludf.DUMMYFUNCTION("IF(ISBLANK($M73), QUERY(OptionPositionsLog!$A$2:$K796, ""SELECT J WHERE B = '"" &amp; $B73  &amp; ""' ORDER BY A DESC LIMIT 1""), 0)"),0.0)</f>
        <v>0</v>
      </c>
      <c r="Y73" s="140" t="str">
        <f>IFERROR(__xludf.DUMMYFUNCTION("IF(ISBLANK($M73), QUERY(OptionPositionsLog!$A$2:$K796, ""SELECT D WHERE B = '"" &amp; $B73  &amp; ""' ORDER BY A DESC LIMIT 1"")*100, """")"),"")</f>
        <v/>
      </c>
      <c r="Z73" s="148">
        <f>IFERROR(__xludf.DUMMYFUNCTION("QUERY(OptionPositionsLog, ""SELECT K WHERE B = '"" &amp; $B73  &amp; ""' ORDER BY K DESC LIMIT 1"")"),17.25)</f>
        <v>17.25</v>
      </c>
      <c r="AA73" s="154">
        <f t="shared" si="11"/>
        <v>100</v>
      </c>
      <c r="AB73" s="155" t="str">
        <f t="shared" si="8"/>
        <v/>
      </c>
      <c r="AC73" s="153">
        <f t="shared" si="9"/>
        <v>-156.8173913</v>
      </c>
      <c r="AD73" s="31"/>
    </row>
    <row r="74" ht="22.5" customHeight="1">
      <c r="A74" s="3" t="s">
        <v>274</v>
      </c>
      <c r="B74" s="144" t="s">
        <v>529</v>
      </c>
      <c r="C74" s="145">
        <v>46050.0</v>
      </c>
      <c r="D74" s="145">
        <v>46073.0</v>
      </c>
      <c r="E74" s="145">
        <v>46073.0</v>
      </c>
      <c r="F74" s="146">
        <v>1.0</v>
      </c>
      <c r="G74" s="15" t="s">
        <v>459</v>
      </c>
      <c r="H74" s="46">
        <v>14.0</v>
      </c>
      <c r="I74" s="15">
        <v>0.14999</v>
      </c>
      <c r="J74" s="30">
        <v>1.0</v>
      </c>
      <c r="K74" s="147">
        <v>100.0</v>
      </c>
      <c r="L74" s="148">
        <f>IFERROR(__xludf.DUMMYFUNCTION("QUERY(OptionPositionsLog, ""SELECT E WHERE B = '"" &amp; $B74  &amp; ""' ORDER BY A DESC LIMIT 1"")"),0.0)</f>
        <v>0</v>
      </c>
      <c r="M74" s="30">
        <v>0.0</v>
      </c>
      <c r="N74" s="140">
        <f t="shared" si="1"/>
        <v>0</v>
      </c>
      <c r="O74" s="140">
        <f t="shared" si="2"/>
        <v>0</v>
      </c>
      <c r="P74" s="149">
        <f t="shared" si="3"/>
        <v>0</v>
      </c>
      <c r="Q74" s="138" t="str">
        <f t="shared" si="4"/>
        <v/>
      </c>
      <c r="R74" s="150">
        <f t="shared" si="5"/>
        <v>-15.999</v>
      </c>
      <c r="S74" s="140">
        <f t="shared" si="6"/>
        <v>-110</v>
      </c>
      <c r="T74" s="140">
        <f>IFERROR(__xludf.DUMMYFUNCTION("IF(ISBLANK($M74), QUERY(OptionPositionsLog!$A$2:$K796, ""SELECT F WHERE B = '"" &amp; $B74  &amp; ""' ORDER BY A DESC LIMIT 1""), 0)"),0.0)</f>
        <v>0</v>
      </c>
      <c r="U74" s="140">
        <f>IFERROR(__xludf.DUMMYFUNCTION("IF(ISBLANK($M74), QUERY(OptionPositionsLog!$A$2:$K796, ""SELECT G WHERE B = '"" &amp; $B74  &amp; ""' ORDER BY A DESC LIMIT 1"")*F74, 0)"),0.0)</f>
        <v>0</v>
      </c>
      <c r="V74" s="140">
        <f>IFERROR(__xludf.DUMMYFUNCTION("IF(ISBLANK($M74), QUERY(OptionPositionsLog!$A$2:$K796, ""SELECT H WHERE B = '"" &amp; $B74  &amp; ""' ORDER BY A DESC LIMIT 1"")*F74, 0)"),0.0)</f>
        <v>0</v>
      </c>
      <c r="W74" s="140">
        <f>IFERROR(__xludf.DUMMYFUNCTION("IF(ISBLANK($M74), QUERY(OptionPositionsLog!$A$2:$K796, ""SELECT I WHERE B = '"" &amp; $B74  &amp; ""' ORDER BY A DESC LIMIT 1""), 0)"),0.0)</f>
        <v>0</v>
      </c>
      <c r="X74" s="140">
        <f>IFERROR(__xludf.DUMMYFUNCTION("IF(ISBLANK($M74), QUERY(OptionPositionsLog!$A$2:$K796, ""SELECT J WHERE B = '"" &amp; $B74  &amp; ""' ORDER BY A DESC LIMIT 1""), 0)"),0.0)</f>
        <v>0</v>
      </c>
      <c r="Y74" s="140" t="str">
        <f>IFERROR(__xludf.DUMMYFUNCTION("IF(ISBLANK($M74), QUERY(OptionPositionsLog!$A$2:$K796, ""SELECT D WHERE B = '"" &amp; $B74  &amp; ""' ORDER BY A DESC LIMIT 1"")*100, """")"),"")</f>
        <v/>
      </c>
      <c r="Z74" s="148">
        <f>IFERROR(__xludf.DUMMYFUNCTION("QUERY(OptionPositionsLog, ""SELECT K WHERE B = '"" &amp; $B74  &amp; ""' ORDER BY K DESC LIMIT 1"")"),10.12)</f>
        <v>10.12</v>
      </c>
      <c r="AA74" s="154">
        <f t="shared" si="11"/>
        <v>100</v>
      </c>
      <c r="AB74" s="155" t="str">
        <f t="shared" si="8"/>
        <v/>
      </c>
      <c r="AC74" s="153">
        <f t="shared" si="9"/>
        <v>-158.0928854</v>
      </c>
      <c r="AD74" s="31"/>
    </row>
    <row r="75" ht="22.5" customHeight="1">
      <c r="A75" s="3" t="s">
        <v>254</v>
      </c>
      <c r="B75" s="144" t="s">
        <v>530</v>
      </c>
      <c r="C75" s="145">
        <v>46050.0</v>
      </c>
      <c r="D75" s="145">
        <v>46073.0</v>
      </c>
      <c r="E75" s="145">
        <v>46073.0</v>
      </c>
      <c r="F75" s="146">
        <v>1.0</v>
      </c>
      <c r="G75" s="15" t="s">
        <v>459</v>
      </c>
      <c r="H75" s="46">
        <v>95.0</v>
      </c>
      <c r="I75" s="15">
        <v>0.39049</v>
      </c>
      <c r="J75" s="30">
        <v>1.0</v>
      </c>
      <c r="K75" s="147">
        <v>100.0</v>
      </c>
      <c r="L75" s="148">
        <f>IFERROR(__xludf.DUMMYFUNCTION("QUERY(OptionPositionsLog, ""SELECT E WHERE B = '"" &amp; $B75  &amp; ""' ORDER BY A DESC LIMIT 1"")"),0.26)</f>
        <v>0.26</v>
      </c>
      <c r="M75" s="30">
        <v>0.0</v>
      </c>
      <c r="N75" s="140">
        <f t="shared" si="1"/>
        <v>26</v>
      </c>
      <c r="O75" s="140">
        <f t="shared" si="2"/>
        <v>0</v>
      </c>
      <c r="P75" s="149">
        <f t="shared" si="3"/>
        <v>0</v>
      </c>
      <c r="Q75" s="138" t="str">
        <f t="shared" si="4"/>
        <v/>
      </c>
      <c r="R75" s="150">
        <f t="shared" si="5"/>
        <v>-40.049</v>
      </c>
      <c r="S75" s="140">
        <f t="shared" si="6"/>
        <v>-100</v>
      </c>
      <c r="T75" s="140">
        <f>IFERROR(__xludf.DUMMYFUNCTION("IF(ISBLANK($M75), QUERY(OptionPositionsLog!$A$2:$K796, ""SELECT F WHERE B = '"" &amp; $B75  &amp; ""' ORDER BY A DESC LIMIT 1""), 0)"),0.0)</f>
        <v>0</v>
      </c>
      <c r="U75" s="140">
        <f>IFERROR(__xludf.DUMMYFUNCTION("IF(ISBLANK($M75), QUERY(OptionPositionsLog!$A$2:$K796, ""SELECT G WHERE B = '"" &amp; $B75  &amp; ""' ORDER BY A DESC LIMIT 1"")*F75, 0)"),0.0)</f>
        <v>0</v>
      </c>
      <c r="V75" s="140">
        <f>IFERROR(__xludf.DUMMYFUNCTION("IF(ISBLANK($M75), QUERY(OptionPositionsLog!$A$2:$K796, ""SELECT H WHERE B = '"" &amp; $B75  &amp; ""' ORDER BY A DESC LIMIT 1"")*F75, 0)"),0.0)</f>
        <v>0</v>
      </c>
      <c r="W75" s="140">
        <f>IFERROR(__xludf.DUMMYFUNCTION("IF(ISBLANK($M75), QUERY(OptionPositionsLog!$A$2:$K796, ""SELECT I WHERE B = '"" &amp; $B75  &amp; ""' ORDER BY A DESC LIMIT 1""), 0)"),0.0)</f>
        <v>0</v>
      </c>
      <c r="X75" s="140">
        <f>IFERROR(__xludf.DUMMYFUNCTION("IF(ISBLANK($M75), QUERY(OptionPositionsLog!$A$2:$K796, ""SELECT J WHERE B = '"" &amp; $B75  &amp; ""' ORDER BY A DESC LIMIT 1""), 0)"),0.0)</f>
        <v>0</v>
      </c>
      <c r="Y75" s="140" t="str">
        <f>IFERROR(__xludf.DUMMYFUNCTION("IF(ISBLANK($M75), QUERY(OptionPositionsLog!$A$2:$K796, ""SELECT D WHERE B = '"" &amp; $B75  &amp; ""' ORDER BY A DESC LIMIT 1"")*100, """")"),"")</f>
        <v/>
      </c>
      <c r="Z75" s="148">
        <f>IFERROR(__xludf.DUMMYFUNCTION("QUERY(OptionPositionsLog, ""SELECT K WHERE B = '"" &amp; $B75  &amp; ""' ORDER BY K DESC LIMIT 1"")"),70.02)</f>
        <v>70.02</v>
      </c>
      <c r="AA75" s="154">
        <f t="shared" si="11"/>
        <v>100</v>
      </c>
      <c r="AB75" s="155" t="str">
        <f t="shared" si="8"/>
        <v/>
      </c>
      <c r="AC75" s="153">
        <f t="shared" si="9"/>
        <v>-57.19651528</v>
      </c>
      <c r="AD75" s="31"/>
    </row>
    <row r="76" ht="22.5" customHeight="1">
      <c r="A76" s="3" t="s">
        <v>266</v>
      </c>
      <c r="B76" s="144" t="s">
        <v>531</v>
      </c>
      <c r="C76" s="145">
        <v>46050.0</v>
      </c>
      <c r="D76" s="145">
        <v>46101.0</v>
      </c>
      <c r="E76" s="15" t="s">
        <v>516</v>
      </c>
      <c r="F76" s="146">
        <v>-1.0</v>
      </c>
      <c r="G76" s="15" t="s">
        <v>455</v>
      </c>
      <c r="H76" s="46">
        <v>75.0</v>
      </c>
      <c r="I76" s="15">
        <v>0.92748</v>
      </c>
      <c r="J76" s="30">
        <v>1.0</v>
      </c>
      <c r="K76" s="147">
        <v>100.0</v>
      </c>
      <c r="L76" s="148">
        <f>IFERROR(__xludf.DUMMYFUNCTION("QUERY(OptionPositionsLog, ""SELECT E WHERE B = '"" &amp; $B76  &amp; ""' ORDER BY A DESC LIMIT 1"")"),0.7)</f>
        <v>0.7</v>
      </c>
      <c r="M76" s="30">
        <v>0.48</v>
      </c>
      <c r="N76" s="140">
        <f t="shared" si="1"/>
        <v>70</v>
      </c>
      <c r="O76" s="140">
        <f t="shared" si="2"/>
        <v>0</v>
      </c>
      <c r="P76" s="149">
        <f t="shared" si="3"/>
        <v>0</v>
      </c>
      <c r="Q76" s="138" t="str">
        <f t="shared" si="4"/>
        <v/>
      </c>
      <c r="R76" s="150">
        <f t="shared" si="5"/>
        <v>43.748</v>
      </c>
      <c r="S76" s="140">
        <f t="shared" si="6"/>
        <v>50</v>
      </c>
      <c r="T76" s="140">
        <f>IFERROR(__xludf.DUMMYFUNCTION("IF(ISBLANK($M76), QUERY(OptionPositionsLog!$A$2:$K796, ""SELECT F WHERE B = '"" &amp; $B76  &amp; ""' ORDER BY A DESC LIMIT 1""), 0)"),0.0)</f>
        <v>0</v>
      </c>
      <c r="U76" s="140">
        <f>IFERROR(__xludf.DUMMYFUNCTION("IF(ISBLANK($M76), QUERY(OptionPositionsLog!$A$2:$K796, ""SELECT G WHERE B = '"" &amp; $B76  &amp; ""' ORDER BY A DESC LIMIT 1"")*F76, 0)"),0.0)</f>
        <v>0</v>
      </c>
      <c r="V76" s="140">
        <f>IFERROR(__xludf.DUMMYFUNCTION("IF(ISBLANK($M76), QUERY(OptionPositionsLog!$A$2:$K796, ""SELECT H WHERE B = '"" &amp; $B76  &amp; ""' ORDER BY A DESC LIMIT 1"")*F76, 0)"),0.0)</f>
        <v>0</v>
      </c>
      <c r="W76" s="140">
        <f>IFERROR(__xludf.DUMMYFUNCTION("IF(ISBLANK($M76), QUERY(OptionPositionsLog!$A$2:$K796, ""SELECT I WHERE B = '"" &amp; $B76  &amp; ""' ORDER BY A DESC LIMIT 1""), 0)"),0.0)</f>
        <v>0</v>
      </c>
      <c r="X76" s="140">
        <f>IFERROR(__xludf.DUMMYFUNCTION("IF(ISBLANK($M76), QUERY(OptionPositionsLog!$A$2:$K796, ""SELECT J WHERE B = '"" &amp; $B76  &amp; ""' ORDER BY A DESC LIMIT 1""), 0)"),0.0)</f>
        <v>0</v>
      </c>
      <c r="Y76" s="140" t="str">
        <f>IFERROR(__xludf.DUMMYFUNCTION("IF(ISBLANK($M76), QUERY(OptionPositionsLog!$A$2:$K796, ""SELECT D WHERE B = '"" &amp; $B76  &amp; ""' ORDER BY A DESC LIMIT 1"")*100, """")"),"")</f>
        <v/>
      </c>
      <c r="Z76" s="148">
        <f>IFERROR(__xludf.DUMMYFUNCTION("QUERY(OptionPositionsLog, ""SELECT K WHERE B = '"" &amp; $B76  &amp; ""' ORDER BY K DESC LIMIT 1"")"),84.56)</f>
        <v>84.56</v>
      </c>
      <c r="AA76" s="154">
        <f t="shared" si="11"/>
        <v>-90294.11765</v>
      </c>
      <c r="AB76" s="155" t="str">
        <f t="shared" si="8"/>
        <v/>
      </c>
      <c r="AC76" s="153">
        <f t="shared" si="9"/>
        <v>51.73604541</v>
      </c>
      <c r="AD76" s="31"/>
    </row>
    <row r="77" ht="22.5" customHeight="1">
      <c r="A77" s="3" t="s">
        <v>266</v>
      </c>
      <c r="B77" s="144" t="s">
        <v>532</v>
      </c>
      <c r="C77" s="145">
        <v>46050.0</v>
      </c>
      <c r="D77" s="145">
        <v>46101.0</v>
      </c>
      <c r="E77" s="145">
        <v>46059.0</v>
      </c>
      <c r="F77" s="146">
        <v>1.0</v>
      </c>
      <c r="G77" s="15" t="s">
        <v>455</v>
      </c>
      <c r="H77" s="46">
        <v>80.0</v>
      </c>
      <c r="I77" s="15">
        <v>1.80249</v>
      </c>
      <c r="J77" s="30">
        <v>1.0</v>
      </c>
      <c r="K77" s="147">
        <v>100.0</v>
      </c>
      <c r="L77" s="148">
        <f>IFERROR(__xludf.DUMMYFUNCTION("QUERY(OptionPositionsLog, ""SELECT E WHERE B = '"" &amp; $B77  &amp; ""' ORDER BY A DESC LIMIT 1"")"),0.4)</f>
        <v>0.4</v>
      </c>
      <c r="M77" s="30"/>
      <c r="N77" s="140">
        <f t="shared" si="1"/>
        <v>40</v>
      </c>
      <c r="O77" s="140">
        <f t="shared" si="2"/>
        <v>-1.40249</v>
      </c>
      <c r="P77" s="149">
        <f t="shared" si="3"/>
        <v>-140.249</v>
      </c>
      <c r="Q77" s="138">
        <f t="shared" si="4"/>
        <v>-78</v>
      </c>
      <c r="R77" s="150">
        <f t="shared" si="5"/>
        <v>0</v>
      </c>
      <c r="S77" s="140">
        <f t="shared" si="6"/>
        <v>0</v>
      </c>
      <c r="T77" s="140">
        <f>IFERROR(__xludf.DUMMYFUNCTION("IF(ISBLANK($M77), QUERY(OptionPositionsLog!$A$2:$K796, ""SELECT F WHERE B = '"" &amp; $B77  &amp; ""' ORDER BY A DESC LIMIT 1""), 0)"),0.4)</f>
        <v>0.4</v>
      </c>
      <c r="U77" s="140">
        <f>IFERROR(__xludf.DUMMYFUNCTION("IF(ISBLANK($M77), QUERY(OptionPositionsLog!$A$2:$K796, ""SELECT G WHERE B = '"" &amp; $B77  &amp; ""' ORDER BY A DESC LIMIT 1"")*F77, 0)"),-0.05364835)</f>
        <v>-0.05364835</v>
      </c>
      <c r="V77" s="140">
        <f>IFERROR(__xludf.DUMMYFUNCTION("IF(ISBLANK($M77), QUERY(OptionPositionsLog!$A$2:$K796, ""SELECT H WHERE B = '"" &amp; $B77  &amp; ""' ORDER BY A DESC LIMIT 1"")*F77, 0)"),-0.04280067)</f>
        <v>-0.04280067</v>
      </c>
      <c r="W77" s="140">
        <f>IFERROR(__xludf.DUMMYFUNCTION("IF(ISBLANK($M77), QUERY(OptionPositionsLog!$A$2:$K796, ""SELECT I WHERE B = '"" &amp; $B77  &amp; ""' ORDER BY A DESC LIMIT 1""), 0)"),0.01267874)</f>
        <v>0.01267874</v>
      </c>
      <c r="X77" s="140">
        <f>IFERROR(__xludf.DUMMYFUNCTION("IF(ISBLANK($M77), QUERY(OptionPositionsLog!$A$2:$K796, ""SELECT J WHERE B = '"" &amp; $B77  &amp; ""' ORDER BY A DESC LIMIT 1""), 0)"),0.0189034)</f>
        <v>0.0189034</v>
      </c>
      <c r="Y77" s="140">
        <f>IFERROR(__xludf.DUMMYFUNCTION("IF(ISBLANK($M77), QUERY(OptionPositionsLog!$A$2:$K796, ""SELECT D WHERE B = '"" &amp; $B77  &amp; ""' ORDER BY A DESC LIMIT 1"")*100, """")"),56.99999999999999)</f>
        <v>57</v>
      </c>
      <c r="Z77" s="148">
        <f>IFERROR(__xludf.DUMMYFUNCTION("QUERY(OptionPositionsLog, ""SELECT K WHERE B = '"" &amp; $B77  &amp; ""' ORDER BY K DESC LIMIT 1"")"),563.03)</f>
        <v>563.03</v>
      </c>
      <c r="AA77" s="154">
        <f t="shared" si="11"/>
        <v>17.64705882</v>
      </c>
      <c r="AB77" s="155">
        <f t="shared" si="8"/>
        <v>-0.2262443439</v>
      </c>
      <c r="AC77" s="153">
        <f t="shared" si="9"/>
        <v>0</v>
      </c>
      <c r="AD77" s="31"/>
    </row>
    <row r="78" ht="22.5" customHeight="1">
      <c r="A78" s="3" t="s">
        <v>259</v>
      </c>
      <c r="B78" s="144" t="s">
        <v>533</v>
      </c>
      <c r="C78" s="145">
        <v>46050.0</v>
      </c>
      <c r="D78" s="145">
        <v>46073.0</v>
      </c>
      <c r="E78" s="145">
        <v>46066.0</v>
      </c>
      <c r="F78" s="146">
        <v>1.0</v>
      </c>
      <c r="G78" s="15" t="s">
        <v>459</v>
      </c>
      <c r="H78" s="46">
        <v>87.5</v>
      </c>
      <c r="I78" s="15">
        <v>0.24049</v>
      </c>
      <c r="J78" s="30">
        <v>1.0</v>
      </c>
      <c r="K78" s="147">
        <v>100.0</v>
      </c>
      <c r="L78" s="148">
        <f>IFERROR(__xludf.DUMMYFUNCTION("QUERY(OptionPositionsLog, ""SELECT E WHERE B = '"" &amp; $B78  &amp; ""' ORDER BY A DESC LIMIT 1"")"),2.6)</f>
        <v>2.6</v>
      </c>
      <c r="M78" s="30">
        <v>2.3</v>
      </c>
      <c r="N78" s="140">
        <f t="shared" si="1"/>
        <v>260</v>
      </c>
      <c r="O78" s="140">
        <f t="shared" si="2"/>
        <v>0</v>
      </c>
      <c r="P78" s="149">
        <f t="shared" si="3"/>
        <v>0</v>
      </c>
      <c r="Q78" s="138" t="str">
        <f t="shared" si="4"/>
        <v/>
      </c>
      <c r="R78" s="150">
        <f t="shared" si="5"/>
        <v>204.951</v>
      </c>
      <c r="S78" s="140">
        <f t="shared" si="6"/>
        <v>850</v>
      </c>
      <c r="T78" s="140">
        <f>IFERROR(__xludf.DUMMYFUNCTION("IF(ISBLANK($M78), QUERY(OptionPositionsLog!$A$2:$K796, ""SELECT F WHERE B = '"" &amp; $B78  &amp; ""' ORDER BY A DESC LIMIT 1""), 0)"),0.0)</f>
        <v>0</v>
      </c>
      <c r="U78" s="140">
        <f>IFERROR(__xludf.DUMMYFUNCTION("IF(ISBLANK($M78), QUERY(OptionPositionsLog!$A$2:$K796, ""SELECT G WHERE B = '"" &amp; $B78  &amp; ""' ORDER BY A DESC LIMIT 1"")*F78, 0)"),0.0)</f>
        <v>0</v>
      </c>
      <c r="V78" s="140">
        <f>IFERROR(__xludf.DUMMYFUNCTION("IF(ISBLANK($M78), QUERY(OptionPositionsLog!$A$2:$K796, ""SELECT H WHERE B = '"" &amp; $B78  &amp; ""' ORDER BY A DESC LIMIT 1"")*F78, 0)"),0.0)</f>
        <v>0</v>
      </c>
      <c r="W78" s="140">
        <f>IFERROR(__xludf.DUMMYFUNCTION("IF(ISBLANK($M78), QUERY(OptionPositionsLog!$A$2:$K796, ""SELECT I WHERE B = '"" &amp; $B78  &amp; ""' ORDER BY A DESC LIMIT 1""), 0)"),0.0)</f>
        <v>0</v>
      </c>
      <c r="X78" s="140">
        <f>IFERROR(__xludf.DUMMYFUNCTION("IF(ISBLANK($M78), QUERY(OptionPositionsLog!$A$2:$K796, ""SELECT J WHERE B = '"" &amp; $B78  &amp; ""' ORDER BY A DESC LIMIT 1""), 0)"),0.0)</f>
        <v>0</v>
      </c>
      <c r="Y78" s="140" t="str">
        <f>IFERROR(__xludf.DUMMYFUNCTION("IF(ISBLANK($M78), QUERY(OptionPositionsLog!$A$2:$K796, ""SELECT D WHERE B = '"" &amp; $B78  &amp; ""' ORDER BY A DESC LIMIT 1"")*100, """")"),"")</f>
        <v/>
      </c>
      <c r="Z78" s="148">
        <f>IFERROR(__xludf.DUMMYFUNCTION("QUERY(OptionPositionsLog, ""SELECT K WHERE B = '"" &amp; $B78  &amp; ""' ORDER BY K DESC LIMIT 1"")"),231.5)</f>
        <v>231.5</v>
      </c>
      <c r="AA78" s="154">
        <f t="shared" si="11"/>
        <v>69.56521739</v>
      </c>
      <c r="AB78" s="155" t="str">
        <f t="shared" si="8"/>
        <v/>
      </c>
      <c r="AC78" s="153">
        <f t="shared" si="9"/>
        <v>88.53174946</v>
      </c>
      <c r="AD78" s="31"/>
    </row>
    <row r="79" ht="22.5" customHeight="1">
      <c r="A79" s="3" t="s">
        <v>276</v>
      </c>
      <c r="B79" s="144" t="s">
        <v>534</v>
      </c>
      <c r="C79" s="145">
        <v>46051.0</v>
      </c>
      <c r="D79" s="145">
        <v>46101.0</v>
      </c>
      <c r="E79" s="145">
        <v>46056.0</v>
      </c>
      <c r="F79" s="146">
        <v>-1.0</v>
      </c>
      <c r="G79" s="15" t="s">
        <v>459</v>
      </c>
      <c r="H79" s="46">
        <v>890.0</v>
      </c>
      <c r="I79" s="15">
        <v>2.62298</v>
      </c>
      <c r="J79" s="30">
        <v>1.0</v>
      </c>
      <c r="K79" s="147">
        <v>100.0</v>
      </c>
      <c r="L79" s="148">
        <f>IFERROR(__xludf.DUMMYFUNCTION("QUERY(OptionPositionsLog, ""SELECT E WHERE B = '"" &amp; $B79  &amp; ""' ORDER BY A DESC LIMIT 1"")"),0.85)</f>
        <v>0.85</v>
      </c>
      <c r="M79" s="30">
        <v>0.72</v>
      </c>
      <c r="N79" s="140">
        <f t="shared" si="1"/>
        <v>85</v>
      </c>
      <c r="O79" s="140">
        <f t="shared" si="2"/>
        <v>0</v>
      </c>
      <c r="P79" s="149">
        <f t="shared" si="3"/>
        <v>0</v>
      </c>
      <c r="Q79" s="138" t="str">
        <f t="shared" si="4"/>
        <v/>
      </c>
      <c r="R79" s="150">
        <f t="shared" si="5"/>
        <v>189.298</v>
      </c>
      <c r="S79" s="140">
        <f t="shared" si="6"/>
        <v>70</v>
      </c>
      <c r="T79" s="140">
        <f>IFERROR(__xludf.DUMMYFUNCTION("IF(ISBLANK($M79), QUERY(OptionPositionsLog!$A$2:$K796, ""SELECT F WHERE B = '"" &amp; $B79  &amp; ""' ORDER BY A DESC LIMIT 1""), 0)"),0.0)</f>
        <v>0</v>
      </c>
      <c r="U79" s="140">
        <f>IFERROR(__xludf.DUMMYFUNCTION("IF(ISBLANK($M79), QUERY(OptionPositionsLog!$A$2:$K796, ""SELECT G WHERE B = '"" &amp; $B79  &amp; ""' ORDER BY A DESC LIMIT 1"")*F79, 0)"),0.0)</f>
        <v>0</v>
      </c>
      <c r="V79" s="140">
        <f>IFERROR(__xludf.DUMMYFUNCTION("IF(ISBLANK($M79), QUERY(OptionPositionsLog!$A$2:$K796, ""SELECT H WHERE B = '"" &amp; $B79  &amp; ""' ORDER BY A DESC LIMIT 1"")*F79, 0)"),0.0)</f>
        <v>0</v>
      </c>
      <c r="W79" s="140">
        <f>IFERROR(__xludf.DUMMYFUNCTION("IF(ISBLANK($M79), QUERY(OptionPositionsLog!$A$2:$K796, ""SELECT I WHERE B = '"" &amp; $B79  &amp; ""' ORDER BY A DESC LIMIT 1""), 0)"),0.0)</f>
        <v>0</v>
      </c>
      <c r="X79" s="140">
        <f>IFERROR(__xludf.DUMMYFUNCTION("IF(ISBLANK($M79), QUERY(OptionPositionsLog!$A$2:$K796, ""SELECT J WHERE B = '"" &amp; $B79  &amp; ""' ORDER BY A DESC LIMIT 1""), 0)"),0.0)</f>
        <v>0</v>
      </c>
      <c r="Y79" s="140" t="str">
        <f>IFERROR(__xludf.DUMMYFUNCTION("IF(ISBLANK($M79), QUERY(OptionPositionsLog!$A$2:$K796, ""SELECT D WHERE B = '"" &amp; $B79  &amp; ""' ORDER BY A DESC LIMIT 1"")*100, """")"),"")</f>
        <v/>
      </c>
      <c r="Z79" s="148">
        <f>IFERROR(__xludf.DUMMYFUNCTION("QUERY(OptionPositionsLog, ""SELECT K WHERE B = '"" &amp; $B79  &amp; ""' ORDER BY K DESC LIMIT 1"")"),27.61)</f>
        <v>27.61</v>
      </c>
      <c r="AA79" s="154">
        <f t="shared" si="11"/>
        <v>10</v>
      </c>
      <c r="AB79" s="155" t="str">
        <f t="shared" si="8"/>
        <v/>
      </c>
      <c r="AC79" s="153">
        <f t="shared" si="9"/>
        <v>685.613908</v>
      </c>
      <c r="AD79" s="31"/>
    </row>
    <row r="80" ht="22.5" customHeight="1">
      <c r="A80" s="129" t="s">
        <v>276</v>
      </c>
      <c r="B80" s="130" t="s">
        <v>535</v>
      </c>
      <c r="C80" s="145">
        <v>46051.0</v>
      </c>
      <c r="D80" s="131">
        <v>46101.0</v>
      </c>
      <c r="E80" s="131">
        <v>46062.0</v>
      </c>
      <c r="F80" s="132">
        <v>-1.0</v>
      </c>
      <c r="G80" s="30" t="s">
        <v>455</v>
      </c>
      <c r="H80" s="133">
        <v>610.0</v>
      </c>
      <c r="I80" s="30">
        <v>3.18298</v>
      </c>
      <c r="J80" s="30">
        <v>1.0</v>
      </c>
      <c r="K80" s="147">
        <v>100.0</v>
      </c>
      <c r="L80" s="148">
        <f>IFERROR(__xludf.DUMMYFUNCTION("QUERY(OptionPositionsLog, ""SELECT E WHERE B = '"" &amp; $B80  &amp; ""' ORDER BY A DESC LIMIT 1"")"),10.35)</f>
        <v>10.35</v>
      </c>
      <c r="M80" s="30">
        <v>6.27</v>
      </c>
      <c r="N80" s="140">
        <f t="shared" si="1"/>
        <v>1035</v>
      </c>
      <c r="O80" s="140">
        <f t="shared" si="2"/>
        <v>0</v>
      </c>
      <c r="P80" s="149">
        <f t="shared" si="3"/>
        <v>0</v>
      </c>
      <c r="Q80" s="138" t="str">
        <f t="shared" si="4"/>
        <v/>
      </c>
      <c r="R80" s="150">
        <f t="shared" si="5"/>
        <v>-309.702</v>
      </c>
      <c r="S80" s="140">
        <f t="shared" si="6"/>
        <v>-100</v>
      </c>
      <c r="T80" s="140">
        <f>IFERROR(__xludf.DUMMYFUNCTION("IF(ISBLANK($M80), QUERY(OptionPositionsLog!$A$2:$K796, ""SELECT F WHERE B = '"" &amp; $B80  &amp; ""' ORDER BY A DESC LIMIT 1""), 0)"),0.0)</f>
        <v>0</v>
      </c>
      <c r="U80" s="140">
        <f>IFERROR(__xludf.DUMMYFUNCTION("IF(ISBLANK($M80), QUERY(OptionPositionsLog!$A$2:$K796, ""SELECT G WHERE B = '"" &amp; $B80  &amp; ""' ORDER BY A DESC LIMIT 1"")*F80, 0)"),0.0)</f>
        <v>0</v>
      </c>
      <c r="V80" s="140">
        <f>IFERROR(__xludf.DUMMYFUNCTION("IF(ISBLANK($M80), QUERY(OptionPositionsLog!$A$2:$K796, ""SELECT H WHERE B = '"" &amp; $B80  &amp; ""' ORDER BY A DESC LIMIT 1"")*F80, 0)"),0.0)</f>
        <v>0</v>
      </c>
      <c r="W80" s="140">
        <f>IFERROR(__xludf.DUMMYFUNCTION("IF(ISBLANK($M80), QUERY(OptionPositionsLog!$A$2:$K796, ""SELECT I WHERE B = '"" &amp; $B80  &amp; ""' ORDER BY A DESC LIMIT 1""), 0)"),0.0)</f>
        <v>0</v>
      </c>
      <c r="X80" s="140">
        <f>IFERROR(__xludf.DUMMYFUNCTION("IF(ISBLANK($M80), QUERY(OptionPositionsLog!$A$2:$K796, ""SELECT J WHERE B = '"" &amp; $B80  &amp; ""' ORDER BY A DESC LIMIT 1""), 0)"),0.0)</f>
        <v>0</v>
      </c>
      <c r="Y80" s="140" t="str">
        <f>IFERROR(__xludf.DUMMYFUNCTION("IF(ISBLANK($M80), QUERY(OptionPositionsLog!$A$2:$K796, ""SELECT D WHERE B = '"" &amp; $B80  &amp; ""' ORDER BY A DESC LIMIT 1"")*100, """")"),"")</f>
        <v/>
      </c>
      <c r="Z80" s="148">
        <f>IFERROR(__xludf.DUMMYFUNCTION("QUERY(OptionPositionsLog, ""SELECT K WHERE B = '"" &amp; $B80  &amp; ""' ORDER BY K DESC LIMIT 1"")"),2998.75)</f>
        <v>2998.75</v>
      </c>
      <c r="AA80" s="154">
        <f t="shared" si="11"/>
        <v>22</v>
      </c>
      <c r="AB80" s="155" t="str">
        <f t="shared" si="8"/>
        <v/>
      </c>
      <c r="AC80" s="153">
        <f t="shared" si="9"/>
        <v>-10.32770321</v>
      </c>
      <c r="AD80" s="31"/>
    </row>
    <row r="81" ht="22.5" customHeight="1">
      <c r="A81" s="129" t="s">
        <v>286</v>
      </c>
      <c r="B81" s="130" t="s">
        <v>536</v>
      </c>
      <c r="C81" s="131">
        <v>46052.0</v>
      </c>
      <c r="D81" s="131">
        <v>46101.0</v>
      </c>
      <c r="E81" s="131">
        <v>46079.0</v>
      </c>
      <c r="F81" s="132">
        <v>1.0</v>
      </c>
      <c r="G81" s="30" t="s">
        <v>459</v>
      </c>
      <c r="H81" s="133">
        <v>27.0</v>
      </c>
      <c r="I81" s="30">
        <v>0.49049</v>
      </c>
      <c r="J81" s="30">
        <v>1.0</v>
      </c>
      <c r="K81" s="147">
        <v>100.0</v>
      </c>
      <c r="L81" s="148">
        <f>IFERROR(__xludf.DUMMYFUNCTION("QUERY(OptionPositionsLog, ""SELECT E WHERE B = '"" &amp; $B81  &amp; ""' ORDER BY A DESC LIMIT 1"")"),1.59)</f>
        <v>1.59</v>
      </c>
      <c r="M81" s="30">
        <v>1.2</v>
      </c>
      <c r="N81" s="140">
        <f t="shared" si="1"/>
        <v>159</v>
      </c>
      <c r="O81" s="140">
        <f t="shared" si="2"/>
        <v>0</v>
      </c>
      <c r="P81" s="149">
        <f t="shared" si="3"/>
        <v>0</v>
      </c>
      <c r="Q81" s="138" t="str">
        <f t="shared" si="4"/>
        <v/>
      </c>
      <c r="R81" s="150">
        <f t="shared" si="5"/>
        <v>69.951</v>
      </c>
      <c r="S81" s="140">
        <f t="shared" si="6"/>
        <v>140</v>
      </c>
      <c r="T81" s="140">
        <f>IFERROR(__xludf.DUMMYFUNCTION("IF(ISBLANK($M81), QUERY(OptionPositionsLog!$A$2:$K796, ""SELECT F WHERE B = '"" &amp; $B81  &amp; ""' ORDER BY A DESC LIMIT 1""), 0)"),0.0)</f>
        <v>0</v>
      </c>
      <c r="U81" s="140">
        <f>IFERROR(__xludf.DUMMYFUNCTION("IF(ISBLANK($M81), QUERY(OptionPositionsLog!$A$2:$K796, ""SELECT G WHERE B = '"" &amp; $B81  &amp; ""' ORDER BY A DESC LIMIT 1"")*F81, 0)"),0.0)</f>
        <v>0</v>
      </c>
      <c r="V81" s="140">
        <f>IFERROR(__xludf.DUMMYFUNCTION("IF(ISBLANK($M81), QUERY(OptionPositionsLog!$A$2:$K796, ""SELECT H WHERE B = '"" &amp; $B81  &amp; ""' ORDER BY A DESC LIMIT 1"")*F81, 0)"),0.0)</f>
        <v>0</v>
      </c>
      <c r="W81" s="140">
        <f>IFERROR(__xludf.DUMMYFUNCTION("IF(ISBLANK($M81), QUERY(OptionPositionsLog!$A$2:$K796, ""SELECT I WHERE B = '"" &amp; $B81  &amp; ""' ORDER BY A DESC LIMIT 1""), 0)"),0.0)</f>
        <v>0</v>
      </c>
      <c r="X81" s="140">
        <f>IFERROR(__xludf.DUMMYFUNCTION("IF(ISBLANK($M81), QUERY(OptionPositionsLog!$A$2:$K796, ""SELECT J WHERE B = '"" &amp; $B81  &amp; ""' ORDER BY A DESC LIMIT 1""), 0)"),0.0)</f>
        <v>0</v>
      </c>
      <c r="Y81" s="140" t="str">
        <f>IFERROR(__xludf.DUMMYFUNCTION("IF(ISBLANK($M81), QUERY(OptionPositionsLog!$A$2:$K796, ""SELECT D WHERE B = '"" &amp; $B81  &amp; ""' ORDER BY A DESC LIMIT 1"")*100, """")"),"")</f>
        <v/>
      </c>
      <c r="Z81" s="148">
        <f>IFERROR(__xludf.DUMMYFUNCTION("QUERY(OptionPositionsLog, ""SELECT K WHERE B = '"" &amp; $B81  &amp; ""' ORDER BY K DESC LIMIT 1"")"),152.15)</f>
        <v>152.15</v>
      </c>
      <c r="AA81" s="154">
        <f t="shared" si="11"/>
        <v>55.10204082</v>
      </c>
      <c r="AB81" s="155" t="str">
        <f t="shared" si="8"/>
        <v/>
      </c>
      <c r="AC81" s="153">
        <f t="shared" si="9"/>
        <v>45.97502465</v>
      </c>
      <c r="AD81" s="31"/>
    </row>
    <row r="82" ht="22.5" customHeight="1">
      <c r="A82" s="129" t="s">
        <v>283</v>
      </c>
      <c r="B82" s="130" t="s">
        <v>537</v>
      </c>
      <c r="C82" s="131">
        <v>46052.0</v>
      </c>
      <c r="D82" s="131">
        <v>46101.0</v>
      </c>
      <c r="E82" s="131">
        <v>46063.0</v>
      </c>
      <c r="F82" s="132">
        <v>1.0</v>
      </c>
      <c r="G82" s="30" t="s">
        <v>455</v>
      </c>
      <c r="H82" s="133">
        <v>200.0</v>
      </c>
      <c r="I82" s="30">
        <v>0.75249</v>
      </c>
      <c r="J82" s="30">
        <v>1.0</v>
      </c>
      <c r="K82" s="147">
        <v>100.0</v>
      </c>
      <c r="L82" s="148">
        <f>IFERROR(__xludf.DUMMYFUNCTION("QUERY(OptionPositionsLog, ""SELECT E WHERE B = '"" &amp; $B82  &amp; ""' ORDER BY A DESC LIMIT 1"")"),0.7)</f>
        <v>0.7</v>
      </c>
      <c r="M82" s="30">
        <v>0.41</v>
      </c>
      <c r="N82" s="140">
        <f t="shared" si="1"/>
        <v>70</v>
      </c>
      <c r="O82" s="140">
        <f t="shared" si="2"/>
        <v>0</v>
      </c>
      <c r="P82" s="149">
        <f t="shared" si="3"/>
        <v>0</v>
      </c>
      <c r="Q82" s="138" t="str">
        <f t="shared" si="4"/>
        <v/>
      </c>
      <c r="R82" s="150">
        <f t="shared" si="5"/>
        <v>-35.249</v>
      </c>
      <c r="S82" s="140">
        <f t="shared" si="6"/>
        <v>-50</v>
      </c>
      <c r="T82" s="140">
        <f>IFERROR(__xludf.DUMMYFUNCTION("IF(ISBLANK($M82), QUERY(OptionPositionsLog!$A$2:$K796, ""SELECT F WHERE B = '"" &amp; $B82  &amp; ""' ORDER BY A DESC LIMIT 1""), 0)"),0.0)</f>
        <v>0</v>
      </c>
      <c r="U82" s="140">
        <f>IFERROR(__xludf.DUMMYFUNCTION("IF(ISBLANK($M82), QUERY(OptionPositionsLog!$A$2:$K796, ""SELECT G WHERE B = '"" &amp; $B82  &amp; ""' ORDER BY A DESC LIMIT 1"")*F82, 0)"),0.0)</f>
        <v>0</v>
      </c>
      <c r="V82" s="140">
        <f>IFERROR(__xludf.DUMMYFUNCTION("IF(ISBLANK($M82), QUERY(OptionPositionsLog!$A$2:$K796, ""SELECT H WHERE B = '"" &amp; $B82  &amp; ""' ORDER BY A DESC LIMIT 1"")*F82, 0)"),0.0)</f>
        <v>0</v>
      </c>
      <c r="W82" s="140">
        <f>IFERROR(__xludf.DUMMYFUNCTION("IF(ISBLANK($M82), QUERY(OptionPositionsLog!$A$2:$K796, ""SELECT I WHERE B = '"" &amp; $B82  &amp; ""' ORDER BY A DESC LIMIT 1""), 0)"),0.0)</f>
        <v>0</v>
      </c>
      <c r="X82" s="140">
        <f>IFERROR(__xludf.DUMMYFUNCTION("IF(ISBLANK($M82), QUERY(OptionPositionsLog!$A$2:$K796, ""SELECT J WHERE B = '"" &amp; $B82  &amp; ""' ORDER BY A DESC LIMIT 1""), 0)"),0.0)</f>
        <v>0</v>
      </c>
      <c r="Y82" s="140" t="str">
        <f>IFERROR(__xludf.DUMMYFUNCTION("IF(ISBLANK($M82), QUERY(OptionPositionsLog!$A$2:$K796, ""SELECT D WHERE B = '"" &amp; $B82  &amp; ""' ORDER BY A DESC LIMIT 1"")*100, """")"),"")</f>
        <v/>
      </c>
      <c r="Z82" s="148">
        <f>IFERROR(__xludf.DUMMYFUNCTION("QUERY(OptionPositionsLog, ""SELECT K WHERE B = '"" &amp; $B82  &amp; ""' ORDER BY K DESC LIMIT 1"")"),9817.29)</f>
        <v>9817.29</v>
      </c>
      <c r="AA82" s="154">
        <f t="shared" si="11"/>
        <v>22.44897959</v>
      </c>
      <c r="AB82" s="155" t="str">
        <f t="shared" si="8"/>
        <v/>
      </c>
      <c r="AC82" s="153">
        <f t="shared" si="9"/>
        <v>-0.3590502063</v>
      </c>
      <c r="AD82" s="31"/>
    </row>
    <row r="83" ht="22.5" customHeight="1">
      <c r="A83" s="129" t="s">
        <v>283</v>
      </c>
      <c r="B83" s="130" t="s">
        <v>538</v>
      </c>
      <c r="C83" s="131">
        <v>46052.0</v>
      </c>
      <c r="D83" s="131">
        <v>46101.0</v>
      </c>
      <c r="E83" s="131">
        <v>46063.0</v>
      </c>
      <c r="F83" s="132">
        <v>-1.0</v>
      </c>
      <c r="G83" s="30" t="s">
        <v>455</v>
      </c>
      <c r="H83" s="133">
        <v>300.0</v>
      </c>
      <c r="I83" s="30">
        <v>5.11748</v>
      </c>
      <c r="J83" s="30">
        <v>1.0</v>
      </c>
      <c r="K83" s="147">
        <v>100.0</v>
      </c>
      <c r="L83" s="148">
        <f>IFERROR(__xludf.DUMMYFUNCTION("QUERY(OptionPositionsLog, ""SELECT E WHERE B = '"" &amp; $B83  &amp; ""' ORDER BY A DESC LIMIT 1"")"),3.39)</f>
        <v>3.39</v>
      </c>
      <c r="M83" s="30">
        <v>2.68</v>
      </c>
      <c r="N83" s="140">
        <f t="shared" si="1"/>
        <v>339</v>
      </c>
      <c r="O83" s="140">
        <f t="shared" si="2"/>
        <v>0</v>
      </c>
      <c r="P83" s="149">
        <f t="shared" si="3"/>
        <v>0</v>
      </c>
      <c r="Q83" s="138" t="str">
        <f t="shared" si="4"/>
        <v/>
      </c>
      <c r="R83" s="150">
        <f t="shared" si="5"/>
        <v>242.748</v>
      </c>
      <c r="S83" s="140">
        <f t="shared" si="6"/>
        <v>50</v>
      </c>
      <c r="T83" s="140">
        <f>IFERROR(__xludf.DUMMYFUNCTION("IF(ISBLANK($M83), QUERY(OptionPositionsLog!$A$2:$K796, ""SELECT F WHERE B = '"" &amp; $B83  &amp; ""' ORDER BY A DESC LIMIT 1""), 0)"),0.0)</f>
        <v>0</v>
      </c>
      <c r="U83" s="140">
        <f>IFERROR(__xludf.DUMMYFUNCTION("IF(ISBLANK($M83), QUERY(OptionPositionsLog!$A$2:$K796, ""SELECT G WHERE B = '"" &amp; $B83  &amp; ""' ORDER BY A DESC LIMIT 1"")*F83, 0)"),0.0)</f>
        <v>0</v>
      </c>
      <c r="V83" s="140">
        <f>IFERROR(__xludf.DUMMYFUNCTION("IF(ISBLANK($M83), QUERY(OptionPositionsLog!$A$2:$K796, ""SELECT H WHERE B = '"" &amp; $B83  &amp; ""' ORDER BY A DESC LIMIT 1"")*F83, 0)"),0.0)</f>
        <v>0</v>
      </c>
      <c r="W83" s="140">
        <f>IFERROR(__xludf.DUMMYFUNCTION("IF(ISBLANK($M83), QUERY(OptionPositionsLog!$A$2:$K796, ""SELECT I WHERE B = '"" &amp; $B83  &amp; ""' ORDER BY A DESC LIMIT 1""), 0)"),0.0)</f>
        <v>0</v>
      </c>
      <c r="X83" s="140">
        <f>IFERROR(__xludf.DUMMYFUNCTION("IF(ISBLANK($M83), QUERY(OptionPositionsLog!$A$2:$K796, ""SELECT J WHERE B = '"" &amp; $B83  &amp; ""' ORDER BY A DESC LIMIT 1""), 0)"),0.0)</f>
        <v>0</v>
      </c>
      <c r="Y83" s="140" t="str">
        <f>IFERROR(__xludf.DUMMYFUNCTION("IF(ISBLANK($M83), QUERY(OptionPositionsLog!$A$2:$K796, ""SELECT D WHERE B = '"" &amp; $B83  &amp; ""' ORDER BY A DESC LIMIT 1"")*100, """")"),"")</f>
        <v/>
      </c>
      <c r="Z83" s="148">
        <f>IFERROR(__xludf.DUMMYFUNCTION("QUERY(OptionPositionsLog, ""SELECT K WHERE B = '"" &amp; $B83  &amp; ""' ORDER BY K DESC LIMIT 1"")"),2571.55)</f>
        <v>2571.55</v>
      </c>
      <c r="AA83" s="154">
        <f t="shared" si="11"/>
        <v>22.44897959</v>
      </c>
      <c r="AB83" s="155" t="str">
        <f t="shared" si="8"/>
        <v/>
      </c>
      <c r="AC83" s="153">
        <f t="shared" si="9"/>
        <v>9.439754234</v>
      </c>
      <c r="AD83" s="31"/>
    </row>
    <row r="84" ht="22.5" customHeight="1">
      <c r="A84" s="129" t="s">
        <v>196</v>
      </c>
      <c r="B84" s="130" t="s">
        <v>539</v>
      </c>
      <c r="C84" s="131">
        <v>46052.0</v>
      </c>
      <c r="D84" s="131">
        <v>46073.0</v>
      </c>
      <c r="E84" s="131">
        <v>46065.0</v>
      </c>
      <c r="F84" s="132">
        <v>1.0</v>
      </c>
      <c r="G84" s="30" t="s">
        <v>459</v>
      </c>
      <c r="H84" s="133">
        <v>190.0</v>
      </c>
      <c r="I84" s="30">
        <v>0.62051</v>
      </c>
      <c r="J84" s="30">
        <v>1.0</v>
      </c>
      <c r="K84" s="147">
        <v>100.0</v>
      </c>
      <c r="L84" s="148">
        <f>IFERROR(__xludf.DUMMYFUNCTION("QUERY(OptionPositionsLog, ""SELECT E WHERE B = '"" &amp; $B84  &amp; ""' ORDER BY A DESC LIMIT 1"")"),0.86)</f>
        <v>0.86</v>
      </c>
      <c r="M84" s="30">
        <v>0.49</v>
      </c>
      <c r="N84" s="140">
        <f t="shared" si="1"/>
        <v>86</v>
      </c>
      <c r="O84" s="140">
        <f t="shared" si="2"/>
        <v>0</v>
      </c>
      <c r="P84" s="149">
        <f t="shared" si="3"/>
        <v>0</v>
      </c>
      <c r="Q84" s="138" t="str">
        <f t="shared" si="4"/>
        <v/>
      </c>
      <c r="R84" s="150">
        <f t="shared" si="5"/>
        <v>-14.051</v>
      </c>
      <c r="S84" s="140">
        <f t="shared" si="6"/>
        <v>-20</v>
      </c>
      <c r="T84" s="140">
        <f>IFERROR(__xludf.DUMMYFUNCTION("IF(ISBLANK($M84), QUERY(OptionPositionsLog!$A$2:$K796, ""SELECT F WHERE B = '"" &amp; $B84  &amp; ""' ORDER BY A DESC LIMIT 1""), 0)"),0.0)</f>
        <v>0</v>
      </c>
      <c r="U84" s="140">
        <f>IFERROR(__xludf.DUMMYFUNCTION("IF(ISBLANK($M84), QUERY(OptionPositionsLog!$A$2:$K796, ""SELECT G WHERE B = '"" &amp; $B84  &amp; ""' ORDER BY A DESC LIMIT 1"")*F84, 0)"),0.0)</f>
        <v>0</v>
      </c>
      <c r="V84" s="140">
        <f>IFERROR(__xludf.DUMMYFUNCTION("IF(ISBLANK($M84), QUERY(OptionPositionsLog!$A$2:$K796, ""SELECT H WHERE B = '"" &amp; $B84  &amp; ""' ORDER BY A DESC LIMIT 1"")*F84, 0)"),0.0)</f>
        <v>0</v>
      </c>
      <c r="W84" s="140">
        <f>IFERROR(__xludf.DUMMYFUNCTION("IF(ISBLANK($M84), QUERY(OptionPositionsLog!$A$2:$K796, ""SELECT I WHERE B = '"" &amp; $B84  &amp; ""' ORDER BY A DESC LIMIT 1""), 0)"),0.0)</f>
        <v>0</v>
      </c>
      <c r="X84" s="140">
        <f>IFERROR(__xludf.DUMMYFUNCTION("IF(ISBLANK($M84), QUERY(OptionPositionsLog!$A$2:$K796, ""SELECT J WHERE B = '"" &amp; $B84  &amp; ""' ORDER BY A DESC LIMIT 1""), 0)"),0.0)</f>
        <v>0</v>
      </c>
      <c r="Y84" s="140" t="str">
        <f>IFERROR(__xludf.DUMMYFUNCTION("IF(ISBLANK($M84), QUERY(OptionPositionsLog!$A$2:$K796, ""SELECT D WHERE B = '"" &amp; $B84  &amp; ""' ORDER BY A DESC LIMIT 1"")*100, """")"),"")</f>
        <v/>
      </c>
      <c r="Z84" s="148">
        <f>IFERROR(__xludf.DUMMYFUNCTION("QUERY(OptionPositionsLog, ""SELECT K WHERE B = '"" &amp; $B84  &amp; ""' ORDER BY K DESC LIMIT 1"")"),74.75)</f>
        <v>74.75</v>
      </c>
      <c r="AA84" s="154">
        <f t="shared" si="11"/>
        <v>61.9047619</v>
      </c>
      <c r="AB84" s="155" t="str">
        <f t="shared" si="8"/>
        <v/>
      </c>
      <c r="AC84" s="153">
        <f t="shared" si="9"/>
        <v>-18.79732441</v>
      </c>
      <c r="AD84" s="31"/>
    </row>
    <row r="85" ht="22.5" customHeight="1">
      <c r="A85" s="129" t="s">
        <v>42</v>
      </c>
      <c r="B85" s="130" t="s">
        <v>540</v>
      </c>
      <c r="C85" s="131">
        <v>46052.0</v>
      </c>
      <c r="D85" s="131">
        <v>46066.0</v>
      </c>
      <c r="E85" s="131">
        <v>46055.0</v>
      </c>
      <c r="F85" s="132">
        <v>-1.0</v>
      </c>
      <c r="G85" s="30" t="s">
        <v>455</v>
      </c>
      <c r="H85" s="133">
        <v>60.0</v>
      </c>
      <c r="I85" s="30">
        <v>1.15948</v>
      </c>
      <c r="J85" s="30">
        <v>1.0</v>
      </c>
      <c r="K85" s="147">
        <v>100.0</v>
      </c>
      <c r="L85" s="148">
        <f>IFERROR(__xludf.DUMMYFUNCTION("QUERY(OptionPositionsLog, ""SELECT E WHERE B = '"" &amp; $B85  &amp; ""' ORDER BY A DESC LIMIT 1"")"),1.14)</f>
        <v>1.14</v>
      </c>
      <c r="M85" s="30">
        <v>0.82</v>
      </c>
      <c r="N85" s="140">
        <f t="shared" si="1"/>
        <v>114</v>
      </c>
      <c r="O85" s="140">
        <f t="shared" si="2"/>
        <v>0</v>
      </c>
      <c r="P85" s="149">
        <f t="shared" si="3"/>
        <v>0</v>
      </c>
      <c r="Q85" s="138" t="str">
        <f t="shared" si="4"/>
        <v/>
      </c>
      <c r="R85" s="150">
        <f t="shared" si="5"/>
        <v>32.948</v>
      </c>
      <c r="S85" s="140">
        <f t="shared" si="6"/>
        <v>30</v>
      </c>
      <c r="T85" s="140">
        <f>IFERROR(__xludf.DUMMYFUNCTION("IF(ISBLANK($M85), QUERY(OptionPositionsLog!$A$2:$K796, ""SELECT F WHERE B = '"" &amp; $B85  &amp; ""' ORDER BY A DESC LIMIT 1""), 0)"),0.0)</f>
        <v>0</v>
      </c>
      <c r="U85" s="140">
        <f>IFERROR(__xludf.DUMMYFUNCTION("IF(ISBLANK($M85), QUERY(OptionPositionsLog!$A$2:$K796, ""SELECT G WHERE B = '"" &amp; $B85  &amp; ""' ORDER BY A DESC LIMIT 1"")*F85, 0)"),0.0)</f>
        <v>0</v>
      </c>
      <c r="V85" s="140">
        <f>IFERROR(__xludf.DUMMYFUNCTION("IF(ISBLANK($M85), QUERY(OptionPositionsLog!$A$2:$K796, ""SELECT H WHERE B = '"" &amp; $B85  &amp; ""' ORDER BY A DESC LIMIT 1"")*F85, 0)"),0.0)</f>
        <v>0</v>
      </c>
      <c r="W85" s="140">
        <f>IFERROR(__xludf.DUMMYFUNCTION("IF(ISBLANK($M85), QUERY(OptionPositionsLog!$A$2:$K796, ""SELECT I WHERE B = '"" &amp; $B85  &amp; ""' ORDER BY A DESC LIMIT 1""), 0)"),0.0)</f>
        <v>0</v>
      </c>
      <c r="X85" s="140">
        <f>IFERROR(__xludf.DUMMYFUNCTION("IF(ISBLANK($M85), QUERY(OptionPositionsLog!$A$2:$K796, ""SELECT J WHERE B = '"" &amp; $B85  &amp; ""' ORDER BY A DESC LIMIT 1""), 0)"),0.0)</f>
        <v>0</v>
      </c>
      <c r="Y85" s="140" t="str">
        <f>IFERROR(__xludf.DUMMYFUNCTION("IF(ISBLANK($M85), QUERY(OptionPositionsLog!$A$2:$K796, ""SELECT D WHERE B = '"" &amp; $B85  &amp; ""' ORDER BY A DESC LIMIT 1"")*100, """")"),"")</f>
        <v/>
      </c>
      <c r="Z85" s="148">
        <f>IFERROR(__xludf.DUMMYFUNCTION("QUERY(OptionPositionsLog, ""SELECT K WHERE B = '"" &amp; $B85  &amp; ""' ORDER BY K DESC LIMIT 1"")"),863.34)</f>
        <v>863.34</v>
      </c>
      <c r="AA85" s="154">
        <f t="shared" si="11"/>
        <v>21.42857143</v>
      </c>
      <c r="AB85" s="155" t="str">
        <f t="shared" si="8"/>
        <v/>
      </c>
      <c r="AC85" s="153">
        <f t="shared" si="9"/>
        <v>3.816341187</v>
      </c>
      <c r="AD85" s="31"/>
    </row>
    <row r="86" ht="22.5" customHeight="1">
      <c r="A86" s="129" t="s">
        <v>42</v>
      </c>
      <c r="B86" s="130" t="s">
        <v>541</v>
      </c>
      <c r="C86" s="131">
        <v>46052.0</v>
      </c>
      <c r="D86" s="131">
        <v>46066.0</v>
      </c>
      <c r="E86" s="131">
        <v>46055.0</v>
      </c>
      <c r="F86" s="132">
        <v>-1.0</v>
      </c>
      <c r="G86" s="30" t="s">
        <v>459</v>
      </c>
      <c r="H86" s="133">
        <v>110.0</v>
      </c>
      <c r="I86" s="30">
        <v>1.10948</v>
      </c>
      <c r="J86" s="30">
        <v>1.0</v>
      </c>
      <c r="K86" s="147">
        <v>100.0</v>
      </c>
      <c r="L86" s="148">
        <f>IFERROR(__xludf.DUMMYFUNCTION("QUERY(OptionPositionsLog, ""SELECT E WHERE B = '"" &amp; $B86  &amp; ""' ORDER BY A DESC LIMIT 1"")"),0.85)</f>
        <v>0.85</v>
      </c>
      <c r="M86" s="30">
        <v>0.32</v>
      </c>
      <c r="N86" s="140">
        <f t="shared" si="1"/>
        <v>85</v>
      </c>
      <c r="O86" s="140">
        <f t="shared" si="2"/>
        <v>0</v>
      </c>
      <c r="P86" s="149">
        <f t="shared" si="3"/>
        <v>0</v>
      </c>
      <c r="Q86" s="138" t="str">
        <f t="shared" si="4"/>
        <v/>
      </c>
      <c r="R86" s="150">
        <f t="shared" si="5"/>
        <v>77.948</v>
      </c>
      <c r="S86" s="140">
        <f t="shared" si="6"/>
        <v>70</v>
      </c>
      <c r="T86" s="140">
        <f>IFERROR(__xludf.DUMMYFUNCTION("IF(ISBLANK($M86), QUERY(OptionPositionsLog!$A$2:$K796, ""SELECT F WHERE B = '"" &amp; $B86  &amp; ""' ORDER BY A DESC LIMIT 1""), 0)"),0.0)</f>
        <v>0</v>
      </c>
      <c r="U86" s="140">
        <f>IFERROR(__xludf.DUMMYFUNCTION("IF(ISBLANK($M86), QUERY(OptionPositionsLog!$A$2:$K796, ""SELECT G WHERE B = '"" &amp; $B86  &amp; ""' ORDER BY A DESC LIMIT 1"")*F86, 0)"),0.0)</f>
        <v>0</v>
      </c>
      <c r="V86" s="140">
        <f>IFERROR(__xludf.DUMMYFUNCTION("IF(ISBLANK($M86), QUERY(OptionPositionsLog!$A$2:$K796, ""SELECT H WHERE B = '"" &amp; $B86  &amp; ""' ORDER BY A DESC LIMIT 1"")*F86, 0)"),0.0)</f>
        <v>0</v>
      </c>
      <c r="W86" s="140">
        <f>IFERROR(__xludf.DUMMYFUNCTION("IF(ISBLANK($M86), QUERY(OptionPositionsLog!$A$2:$K796, ""SELECT I WHERE B = '"" &amp; $B86  &amp; ""' ORDER BY A DESC LIMIT 1""), 0)"),0.0)</f>
        <v>0</v>
      </c>
      <c r="X86" s="140">
        <f>IFERROR(__xludf.DUMMYFUNCTION("IF(ISBLANK($M86), QUERY(OptionPositionsLog!$A$2:$K796, ""SELECT J WHERE B = '"" &amp; $B86  &amp; ""' ORDER BY A DESC LIMIT 1""), 0)"),0.0)</f>
        <v>0</v>
      </c>
      <c r="Y86" s="140" t="str">
        <f>IFERROR(__xludf.DUMMYFUNCTION("IF(ISBLANK($M86), QUERY(OptionPositionsLog!$A$2:$K796, ""SELECT D WHERE B = '"" &amp; $B86  &amp; ""' ORDER BY A DESC LIMIT 1"")*100, """")"),"")</f>
        <v/>
      </c>
      <c r="Z86" s="148">
        <f>IFERROR(__xludf.DUMMYFUNCTION("QUERY(OptionPositionsLog, ""SELECT K WHERE B = '"" &amp; $B86  &amp; ""' ORDER BY K DESC LIMIT 1"")"),187.26)</f>
        <v>187.26</v>
      </c>
      <c r="AA86" s="154">
        <f t="shared" si="11"/>
        <v>21.42857143</v>
      </c>
      <c r="AB86" s="155" t="str">
        <f t="shared" si="8"/>
        <v/>
      </c>
      <c r="AC86" s="153">
        <f t="shared" si="9"/>
        <v>41.62554737</v>
      </c>
      <c r="AD86" s="31"/>
    </row>
    <row r="87" ht="22.5" customHeight="1">
      <c r="A87" s="129" t="s">
        <v>162</v>
      </c>
      <c r="B87" s="130" t="s">
        <v>542</v>
      </c>
      <c r="C87" s="131">
        <v>46052.0</v>
      </c>
      <c r="D87" s="131">
        <v>46101.0</v>
      </c>
      <c r="E87" s="30" t="s">
        <v>516</v>
      </c>
      <c r="F87" s="132">
        <v>1.0</v>
      </c>
      <c r="G87" s="30" t="s">
        <v>455</v>
      </c>
      <c r="H87" s="133">
        <v>675.0</v>
      </c>
      <c r="I87" s="30">
        <v>9.56751</v>
      </c>
      <c r="J87" s="30">
        <v>1.0</v>
      </c>
      <c r="K87" s="147">
        <v>100.0</v>
      </c>
      <c r="L87" s="148">
        <f>IFERROR(__xludf.DUMMYFUNCTION("QUERY(OptionPositionsLog, ""SELECT E WHERE B = '"" &amp; $B87  &amp; ""' ORDER BY A DESC LIMIT 1"")"),8.97)</f>
        <v>8.97</v>
      </c>
      <c r="M87" s="30"/>
      <c r="N87" s="140">
        <f t="shared" si="1"/>
        <v>897</v>
      </c>
      <c r="O87" s="140">
        <f t="shared" si="2"/>
        <v>-0.59751</v>
      </c>
      <c r="P87" s="149">
        <f t="shared" si="3"/>
        <v>-59.751</v>
      </c>
      <c r="Q87" s="138">
        <f t="shared" si="4"/>
        <v>-6</v>
      </c>
      <c r="R87" s="150">
        <f t="shared" si="5"/>
        <v>0</v>
      </c>
      <c r="S87" s="140">
        <f t="shared" si="6"/>
        <v>0</v>
      </c>
      <c r="T87" s="140">
        <f>IFERROR(__xludf.DUMMYFUNCTION("IF(ISBLANK($M87), QUERY(OptionPositionsLog!$A$2:$K796, ""SELECT F WHERE B = '"" &amp; $B87  &amp; ""' ORDER BY A DESC LIMIT 1""), 0)"),8.97)</f>
        <v>8.97</v>
      </c>
      <c r="U87" s="140">
        <f>IFERROR(__xludf.DUMMYFUNCTION("IF(ISBLANK($M87), QUERY(OptionPositionsLog!$A$2:$K796, ""SELECT G WHERE B = '"" &amp; $B87  &amp; ""' ORDER BY A DESC LIMIT 1"")*F87, 0)"),-0.43451227)</f>
        <v>-0.43451227</v>
      </c>
      <c r="V87" s="140">
        <f>IFERROR(__xludf.DUMMYFUNCTION("IF(ISBLANK($M87), QUERY(OptionPositionsLog!$A$2:$K796, ""SELECT H WHERE B = '"" &amp; $B87  &amp; ""' ORDER BY A DESC LIMIT 1"")*F87, 0)"),-0.49200158)</f>
        <v>-0.49200158</v>
      </c>
      <c r="W87" s="140">
        <f>IFERROR(__xludf.DUMMYFUNCTION("IF(ISBLANK($M87), QUERY(OptionPositionsLog!$A$2:$K796, ""SELECT I WHERE B = '"" &amp; $B87  &amp; ""' ORDER BY A DESC LIMIT 1""), 0)"),0.01476119)</f>
        <v>0.01476119</v>
      </c>
      <c r="X87" s="140">
        <f>IFERROR(__xludf.DUMMYFUNCTION("IF(ISBLANK($M87), QUERY(OptionPositionsLog!$A$2:$K796, ""SELECT J WHERE B = '"" &amp; $B87  &amp; ""' ORDER BY A DESC LIMIT 1""), 0)"),0.44166463)</f>
        <v>0.44166463</v>
      </c>
      <c r="Y87" s="140">
        <f>IFERROR(__xludf.DUMMYFUNCTION("IF(ISBLANK($M87), QUERY(OptionPositionsLog!$A$2:$K796, ""SELECT D WHERE B = '"" &amp; $B87  &amp; ""' ORDER BY A DESC LIMIT 1"")*100, """")"),24.0)</f>
        <v>24</v>
      </c>
      <c r="Z87" s="148">
        <f>IFERROR(__xludf.DUMMYFUNCTION("QUERY(OptionPositionsLog, ""SELECT K WHERE B = '"" &amp; $B87  &amp; ""' ORDER BY K DESC LIMIT 1"")"),5169.78)</f>
        <v>5169.78</v>
      </c>
      <c r="AA87" s="154">
        <f t="shared" si="11"/>
        <v>-93983.67347</v>
      </c>
      <c r="AB87" s="155">
        <f t="shared" si="8"/>
        <v>15663.94558</v>
      </c>
      <c r="AC87" s="153">
        <f t="shared" si="9"/>
        <v>0</v>
      </c>
      <c r="AD87" s="31"/>
    </row>
    <row r="88" ht="22.5" customHeight="1">
      <c r="A88" s="129" t="s">
        <v>162</v>
      </c>
      <c r="B88" s="130" t="s">
        <v>543</v>
      </c>
      <c r="C88" s="131">
        <v>46052.0</v>
      </c>
      <c r="D88" s="131">
        <v>46101.0</v>
      </c>
      <c r="E88" s="30" t="s">
        <v>516</v>
      </c>
      <c r="F88" s="132">
        <v>-1.0</v>
      </c>
      <c r="G88" s="30" t="s">
        <v>455</v>
      </c>
      <c r="H88" s="133">
        <v>650.0</v>
      </c>
      <c r="I88" s="30">
        <v>5.45249</v>
      </c>
      <c r="J88" s="30">
        <v>1.0</v>
      </c>
      <c r="K88" s="147">
        <v>100.0</v>
      </c>
      <c r="L88" s="148">
        <f>IFERROR(__xludf.DUMMYFUNCTION("QUERY(OptionPositionsLog, ""SELECT E WHERE B = '"" &amp; $B88  &amp; ""' ORDER BY A DESC LIMIT 1"")"),3.38)</f>
        <v>3.38</v>
      </c>
      <c r="M88" s="30"/>
      <c r="N88" s="140">
        <f t="shared" si="1"/>
        <v>338</v>
      </c>
      <c r="O88" s="140">
        <f t="shared" si="2"/>
        <v>2.07249</v>
      </c>
      <c r="P88" s="149">
        <f t="shared" si="3"/>
        <v>207.249</v>
      </c>
      <c r="Q88" s="138">
        <f t="shared" si="4"/>
        <v>38</v>
      </c>
      <c r="R88" s="150">
        <f t="shared" si="5"/>
        <v>0</v>
      </c>
      <c r="S88" s="140">
        <f t="shared" si="6"/>
        <v>0</v>
      </c>
      <c r="T88" s="140">
        <f>IFERROR(__xludf.DUMMYFUNCTION("IF(ISBLANK($M88), QUERY(OptionPositionsLog!$A$2:$K796, ""SELECT F WHERE B = '"" &amp; $B88  &amp; ""' ORDER BY A DESC LIMIT 1""), 0)"),3.38)</f>
        <v>3.38</v>
      </c>
      <c r="U88" s="140">
        <f>IFERROR(__xludf.DUMMYFUNCTION("IF(ISBLANK($M88), QUERY(OptionPositionsLog!$A$2:$K796, ""SELECT G WHERE B = '"" &amp; $B88  &amp; ""' ORDER BY A DESC LIMIT 1"")*F88, 0)"),0.18372421)</f>
        <v>0.18372421</v>
      </c>
      <c r="V88" s="140">
        <f>IFERROR(__xludf.DUMMYFUNCTION("IF(ISBLANK($M88), QUERY(OptionPositionsLog!$A$2:$K796, ""SELECT H WHERE B = '"" &amp; $B88  &amp; ""' ORDER BY A DESC LIMIT 1"")*F88, 0)"),0.42879337)</f>
        <v>0.42879337</v>
      </c>
      <c r="W88" s="140">
        <f>IFERROR(__xludf.DUMMYFUNCTION("IF(ISBLANK($M88), QUERY(OptionPositionsLog!$A$2:$K796, ""SELECT I WHERE B = '"" &amp; $B88  &amp; ""' ORDER BY A DESC LIMIT 1""), 0)"),0.00798079)</f>
        <v>0.00798079</v>
      </c>
      <c r="X88" s="140">
        <f>IFERROR(__xludf.DUMMYFUNCTION("IF(ISBLANK($M88), QUERY(OptionPositionsLog!$A$2:$K796, ""SELECT J WHERE B = '"" &amp; $B88  &amp; ""' ORDER BY A DESC LIMIT 1""), 0)"),0.29819066)</f>
        <v>0.29819066</v>
      </c>
      <c r="Y88" s="140">
        <f>IFERROR(__xludf.DUMMYFUNCTION("IF(ISBLANK($M88), QUERY(OptionPositionsLog!$A$2:$K796, ""SELECT D WHERE B = '"" &amp; $B88  &amp; ""' ORDER BY A DESC LIMIT 1"")*100, """")"),30.0)</f>
        <v>30</v>
      </c>
      <c r="Z88" s="148">
        <f>IFERROR(__xludf.DUMMYFUNCTION("QUERY(OptionPositionsLog, ""SELECT K WHERE B = '"" &amp; $B88  &amp; ""' ORDER BY K DESC LIMIT 1"")"),4991.36)</f>
        <v>4991.36</v>
      </c>
      <c r="AA88" s="154">
        <f t="shared" si="11"/>
        <v>-93983.67347</v>
      </c>
      <c r="AB88" s="155">
        <f t="shared" si="8"/>
        <v>-2473.254565</v>
      </c>
      <c r="AC88" s="153">
        <f t="shared" si="9"/>
        <v>0</v>
      </c>
      <c r="AD88" s="31"/>
    </row>
    <row r="89" ht="22.5" customHeight="1">
      <c r="A89" s="129" t="s">
        <v>162</v>
      </c>
      <c r="B89" s="130" t="s">
        <v>544</v>
      </c>
      <c r="C89" s="131">
        <v>46052.0</v>
      </c>
      <c r="D89" s="131">
        <v>46101.0</v>
      </c>
      <c r="E89" s="30" t="s">
        <v>516</v>
      </c>
      <c r="F89" s="132">
        <v>-1.0</v>
      </c>
      <c r="G89" s="30" t="s">
        <v>455</v>
      </c>
      <c r="H89" s="133">
        <v>670.0</v>
      </c>
      <c r="I89" s="30">
        <v>8.49249</v>
      </c>
      <c r="J89" s="30">
        <v>1.0</v>
      </c>
      <c r="K89" s="147">
        <v>100.0</v>
      </c>
      <c r="L89" s="148">
        <f>IFERROR(__xludf.DUMMYFUNCTION("QUERY(OptionPositionsLog, ""SELECT E WHERE B = '"" &amp; $B89  &amp; ""' ORDER BY A DESC LIMIT 1"")"),7.6)</f>
        <v>7.6</v>
      </c>
      <c r="M89" s="30"/>
      <c r="N89" s="140">
        <f t="shared" si="1"/>
        <v>760</v>
      </c>
      <c r="O89" s="140">
        <f t="shared" si="2"/>
        <v>0.89249</v>
      </c>
      <c r="P89" s="149">
        <f t="shared" si="3"/>
        <v>89.249</v>
      </c>
      <c r="Q89" s="138">
        <f t="shared" si="4"/>
        <v>11</v>
      </c>
      <c r="R89" s="150">
        <f t="shared" si="5"/>
        <v>0</v>
      </c>
      <c r="S89" s="140">
        <f t="shared" si="6"/>
        <v>0</v>
      </c>
      <c r="T89" s="140">
        <f>IFERROR(__xludf.DUMMYFUNCTION("IF(ISBLANK($M89), QUERY(OptionPositionsLog!$A$2:$K796, ""SELECT F WHERE B = '"" &amp; $B89  &amp; ""' ORDER BY A DESC LIMIT 1""), 0)"),7.6)</f>
        <v>7.6</v>
      </c>
      <c r="U89" s="140">
        <f>IFERROR(__xludf.DUMMYFUNCTION("IF(ISBLANK($M89), QUERY(OptionPositionsLog!$A$2:$K796, ""SELECT G WHERE B = '"" &amp; $B89  &amp; ""' ORDER BY A DESC LIMIT 1"")*F89, 0)"),0.37410071)</f>
        <v>0.37410071</v>
      </c>
      <c r="V89" s="140">
        <f>IFERROR(__xludf.DUMMYFUNCTION("IF(ISBLANK($M89), QUERY(OptionPositionsLog!$A$2:$K796, ""SELECT H WHERE B = '"" &amp; $B89  &amp; ""' ORDER BY A DESC LIMIT 1"")*F89, 0)"),0.51198563)</f>
        <v>0.51198563</v>
      </c>
      <c r="W89" s="140">
        <f>IFERROR(__xludf.DUMMYFUNCTION("IF(ISBLANK($M89), QUERY(OptionPositionsLog!$A$2:$K796, ""SELECT I WHERE B = '"" &amp; $B89  &amp; ""' ORDER BY A DESC LIMIT 1""), 0)"),0.01328994)</f>
        <v>0.01328994</v>
      </c>
      <c r="X89" s="140">
        <f>IFERROR(__xludf.DUMMYFUNCTION("IF(ISBLANK($M89), QUERY(OptionPositionsLog!$A$2:$K796, ""SELECT J WHERE B = '"" &amp; $B89  &amp; ""' ORDER BY A DESC LIMIT 1""), 0)"),0.42504694)</f>
        <v>0.42504694</v>
      </c>
      <c r="Y89" s="140">
        <f>IFERROR(__xludf.DUMMYFUNCTION("IF(ISBLANK($M89), QUERY(OptionPositionsLog!$A$2:$K796, ""SELECT D WHERE B = '"" &amp; $B89  &amp; ""' ORDER BY A DESC LIMIT 1"")*100, """")"),25.0)</f>
        <v>25</v>
      </c>
      <c r="Z89" s="148">
        <f>IFERROR(__xludf.DUMMYFUNCTION("QUERY(OptionPositionsLog, ""SELECT K WHERE B = '"" &amp; $B89  &amp; ""' ORDER BY K DESC LIMIT 1"")"),5140.45)</f>
        <v>5140.45</v>
      </c>
      <c r="AA89" s="154">
        <f t="shared" si="11"/>
        <v>-93983.67347</v>
      </c>
      <c r="AB89" s="155">
        <f t="shared" si="8"/>
        <v>-8543.970315</v>
      </c>
      <c r="AC89" s="153">
        <f t="shared" si="9"/>
        <v>0</v>
      </c>
      <c r="AD89" s="31"/>
    </row>
    <row r="90" ht="22.5" customHeight="1">
      <c r="A90" s="129" t="s">
        <v>152</v>
      </c>
      <c r="B90" s="130" t="s">
        <v>545</v>
      </c>
      <c r="C90" s="131">
        <v>46055.0</v>
      </c>
      <c r="D90" s="131">
        <v>46101.0</v>
      </c>
      <c r="E90" s="131">
        <v>46056.0</v>
      </c>
      <c r="F90" s="132">
        <v>-1.0</v>
      </c>
      <c r="G90" s="30" t="s">
        <v>455</v>
      </c>
      <c r="H90" s="133">
        <v>380.0</v>
      </c>
      <c r="I90" s="30">
        <v>3.06298</v>
      </c>
      <c r="J90" s="30">
        <v>1.0</v>
      </c>
      <c r="K90" s="147">
        <v>100.0</v>
      </c>
      <c r="L90" s="148">
        <f>IFERROR(__xludf.DUMMYFUNCTION("QUERY(OptionPositionsLog, ""SELECT E WHERE B = '"" &amp; $B90  &amp; ""' ORDER BY A DESC LIMIT 1"")"),3.35)</f>
        <v>3.35</v>
      </c>
      <c r="M90" s="30">
        <v>1.64</v>
      </c>
      <c r="N90" s="140">
        <f t="shared" si="1"/>
        <v>335</v>
      </c>
      <c r="O90" s="140">
        <f t="shared" si="2"/>
        <v>0</v>
      </c>
      <c r="P90" s="149">
        <f t="shared" si="3"/>
        <v>0</v>
      </c>
      <c r="Q90" s="138" t="str">
        <f t="shared" si="4"/>
        <v/>
      </c>
      <c r="R90" s="150">
        <f t="shared" si="5"/>
        <v>141.298</v>
      </c>
      <c r="S90" s="140">
        <f t="shared" si="6"/>
        <v>50</v>
      </c>
      <c r="T90" s="140">
        <f>IFERROR(__xludf.DUMMYFUNCTION("IF(ISBLANK($M90), QUERY(OptionPositionsLog!$A$2:$K796, ""SELECT F WHERE B = '"" &amp; $B90  &amp; ""' ORDER BY A DESC LIMIT 1""), 0)"),0.0)</f>
        <v>0</v>
      </c>
      <c r="U90" s="140">
        <f>IFERROR(__xludf.DUMMYFUNCTION("IF(ISBLANK($M90), QUERY(OptionPositionsLog!$A$2:$K796, ""SELECT G WHERE B = '"" &amp; $B90  &amp; ""' ORDER BY A DESC LIMIT 1"")*F90, 0)"),0.0)</f>
        <v>0</v>
      </c>
      <c r="V90" s="140">
        <f>IFERROR(__xludf.DUMMYFUNCTION("IF(ISBLANK($M90), QUERY(OptionPositionsLog!$A$2:$K796, ""SELECT H WHERE B = '"" &amp; $B90  &amp; ""' ORDER BY A DESC LIMIT 1"")*F90, 0)"),0.0)</f>
        <v>0</v>
      </c>
      <c r="W90" s="140">
        <f>IFERROR(__xludf.DUMMYFUNCTION("IF(ISBLANK($M90), QUERY(OptionPositionsLog!$A$2:$K796, ""SELECT I WHERE B = '"" &amp; $B90  &amp; ""' ORDER BY A DESC LIMIT 1""), 0)"),0.0)</f>
        <v>0</v>
      </c>
      <c r="X90" s="140">
        <f>IFERROR(__xludf.DUMMYFUNCTION("IF(ISBLANK($M90), QUERY(OptionPositionsLog!$A$2:$K796, ""SELECT J WHERE B = '"" &amp; $B90  &amp; ""' ORDER BY A DESC LIMIT 1""), 0)"),0.0)</f>
        <v>0</v>
      </c>
      <c r="Y90" s="140" t="str">
        <f>IFERROR(__xludf.DUMMYFUNCTION("IF(ISBLANK($M90), QUERY(OptionPositionsLog!$A$2:$K796, ""SELECT D WHERE B = '"" &amp; $B90  &amp; ""' ORDER BY A DESC LIMIT 1"")*100, """")"),"")</f>
        <v/>
      </c>
      <c r="Z90" s="148">
        <f>IFERROR(__xludf.DUMMYFUNCTION("QUERY(OptionPositionsLog, ""SELECT K WHERE B = '"" &amp; $B90  &amp; ""' ORDER BY K DESC LIMIT 1"")"),13.58)</f>
        <v>13.58</v>
      </c>
      <c r="AA90" s="154">
        <f t="shared" si="11"/>
        <v>2.173913043</v>
      </c>
      <c r="AB90" s="155" t="str">
        <f t="shared" si="8"/>
        <v/>
      </c>
      <c r="AC90" s="153">
        <f t="shared" si="9"/>
        <v>1040.486009</v>
      </c>
      <c r="AD90" s="31"/>
    </row>
    <row r="91" ht="22.5" customHeight="1">
      <c r="A91" s="129" t="s">
        <v>152</v>
      </c>
      <c r="B91" s="130" t="s">
        <v>546</v>
      </c>
      <c r="C91" s="131">
        <v>46055.0</v>
      </c>
      <c r="D91" s="131">
        <v>46101.0</v>
      </c>
      <c r="E91" s="131">
        <v>46063.0</v>
      </c>
      <c r="F91" s="132">
        <v>-1.0</v>
      </c>
      <c r="G91" s="30" t="s">
        <v>459</v>
      </c>
      <c r="H91" s="133">
        <v>510.0</v>
      </c>
      <c r="I91" s="30">
        <v>2.65298</v>
      </c>
      <c r="J91" s="30">
        <v>1.0</v>
      </c>
      <c r="K91" s="147">
        <v>100.0</v>
      </c>
      <c r="L91" s="148">
        <f>IFERROR(__xludf.DUMMYFUNCTION("QUERY(OptionPositionsLog, ""SELECT E WHERE B = '"" &amp; $B91  &amp; ""' ORDER BY A DESC LIMIT 1"")"),4.15)</f>
        <v>4.15</v>
      </c>
      <c r="M91" s="30">
        <v>5.58</v>
      </c>
      <c r="N91" s="140">
        <f t="shared" si="1"/>
        <v>415</v>
      </c>
      <c r="O91" s="140">
        <f t="shared" si="2"/>
        <v>0</v>
      </c>
      <c r="P91" s="149">
        <f t="shared" si="3"/>
        <v>0</v>
      </c>
      <c r="Q91" s="138" t="str">
        <f t="shared" si="4"/>
        <v/>
      </c>
      <c r="R91" s="150">
        <f t="shared" si="5"/>
        <v>-293.702</v>
      </c>
      <c r="S91" s="140">
        <f t="shared" si="6"/>
        <v>-110</v>
      </c>
      <c r="T91" s="140">
        <f>IFERROR(__xludf.DUMMYFUNCTION("IF(ISBLANK($M91), QUERY(OptionPositionsLog!$A$2:$K796, ""SELECT F WHERE B = '"" &amp; $B91  &amp; ""' ORDER BY A DESC LIMIT 1""), 0)"),0.0)</f>
        <v>0</v>
      </c>
      <c r="U91" s="140">
        <f>IFERROR(__xludf.DUMMYFUNCTION("IF(ISBLANK($M91), QUERY(OptionPositionsLog!$A$2:$K796, ""SELECT G WHERE B = '"" &amp; $B91  &amp; ""' ORDER BY A DESC LIMIT 1"")*F91, 0)"),0.0)</f>
        <v>0</v>
      </c>
      <c r="V91" s="140">
        <f>IFERROR(__xludf.DUMMYFUNCTION("IF(ISBLANK($M91), QUERY(OptionPositionsLog!$A$2:$K796, ""SELECT H WHERE B = '"" &amp; $B91  &amp; ""' ORDER BY A DESC LIMIT 1"")*F91, 0)"),0.0)</f>
        <v>0</v>
      </c>
      <c r="W91" s="140">
        <f>IFERROR(__xludf.DUMMYFUNCTION("IF(ISBLANK($M91), QUERY(OptionPositionsLog!$A$2:$K796, ""SELECT I WHERE B = '"" &amp; $B91  &amp; ""' ORDER BY A DESC LIMIT 1""), 0)"),0.0)</f>
        <v>0</v>
      </c>
      <c r="X91" s="140">
        <f>IFERROR(__xludf.DUMMYFUNCTION("IF(ISBLANK($M91), QUERY(OptionPositionsLog!$A$2:$K796, ""SELECT J WHERE B = '"" &amp; $B91  &amp; ""' ORDER BY A DESC LIMIT 1""), 0)"),0.0)</f>
        <v>0</v>
      </c>
      <c r="Y91" s="140" t="str">
        <f>IFERROR(__xludf.DUMMYFUNCTION("IF(ISBLANK($M91), QUERY(OptionPositionsLog!$A$2:$K796, ""SELECT D WHERE B = '"" &amp; $B91  &amp; ""' ORDER BY A DESC LIMIT 1"")*100, """")"),"")</f>
        <v/>
      </c>
      <c r="Z91" s="148">
        <f>IFERROR(__xludf.DUMMYFUNCTION("QUERY(OptionPositionsLog, ""SELECT K WHERE B = '"" &amp; $B91  &amp; ""' ORDER BY K DESC LIMIT 1"")"),560.25)</f>
        <v>560.25</v>
      </c>
      <c r="AA91" s="154">
        <f t="shared" si="11"/>
        <v>17.39130435</v>
      </c>
      <c r="AB91" s="155" t="str">
        <f t="shared" si="8"/>
        <v/>
      </c>
      <c r="AC91" s="153">
        <f t="shared" si="9"/>
        <v>-52.42338242</v>
      </c>
      <c r="AD91" s="31"/>
    </row>
    <row r="92" ht="22.5" customHeight="1">
      <c r="A92" s="129" t="s">
        <v>150</v>
      </c>
      <c r="B92" s="130" t="s">
        <v>547</v>
      </c>
      <c r="C92" s="131">
        <v>46055.0</v>
      </c>
      <c r="D92" s="131">
        <v>46101.0</v>
      </c>
      <c r="E92" s="131">
        <v>46067.0</v>
      </c>
      <c r="F92" s="132">
        <v>1.0</v>
      </c>
      <c r="G92" s="30" t="s">
        <v>459</v>
      </c>
      <c r="H92" s="133">
        <v>40.0</v>
      </c>
      <c r="I92" s="30">
        <v>0.21539</v>
      </c>
      <c r="J92" s="30">
        <v>1.0</v>
      </c>
      <c r="K92" s="147">
        <v>100.0</v>
      </c>
      <c r="L92" s="148">
        <f>IFERROR(__xludf.DUMMYFUNCTION("QUERY(OptionPositionsLog, ""SELECT E WHERE B = '"" &amp; $B92  &amp; ""' ORDER BY A DESC LIMIT 1"")"),0.25)</f>
        <v>0.25</v>
      </c>
      <c r="M92" s="30">
        <v>0.17</v>
      </c>
      <c r="N92" s="140">
        <f t="shared" si="1"/>
        <v>25</v>
      </c>
      <c r="O92" s="140">
        <f t="shared" si="2"/>
        <v>0</v>
      </c>
      <c r="P92" s="149">
        <f t="shared" si="3"/>
        <v>0</v>
      </c>
      <c r="Q92" s="138" t="str">
        <f t="shared" si="4"/>
        <v/>
      </c>
      <c r="R92" s="150">
        <f t="shared" si="5"/>
        <v>-5.539</v>
      </c>
      <c r="S92" s="140">
        <f t="shared" si="6"/>
        <v>-30</v>
      </c>
      <c r="T92" s="140">
        <f>IFERROR(__xludf.DUMMYFUNCTION("IF(ISBLANK($M92), QUERY(OptionPositionsLog!$A$2:$K796, ""SELECT F WHERE B = '"" &amp; $B92  &amp; ""' ORDER BY A DESC LIMIT 1""), 0)"),0.0)</f>
        <v>0</v>
      </c>
      <c r="U92" s="140">
        <f>IFERROR(__xludf.DUMMYFUNCTION("IF(ISBLANK($M92), QUERY(OptionPositionsLog!$A$2:$K796, ""SELECT G WHERE B = '"" &amp; $B92  &amp; ""' ORDER BY A DESC LIMIT 1"")*F92, 0)"),0.0)</f>
        <v>0</v>
      </c>
      <c r="V92" s="140">
        <f>IFERROR(__xludf.DUMMYFUNCTION("IF(ISBLANK($M92), QUERY(OptionPositionsLog!$A$2:$K796, ""SELECT H WHERE B = '"" &amp; $B92  &amp; ""' ORDER BY A DESC LIMIT 1"")*F92, 0)"),0.0)</f>
        <v>0</v>
      </c>
      <c r="W92" s="140">
        <f>IFERROR(__xludf.DUMMYFUNCTION("IF(ISBLANK($M92), QUERY(OptionPositionsLog!$A$2:$K796, ""SELECT I WHERE B = '"" &amp; $B92  &amp; ""' ORDER BY A DESC LIMIT 1""), 0)"),0.0)</f>
        <v>0</v>
      </c>
      <c r="X92" s="140">
        <f>IFERROR(__xludf.DUMMYFUNCTION("IF(ISBLANK($M92), QUERY(OptionPositionsLog!$A$2:$K796, ""SELECT J WHERE B = '"" &amp; $B92  &amp; ""' ORDER BY A DESC LIMIT 1""), 0)"),0.0)</f>
        <v>0</v>
      </c>
      <c r="Y92" s="140" t="str">
        <f>IFERROR(__xludf.DUMMYFUNCTION("IF(ISBLANK($M92), QUERY(OptionPositionsLog!$A$2:$K796, ""SELECT D WHERE B = '"" &amp; $B92  &amp; ""' ORDER BY A DESC LIMIT 1"")*100, """")"),"")</f>
        <v/>
      </c>
      <c r="Z92" s="148">
        <f>IFERROR(__xludf.DUMMYFUNCTION("QUERY(OptionPositionsLog, ""SELECT K WHERE B = '"" &amp; $B92  &amp; ""' ORDER BY K DESC LIMIT 1"")"),31.15)</f>
        <v>31.15</v>
      </c>
      <c r="AA92" s="154">
        <f t="shared" si="11"/>
        <v>26.08695652</v>
      </c>
      <c r="AB92" s="155" t="str">
        <f t="shared" si="8"/>
        <v/>
      </c>
      <c r="AC92" s="153">
        <f t="shared" si="9"/>
        <v>-17.78170144</v>
      </c>
      <c r="AD92" s="31"/>
    </row>
    <row r="93" ht="22.5" customHeight="1">
      <c r="A93" s="129" t="s">
        <v>293</v>
      </c>
      <c r="B93" s="130" t="s">
        <v>548</v>
      </c>
      <c r="C93" s="131">
        <v>46055.0</v>
      </c>
      <c r="D93" s="131">
        <v>46073.0</v>
      </c>
      <c r="E93" s="131">
        <v>46064.0</v>
      </c>
      <c r="F93" s="132">
        <v>1.0</v>
      </c>
      <c r="G93" s="30" t="s">
        <v>455</v>
      </c>
      <c r="H93" s="133">
        <v>19.0</v>
      </c>
      <c r="I93" s="30">
        <v>0.17051</v>
      </c>
      <c r="J93" s="30">
        <v>1.0</v>
      </c>
      <c r="K93" s="147">
        <v>100.0</v>
      </c>
      <c r="L93" s="148">
        <f>IFERROR(__xludf.DUMMYFUNCTION("QUERY(OptionPositionsLog, ""SELECT E WHERE B = '"" &amp; $B93  &amp; ""' ORDER BY A DESC LIMIT 1"")"),0.17)</f>
        <v>0.17</v>
      </c>
      <c r="M93" s="30">
        <v>0.22</v>
      </c>
      <c r="N93" s="140">
        <f t="shared" si="1"/>
        <v>17</v>
      </c>
      <c r="O93" s="140">
        <f t="shared" si="2"/>
        <v>0</v>
      </c>
      <c r="P93" s="149">
        <f t="shared" si="3"/>
        <v>0</v>
      </c>
      <c r="Q93" s="138" t="str">
        <f t="shared" si="4"/>
        <v/>
      </c>
      <c r="R93" s="150">
        <f t="shared" si="5"/>
        <v>3.949</v>
      </c>
      <c r="S93" s="140">
        <f t="shared" si="6"/>
        <v>20</v>
      </c>
      <c r="T93" s="140">
        <f>IFERROR(__xludf.DUMMYFUNCTION("IF(ISBLANK($M93), QUERY(OptionPositionsLog!$A$2:$K796, ""SELECT F WHERE B = '"" &amp; $B93  &amp; ""' ORDER BY A DESC LIMIT 1""), 0)"),0.0)</f>
        <v>0</v>
      </c>
      <c r="U93" s="140">
        <f>IFERROR(__xludf.DUMMYFUNCTION("IF(ISBLANK($M93), QUERY(OptionPositionsLog!$A$2:$K796, ""SELECT G WHERE B = '"" &amp; $B93  &amp; ""' ORDER BY A DESC LIMIT 1"")*F93, 0)"),0.0)</f>
        <v>0</v>
      </c>
      <c r="V93" s="140">
        <f>IFERROR(__xludf.DUMMYFUNCTION("IF(ISBLANK($M93), QUERY(OptionPositionsLog!$A$2:$K796, ""SELECT H WHERE B = '"" &amp; $B93  &amp; ""' ORDER BY A DESC LIMIT 1"")*F93, 0)"),0.0)</f>
        <v>0</v>
      </c>
      <c r="W93" s="140">
        <f>IFERROR(__xludf.DUMMYFUNCTION("IF(ISBLANK($M93), QUERY(OptionPositionsLog!$A$2:$K796, ""SELECT I WHERE B = '"" &amp; $B93  &amp; ""' ORDER BY A DESC LIMIT 1""), 0)"),0.0)</f>
        <v>0</v>
      </c>
      <c r="X93" s="140">
        <f>IFERROR(__xludf.DUMMYFUNCTION("IF(ISBLANK($M93), QUERY(OptionPositionsLog!$A$2:$K796, ""SELECT J WHERE B = '"" &amp; $B93  &amp; ""' ORDER BY A DESC LIMIT 1""), 0)"),0.0)</f>
        <v>0</v>
      </c>
      <c r="Y93" s="140" t="str">
        <f>IFERROR(__xludf.DUMMYFUNCTION("IF(ISBLANK($M93), QUERY(OptionPositionsLog!$A$2:$K796, ""SELECT D WHERE B = '"" &amp; $B93  &amp; ""' ORDER BY A DESC LIMIT 1"")*100, """")"),"")</f>
        <v/>
      </c>
      <c r="Z93" s="148">
        <f>IFERROR(__xludf.DUMMYFUNCTION("QUERY(OptionPositionsLog, ""SELECT K WHERE B = '"" &amp; $B93  &amp; ""' ORDER BY K DESC LIMIT 1"")"),95.92)</f>
        <v>95.92</v>
      </c>
      <c r="AA93" s="154">
        <f t="shared" si="11"/>
        <v>50</v>
      </c>
      <c r="AB93" s="155" t="str">
        <f t="shared" si="8"/>
        <v/>
      </c>
      <c r="AC93" s="153">
        <f t="shared" si="9"/>
        <v>4.116972477</v>
      </c>
      <c r="AD93" s="31"/>
    </row>
    <row r="94" ht="22.5" customHeight="1">
      <c r="A94" s="129" t="s">
        <v>152</v>
      </c>
      <c r="B94" s="130" t="s">
        <v>549</v>
      </c>
      <c r="C94" s="131">
        <v>46056.0</v>
      </c>
      <c r="D94" s="131">
        <v>46101.0</v>
      </c>
      <c r="E94" s="131">
        <v>46063.0</v>
      </c>
      <c r="F94" s="132">
        <v>-1.0</v>
      </c>
      <c r="G94" s="30" t="s">
        <v>455</v>
      </c>
      <c r="H94" s="133">
        <v>410.0</v>
      </c>
      <c r="I94" s="30">
        <v>5.01945</v>
      </c>
      <c r="J94" s="30">
        <v>1.0</v>
      </c>
      <c r="K94" s="147">
        <v>100.0</v>
      </c>
      <c r="L94" s="148">
        <f>IFERROR(__xludf.DUMMYFUNCTION("QUERY(OptionPositionsLog, ""SELECT E WHERE B = '"" &amp; $B94  &amp; ""' ORDER BY A DESC LIMIT 1"")"),3.68)</f>
        <v>3.68</v>
      </c>
      <c r="M94" s="30">
        <v>2.16</v>
      </c>
      <c r="N94" s="140">
        <f t="shared" si="1"/>
        <v>368</v>
      </c>
      <c r="O94" s="140">
        <f t="shared" si="2"/>
        <v>0</v>
      </c>
      <c r="P94" s="149">
        <f t="shared" si="3"/>
        <v>0</v>
      </c>
      <c r="Q94" s="138" t="str">
        <f t="shared" si="4"/>
        <v/>
      </c>
      <c r="R94" s="150">
        <f t="shared" si="5"/>
        <v>284.945</v>
      </c>
      <c r="S94" s="140">
        <f t="shared" si="6"/>
        <v>60</v>
      </c>
      <c r="T94" s="140">
        <f>IFERROR(__xludf.DUMMYFUNCTION("IF(ISBLANK($M94), QUERY(OptionPositionsLog!$A$2:$K796, ""SELECT F WHERE B = '"" &amp; $B94  &amp; ""' ORDER BY A DESC LIMIT 1""), 0)"),0.0)</f>
        <v>0</v>
      </c>
      <c r="U94" s="140">
        <f>IFERROR(__xludf.DUMMYFUNCTION("IF(ISBLANK($M94), QUERY(OptionPositionsLog!$A$2:$K796, ""SELECT G WHERE B = '"" &amp; $B94  &amp; ""' ORDER BY A DESC LIMIT 1"")*F94, 0)"),0.0)</f>
        <v>0</v>
      </c>
      <c r="V94" s="140">
        <f>IFERROR(__xludf.DUMMYFUNCTION("IF(ISBLANK($M94), QUERY(OptionPositionsLog!$A$2:$K796, ""SELECT H WHERE B = '"" &amp; $B94  &amp; ""' ORDER BY A DESC LIMIT 1"")*F94, 0)"),0.0)</f>
        <v>0</v>
      </c>
      <c r="W94" s="140">
        <f>IFERROR(__xludf.DUMMYFUNCTION("IF(ISBLANK($M94), QUERY(OptionPositionsLog!$A$2:$K796, ""SELECT I WHERE B = '"" &amp; $B94  &amp; ""' ORDER BY A DESC LIMIT 1""), 0)"),0.0)</f>
        <v>0</v>
      </c>
      <c r="X94" s="140">
        <f>IFERROR(__xludf.DUMMYFUNCTION("IF(ISBLANK($M94), QUERY(OptionPositionsLog!$A$2:$K796, ""SELECT J WHERE B = '"" &amp; $B94  &amp; ""' ORDER BY A DESC LIMIT 1""), 0)"),0.0)</f>
        <v>0</v>
      </c>
      <c r="Y94" s="140" t="str">
        <f>IFERROR(__xludf.DUMMYFUNCTION("IF(ISBLANK($M94), QUERY(OptionPositionsLog!$A$2:$K796, ""SELECT D WHERE B = '"" &amp; $B94  &amp; ""' ORDER BY A DESC LIMIT 1"")*100, """")"),"")</f>
        <v/>
      </c>
      <c r="Z94" s="148">
        <f>IFERROR(__xludf.DUMMYFUNCTION("QUERY(OptionPositionsLog, ""SELECT K WHERE B = '"" &amp; $B94  &amp; ""' ORDER BY K DESC LIMIT 1"")"),586.92)</f>
        <v>586.92</v>
      </c>
      <c r="AA94" s="154">
        <f t="shared" si="11"/>
        <v>15.55555556</v>
      </c>
      <c r="AB94" s="155" t="str">
        <f t="shared" si="8"/>
        <v/>
      </c>
      <c r="AC94" s="153">
        <f t="shared" si="9"/>
        <v>48.54920602</v>
      </c>
      <c r="AD94" s="31"/>
    </row>
    <row r="95" ht="22.5" customHeight="1">
      <c r="A95" s="129" t="s">
        <v>280</v>
      </c>
      <c r="B95" s="130" t="s">
        <v>550</v>
      </c>
      <c r="C95" s="131">
        <v>46056.0</v>
      </c>
      <c r="D95" s="131">
        <v>46101.0</v>
      </c>
      <c r="E95" s="30" t="s">
        <v>516</v>
      </c>
      <c r="F95" s="132">
        <v>1.0</v>
      </c>
      <c r="G95" s="30" t="s">
        <v>459</v>
      </c>
      <c r="H95" s="133">
        <v>10.0</v>
      </c>
      <c r="I95" s="30">
        <v>0.10049</v>
      </c>
      <c r="J95" s="30">
        <v>1.0</v>
      </c>
      <c r="K95" s="147">
        <v>100.0</v>
      </c>
      <c r="L95" s="148">
        <f>IFERROR(__xludf.DUMMYFUNCTION("QUERY(OptionPositionsLog, ""SELECT E WHERE B = '"" &amp; $B95  &amp; ""' ORDER BY A DESC LIMIT 1"")"),0.05)</f>
        <v>0.05</v>
      </c>
      <c r="M95" s="30"/>
      <c r="N95" s="140">
        <f t="shared" si="1"/>
        <v>5</v>
      </c>
      <c r="O95" s="140">
        <f t="shared" si="2"/>
        <v>-0.05049</v>
      </c>
      <c r="P95" s="149">
        <f t="shared" si="3"/>
        <v>-5.049</v>
      </c>
      <c r="Q95" s="138">
        <f t="shared" si="4"/>
        <v>-50</v>
      </c>
      <c r="R95" s="150">
        <f t="shared" si="5"/>
        <v>0</v>
      </c>
      <c r="S95" s="140">
        <f t="shared" si="6"/>
        <v>0</v>
      </c>
      <c r="T95" s="140">
        <f>IFERROR(__xludf.DUMMYFUNCTION("IF(ISBLANK($M95), QUERY(OptionPositionsLog!$A$2:$K796, ""SELECT F WHERE B = '"" &amp; $B95  &amp; ""' ORDER BY A DESC LIMIT 1""), 0)"),0.05)</f>
        <v>0.05</v>
      </c>
      <c r="U95" s="140">
        <f>IFERROR(__xludf.DUMMYFUNCTION("IF(ISBLANK($M95), QUERY(OptionPositionsLog!$A$2:$K796, ""SELECT G WHERE B = '"" &amp; $B95  &amp; ""' ORDER BY A DESC LIMIT 1"")*F95, 0)"),0.00516464)</f>
        <v>0.00516464</v>
      </c>
      <c r="V95" s="140">
        <f>IFERROR(__xludf.DUMMYFUNCTION("IF(ISBLANK($M95), QUERY(OptionPositionsLog!$A$2:$K796, ""SELECT H WHERE B = '"" &amp; $B95  &amp; ""' ORDER BY A DESC LIMIT 1"")*F95, 0)"),-3.6372E-4)</f>
        <v>-0.00036372</v>
      </c>
      <c r="W95" s="140">
        <f>IFERROR(__xludf.DUMMYFUNCTION("IF(ISBLANK($M95), QUERY(OptionPositionsLog!$A$2:$K796, ""SELECT I WHERE B = '"" &amp; $B95  &amp; ""' ORDER BY A DESC LIMIT 1""), 0)"),0.02282475)</f>
        <v>0.02282475</v>
      </c>
      <c r="X95" s="140">
        <f>IFERROR(__xludf.DUMMYFUNCTION("IF(ISBLANK($M95), QUERY(OptionPositionsLog!$A$2:$K796, ""SELECT J WHERE B = '"" &amp; $B95  &amp; ""' ORDER BY A DESC LIMIT 1""), 0)"),2.7552E-4)</f>
        <v>0.00027552</v>
      </c>
      <c r="Y95" s="140">
        <f>IFERROR(__xludf.DUMMYFUNCTION("IF(ISBLANK($M95), QUERY(OptionPositionsLog!$A$2:$K796, ""SELECT D WHERE B = '"" &amp; $B95  &amp; ""' ORDER BY A DESC LIMIT 1"")*100, """")"),60.0)</f>
        <v>60</v>
      </c>
      <c r="Z95" s="148">
        <f>IFERROR(__xludf.DUMMYFUNCTION("QUERY(OptionPositionsLog, ""SELECT K WHERE B = '"" &amp; $B95  &amp; ""' ORDER BY K DESC LIMIT 1"")"),41.68)</f>
        <v>41.68</v>
      </c>
      <c r="AA95" s="154">
        <f t="shared" si="11"/>
        <v>-102346.6667</v>
      </c>
      <c r="AB95" s="155">
        <f t="shared" si="8"/>
        <v>2046.933333</v>
      </c>
      <c r="AC95" s="153">
        <f t="shared" si="9"/>
        <v>0</v>
      </c>
      <c r="AD95" s="31"/>
    </row>
    <row r="96" ht="22.5" customHeight="1">
      <c r="A96" s="129" t="s">
        <v>276</v>
      </c>
      <c r="B96" s="130" t="s">
        <v>551</v>
      </c>
      <c r="C96" s="131">
        <v>46056.0</v>
      </c>
      <c r="D96" s="131">
        <v>46101.0</v>
      </c>
      <c r="E96" s="131">
        <v>46062.0</v>
      </c>
      <c r="F96" s="132">
        <v>-1.0</v>
      </c>
      <c r="G96" s="30" t="s">
        <v>459</v>
      </c>
      <c r="H96" s="133">
        <v>835.0</v>
      </c>
      <c r="I96" s="30">
        <v>1.77298</v>
      </c>
      <c r="J96" s="30">
        <v>1.0</v>
      </c>
      <c r="K96" s="147">
        <v>100.0</v>
      </c>
      <c r="L96" s="148">
        <f>IFERROR(__xludf.DUMMYFUNCTION("QUERY(OptionPositionsLog, ""SELECT E WHERE B = '"" &amp; $B96  &amp; ""' ORDER BY A DESC LIMIT 1"")"),1.47)</f>
        <v>1.47</v>
      </c>
      <c r="M96" s="30">
        <v>0.05</v>
      </c>
      <c r="N96" s="140">
        <f t="shared" si="1"/>
        <v>147</v>
      </c>
      <c r="O96" s="140">
        <f t="shared" si="2"/>
        <v>0</v>
      </c>
      <c r="P96" s="149">
        <f t="shared" si="3"/>
        <v>0</v>
      </c>
      <c r="Q96" s="138" t="str">
        <f t="shared" si="4"/>
        <v/>
      </c>
      <c r="R96" s="150">
        <f t="shared" si="5"/>
        <v>171.298</v>
      </c>
      <c r="S96" s="140">
        <f t="shared" si="6"/>
        <v>100</v>
      </c>
      <c r="T96" s="140">
        <f>IFERROR(__xludf.DUMMYFUNCTION("IF(ISBLANK($M96), QUERY(OptionPositionsLog!$A$2:$K796, ""SELECT F WHERE B = '"" &amp; $B96  &amp; ""' ORDER BY A DESC LIMIT 1""), 0)"),0.0)</f>
        <v>0</v>
      </c>
      <c r="U96" s="140">
        <f>IFERROR(__xludf.DUMMYFUNCTION("IF(ISBLANK($M96), QUERY(OptionPositionsLog!$A$2:$K796, ""SELECT G WHERE B = '"" &amp; $B96  &amp; ""' ORDER BY A DESC LIMIT 1"")*F96, 0)"),0.0)</f>
        <v>0</v>
      </c>
      <c r="V96" s="140">
        <f>IFERROR(__xludf.DUMMYFUNCTION("IF(ISBLANK($M96), QUERY(OptionPositionsLog!$A$2:$K796, ""SELECT H WHERE B = '"" &amp; $B96  &amp; ""' ORDER BY A DESC LIMIT 1"")*F96, 0)"),0.0)</f>
        <v>0</v>
      </c>
      <c r="W96" s="140">
        <f>IFERROR(__xludf.DUMMYFUNCTION("IF(ISBLANK($M96), QUERY(OptionPositionsLog!$A$2:$K796, ""SELECT I WHERE B = '"" &amp; $B96  &amp; ""' ORDER BY A DESC LIMIT 1""), 0)"),0.0)</f>
        <v>0</v>
      </c>
      <c r="X96" s="140">
        <f>IFERROR(__xludf.DUMMYFUNCTION("IF(ISBLANK($M96), QUERY(OptionPositionsLog!$A$2:$K796, ""SELECT J WHERE B = '"" &amp; $B96  &amp; ""' ORDER BY A DESC LIMIT 1""), 0)"),0.0)</f>
        <v>0</v>
      </c>
      <c r="Y96" s="140" t="str">
        <f>IFERROR(__xludf.DUMMYFUNCTION("IF(ISBLANK($M96), QUERY(OptionPositionsLog!$A$2:$K796, ""SELECT D WHERE B = '"" &amp; $B96  &amp; ""' ORDER BY A DESC LIMIT 1"")*100, """")"),"")</f>
        <v/>
      </c>
      <c r="Z96" s="148">
        <f>IFERROR(__xludf.DUMMYFUNCTION("QUERY(OptionPositionsLog, ""SELECT K WHERE B = '"" &amp; $B96  &amp; ""' ORDER BY K DESC LIMIT 1"")"),30.69)</f>
        <v>30.69</v>
      </c>
      <c r="AA96" s="154">
        <f t="shared" si="11"/>
        <v>13.33333333</v>
      </c>
      <c r="AB96" s="155" t="str">
        <f t="shared" si="8"/>
        <v/>
      </c>
      <c r="AC96" s="153">
        <f t="shared" si="9"/>
        <v>558.1557511</v>
      </c>
      <c r="AD96" s="31"/>
    </row>
    <row r="97" ht="22.5" customHeight="1">
      <c r="A97" s="129" t="s">
        <v>209</v>
      </c>
      <c r="B97" s="130" t="s">
        <v>552</v>
      </c>
      <c r="C97" s="131">
        <v>46056.0</v>
      </c>
      <c r="D97" s="131">
        <v>46101.0</v>
      </c>
      <c r="E97" s="131">
        <v>46077.0</v>
      </c>
      <c r="F97" s="132">
        <v>1.0</v>
      </c>
      <c r="G97" s="30" t="s">
        <v>459</v>
      </c>
      <c r="H97" s="133">
        <v>65.0</v>
      </c>
      <c r="I97" s="30">
        <v>0.29049</v>
      </c>
      <c r="J97" s="30">
        <v>1.0</v>
      </c>
      <c r="K97" s="147">
        <v>100.0</v>
      </c>
      <c r="L97" s="148">
        <f>IFERROR(__xludf.DUMMYFUNCTION("QUERY(OptionPositionsLog, ""SELECT E WHERE B = '"" &amp; $B97  &amp; ""' ORDER BY A DESC LIMIT 1"")"),2.45)</f>
        <v>2.45</v>
      </c>
      <c r="M97" s="30">
        <v>2.2</v>
      </c>
      <c r="N97" s="140">
        <f t="shared" si="1"/>
        <v>245</v>
      </c>
      <c r="O97" s="140">
        <f t="shared" si="2"/>
        <v>0</v>
      </c>
      <c r="P97" s="149">
        <f t="shared" si="3"/>
        <v>0</v>
      </c>
      <c r="Q97" s="138" t="str">
        <f t="shared" si="4"/>
        <v/>
      </c>
      <c r="R97" s="150">
        <f t="shared" si="5"/>
        <v>189.951</v>
      </c>
      <c r="S97" s="140">
        <f t="shared" si="6"/>
        <v>650</v>
      </c>
      <c r="T97" s="140">
        <f>IFERROR(__xludf.DUMMYFUNCTION("IF(ISBLANK($M97), QUERY(OptionPositionsLog!$A$2:$K796, ""SELECT F WHERE B = '"" &amp; $B97  &amp; ""' ORDER BY A DESC LIMIT 1""), 0)"),0.0)</f>
        <v>0</v>
      </c>
      <c r="U97" s="140">
        <f>IFERROR(__xludf.DUMMYFUNCTION("IF(ISBLANK($M97), QUERY(OptionPositionsLog!$A$2:$K796, ""SELECT G WHERE B = '"" &amp; $B97  &amp; ""' ORDER BY A DESC LIMIT 1"")*F97, 0)"),0.0)</f>
        <v>0</v>
      </c>
      <c r="V97" s="140">
        <f>IFERROR(__xludf.DUMMYFUNCTION("IF(ISBLANK($M97), QUERY(OptionPositionsLog!$A$2:$K796, ""SELECT H WHERE B = '"" &amp; $B97  &amp; ""' ORDER BY A DESC LIMIT 1"")*F97, 0)"),0.0)</f>
        <v>0</v>
      </c>
      <c r="W97" s="140">
        <f>IFERROR(__xludf.DUMMYFUNCTION("IF(ISBLANK($M97), QUERY(OptionPositionsLog!$A$2:$K796, ""SELECT I WHERE B = '"" &amp; $B97  &amp; ""' ORDER BY A DESC LIMIT 1""), 0)"),0.0)</f>
        <v>0</v>
      </c>
      <c r="X97" s="140">
        <f>IFERROR(__xludf.DUMMYFUNCTION("IF(ISBLANK($M97), QUERY(OptionPositionsLog!$A$2:$K796, ""SELECT J WHERE B = '"" &amp; $B97  &amp; ""' ORDER BY A DESC LIMIT 1""), 0)"),0.0)</f>
        <v>0</v>
      </c>
      <c r="Y97" s="140" t="str">
        <f>IFERROR(__xludf.DUMMYFUNCTION("IF(ISBLANK($M97), QUERY(OptionPositionsLog!$A$2:$K796, ""SELECT D WHERE B = '"" &amp; $B97  &amp; ""' ORDER BY A DESC LIMIT 1"")*100, """")"),"")</f>
        <v/>
      </c>
      <c r="Z97" s="148">
        <f>IFERROR(__xludf.DUMMYFUNCTION("QUERY(OptionPositionsLog, ""SELECT K WHERE B = '"" &amp; $B97  &amp; ""' ORDER BY K DESC LIMIT 1"")"),193.19)</f>
        <v>193.19</v>
      </c>
      <c r="AA97" s="154">
        <f t="shared" si="11"/>
        <v>46.66666667</v>
      </c>
      <c r="AB97" s="155" t="str">
        <f t="shared" si="8"/>
        <v/>
      </c>
      <c r="AC97" s="153">
        <f t="shared" si="9"/>
        <v>98.32341218</v>
      </c>
      <c r="AD97" s="31"/>
    </row>
    <row r="98" ht="22.5" customHeight="1">
      <c r="A98" s="129" t="s">
        <v>183</v>
      </c>
      <c r="B98" s="130" t="s">
        <v>553</v>
      </c>
      <c r="C98" s="131">
        <v>46057.0</v>
      </c>
      <c r="D98" s="131">
        <v>46101.0</v>
      </c>
      <c r="E98" s="30" t="s">
        <v>516</v>
      </c>
      <c r="F98" s="132">
        <v>-1.0</v>
      </c>
      <c r="G98" s="30" t="s">
        <v>455</v>
      </c>
      <c r="H98" s="133">
        <v>42.0</v>
      </c>
      <c r="I98" s="30">
        <v>2.22298</v>
      </c>
      <c r="J98" s="30">
        <v>1.0</v>
      </c>
      <c r="K98" s="147">
        <v>100.0</v>
      </c>
      <c r="L98" s="148">
        <f>IFERROR(__xludf.DUMMYFUNCTION("QUERY(OptionPositionsLog, ""SELECT E WHERE B = '"" &amp; $B98  &amp; ""' ORDER BY A DESC LIMIT 1"")"),0.8)</f>
        <v>0.8</v>
      </c>
      <c r="M98" s="30"/>
      <c r="N98" s="140">
        <f t="shared" si="1"/>
        <v>80</v>
      </c>
      <c r="O98" s="140">
        <f t="shared" si="2"/>
        <v>1.42298</v>
      </c>
      <c r="P98" s="149">
        <f t="shared" si="3"/>
        <v>142.298</v>
      </c>
      <c r="Q98" s="138">
        <f t="shared" si="4"/>
        <v>64</v>
      </c>
      <c r="R98" s="150">
        <f t="shared" si="5"/>
        <v>0</v>
      </c>
      <c r="S98" s="140">
        <f t="shared" si="6"/>
        <v>0</v>
      </c>
      <c r="T98" s="140">
        <f>IFERROR(__xludf.DUMMYFUNCTION("IF(ISBLANK($M98), QUERY(OptionPositionsLog!$A$2:$K796, ""SELECT F WHERE B = '"" &amp; $B98  &amp; ""' ORDER BY A DESC LIMIT 1""), 0)"),0.8)</f>
        <v>0.8</v>
      </c>
      <c r="U98" s="140">
        <f>IFERROR(__xludf.DUMMYFUNCTION("IF(ISBLANK($M98), QUERY(OptionPositionsLog!$A$2:$K796, ""SELECT G WHERE B = '"" &amp; $B98  &amp; ""' ORDER BY A DESC LIMIT 1"")*F98, 0)"),0.15461266)</f>
        <v>0.15461266</v>
      </c>
      <c r="V98" s="140">
        <f>IFERROR(__xludf.DUMMYFUNCTION("IF(ISBLANK($M98), QUERY(OptionPositionsLog!$A$2:$K796, ""SELECT H WHERE B = '"" &amp; $B98  &amp; ""' ORDER BY A DESC LIMIT 1"")*F98, 0)"),0.09757697)</f>
        <v>0.09757697</v>
      </c>
      <c r="W98" s="140">
        <f>IFERROR(__xludf.DUMMYFUNCTION("IF(ISBLANK($M98), QUERY(OptionPositionsLog!$A$2:$K796, ""SELECT I WHERE B = '"" &amp; $B98  &amp; ""' ORDER BY A DESC LIMIT 1""), 0)"),0.02744037)</f>
        <v>0.02744037</v>
      </c>
      <c r="X98" s="140">
        <f>IFERROR(__xludf.DUMMYFUNCTION("IF(ISBLANK($M98), QUERY(OptionPositionsLog!$A$2:$K796, ""SELECT J WHERE B = '"" &amp; $B98  &amp; ""' ORDER BY A DESC LIMIT 1""), 0)"),0.02086131)</f>
        <v>0.02086131</v>
      </c>
      <c r="Y98" s="140">
        <f>IFERROR(__xludf.DUMMYFUNCTION("IF(ISBLANK($M98), QUERY(OptionPositionsLog!$A$2:$K796, ""SELECT D WHERE B = '"" &amp; $B98  &amp; ""' ORDER BY A DESC LIMIT 1"")*100, """")"),106.0)</f>
        <v>106</v>
      </c>
      <c r="Z98" s="148">
        <f>IFERROR(__xludf.DUMMYFUNCTION("QUERY(OptionPositionsLog, ""SELECT K WHERE B = '"" &amp; $B98  &amp; ""' ORDER BY K DESC LIMIT 1"")"),632.5)</f>
        <v>632.5</v>
      </c>
      <c r="AA98" s="154">
        <f t="shared" si="11"/>
        <v>-104675</v>
      </c>
      <c r="AB98" s="155">
        <f t="shared" si="8"/>
        <v>-1635.546875</v>
      </c>
      <c r="AC98" s="153">
        <f t="shared" si="9"/>
        <v>0</v>
      </c>
      <c r="AD98" s="31"/>
    </row>
    <row r="99" ht="22.5" customHeight="1">
      <c r="A99" s="129" t="s">
        <v>183</v>
      </c>
      <c r="B99" s="130" t="s">
        <v>554</v>
      </c>
      <c r="C99" s="131">
        <v>46057.0</v>
      </c>
      <c r="D99" s="131">
        <v>46101.0</v>
      </c>
      <c r="E99" s="30" t="s">
        <v>516</v>
      </c>
      <c r="F99" s="132">
        <v>1.0</v>
      </c>
      <c r="G99" s="30" t="s">
        <v>459</v>
      </c>
      <c r="H99" s="133">
        <v>57.5</v>
      </c>
      <c r="I99" s="30">
        <v>1.31699</v>
      </c>
      <c r="J99" s="30">
        <v>1.0</v>
      </c>
      <c r="K99" s="147">
        <v>100.0</v>
      </c>
      <c r="L99" s="148">
        <f>IFERROR(__xludf.DUMMYFUNCTION("QUERY(OptionPositionsLog, ""SELECT E WHERE B = '"" &amp; $B99  &amp; ""' ORDER BY A DESC LIMIT 1"")"),0.05)</f>
        <v>0.05</v>
      </c>
      <c r="M99" s="30"/>
      <c r="N99" s="140">
        <f t="shared" si="1"/>
        <v>5</v>
      </c>
      <c r="O99" s="140">
        <f t="shared" si="2"/>
        <v>-1.26699</v>
      </c>
      <c r="P99" s="149">
        <f t="shared" si="3"/>
        <v>-126.699</v>
      </c>
      <c r="Q99" s="138">
        <f t="shared" si="4"/>
        <v>-96</v>
      </c>
      <c r="R99" s="150">
        <f t="shared" si="5"/>
        <v>0</v>
      </c>
      <c r="S99" s="140">
        <f t="shared" si="6"/>
        <v>0</v>
      </c>
      <c r="T99" s="140">
        <f>IFERROR(__xludf.DUMMYFUNCTION("IF(ISBLANK($M99), QUERY(OptionPositionsLog!$A$2:$K796, ""SELECT F WHERE B = '"" &amp; $B99  &amp; ""' ORDER BY A DESC LIMIT 1""), 0)"),0.05)</f>
        <v>0.05</v>
      </c>
      <c r="U99" s="140">
        <f>IFERROR(__xludf.DUMMYFUNCTION("IF(ISBLANK($M99), QUERY(OptionPositionsLog!$A$2:$K796, ""SELECT G WHERE B = '"" &amp; $B99  &amp; ""' ORDER BY A DESC LIMIT 1"")*F99, 0)"),0.04766423)</f>
        <v>0.04766423</v>
      </c>
      <c r="V99" s="140">
        <f>IFERROR(__xludf.DUMMYFUNCTION("IF(ISBLANK($M99), QUERY(OptionPositionsLog!$A$2:$K796, ""SELECT H WHERE B = '"" &amp; $B99  &amp; ""' ORDER BY A DESC LIMIT 1"")*F99, 0)"),-0.02069055)</f>
        <v>-0.02069055</v>
      </c>
      <c r="W99" s="140">
        <f>IFERROR(__xludf.DUMMYFUNCTION("IF(ISBLANK($M99), QUERY(OptionPositionsLog!$A$2:$K796, ""SELECT I WHERE B = '"" &amp; $B99  &amp; ""' ORDER BY A DESC LIMIT 1""), 0)"),0.02278726)</f>
        <v>0.02278726</v>
      </c>
      <c r="X99" s="140">
        <f>IFERROR(__xludf.DUMMYFUNCTION("IF(ISBLANK($M99), QUERY(OptionPositionsLog!$A$2:$K796, ""SELECT J WHERE B = '"" &amp; $B99  &amp; ""' ORDER BY A DESC LIMIT 1""), 0)"),0.00884564)</f>
        <v>0.00884564</v>
      </c>
      <c r="Y99" s="140">
        <f>IFERROR(__xludf.DUMMYFUNCTION("IF(ISBLANK($M99), QUERY(OptionPositionsLog!$A$2:$K796, ""SELECT D WHERE B = '"" &amp; $B99  &amp; ""' ORDER BY A DESC LIMIT 1"")*100, """")"),50.0)</f>
        <v>50</v>
      </c>
      <c r="Z99" s="148">
        <f>IFERROR(__xludf.DUMMYFUNCTION("QUERY(OptionPositionsLog, ""SELECT K WHERE B = '"" &amp; $B99  &amp; ""' ORDER BY K DESC LIMIT 1"")"),7.74)</f>
        <v>7.74</v>
      </c>
      <c r="AA99" s="154">
        <f t="shared" si="11"/>
        <v>-104675</v>
      </c>
      <c r="AB99" s="155">
        <f t="shared" si="8"/>
        <v>1090.364583</v>
      </c>
      <c r="AC99" s="153">
        <f t="shared" si="9"/>
        <v>0</v>
      </c>
      <c r="AD99" s="31"/>
    </row>
    <row r="100" ht="22.5" customHeight="1">
      <c r="A100" s="129" t="s">
        <v>183</v>
      </c>
      <c r="B100" s="130" t="s">
        <v>555</v>
      </c>
      <c r="C100" s="131">
        <v>46057.0</v>
      </c>
      <c r="D100" s="131">
        <v>46101.0</v>
      </c>
      <c r="E100" s="131">
        <v>46085.0</v>
      </c>
      <c r="F100" s="132">
        <v>-1.0</v>
      </c>
      <c r="G100" s="30" t="s">
        <v>459</v>
      </c>
      <c r="H100" s="133">
        <v>60.0</v>
      </c>
      <c r="I100" s="30">
        <v>0.78298</v>
      </c>
      <c r="J100" s="30">
        <v>1.0</v>
      </c>
      <c r="K100" s="147">
        <v>100.0</v>
      </c>
      <c r="L100" s="30">
        <v>0.05</v>
      </c>
      <c r="M100" s="30"/>
      <c r="N100" s="140">
        <f t="shared" si="1"/>
        <v>5</v>
      </c>
      <c r="O100" s="140">
        <f t="shared" si="2"/>
        <v>0.73298</v>
      </c>
      <c r="P100" s="149">
        <f t="shared" si="3"/>
        <v>73.298</v>
      </c>
      <c r="Q100" s="138">
        <f t="shared" si="4"/>
        <v>94</v>
      </c>
      <c r="R100" s="150">
        <f t="shared" si="5"/>
        <v>0</v>
      </c>
      <c r="S100" s="140">
        <f t="shared" si="6"/>
        <v>0</v>
      </c>
      <c r="T100" s="140">
        <f>IFERROR(__xludf.DUMMYFUNCTION("IF(ISBLANK($M100), QUERY(OptionPositionsLog!$A$2:$K796, ""SELECT F WHERE B = '"" &amp; $B100  &amp; ""' ORDER BY A DESC LIMIT 1""), 0)"),0.03)</f>
        <v>0.03</v>
      </c>
      <c r="U100" s="140">
        <f>IFERROR(__xludf.DUMMYFUNCTION("IF(ISBLANK($M100), QUERY(OptionPositionsLog!$A$2:$K796, ""SELECT G WHERE B = '"" &amp; $B100  &amp; ""' ORDER BY A DESC LIMIT 1"")*F100, 0)"),-0.02528909)</f>
        <v>-0.02528909</v>
      </c>
      <c r="V100" s="140">
        <f>IFERROR(__xludf.DUMMYFUNCTION("IF(ISBLANK($M100), QUERY(OptionPositionsLog!$A$2:$K796, ""SELECT H WHERE B = '"" &amp; $B100  &amp; ""' ORDER BY A DESC LIMIT 1"")*F100, 0)"),0.00935199)</f>
        <v>0.00935199</v>
      </c>
      <c r="W100" s="140">
        <f>IFERROR(__xludf.DUMMYFUNCTION("IF(ISBLANK($M100), QUERY(OptionPositionsLog!$A$2:$K796, ""SELECT I WHERE B = '"" &amp; $B100  &amp; ""' ORDER BY A DESC LIMIT 1""), 0)"),0.01120374)</f>
        <v>0.01120374</v>
      </c>
      <c r="X100" s="140">
        <f>IFERROR(__xludf.DUMMYFUNCTION("IF(ISBLANK($M100), QUERY(OptionPositionsLog!$A$2:$K796, ""SELECT J WHERE B = '"" &amp; $B100  &amp; ""' ORDER BY A DESC LIMIT 1""), 0)"),0.00689878)</f>
        <v>0.00689878</v>
      </c>
      <c r="Y100" s="140">
        <f>IFERROR(__xludf.DUMMYFUNCTION("IF(ISBLANK($M100), QUERY(OptionPositionsLog!$A$2:$K796, ""SELECT D WHERE B = '"" &amp; $B100  &amp; ""' ORDER BY A DESC LIMIT 1"")*100, """")"),51.0)</f>
        <v>51</v>
      </c>
      <c r="Z100" s="148">
        <f>IFERROR(__xludf.DUMMYFUNCTION("QUERY(OptionPositionsLog, ""SELECT K WHERE B = '"" &amp; $B100  &amp; ""' ORDER BY K DESC LIMIT 1"")"),5.72)</f>
        <v>5.72</v>
      </c>
      <c r="AA100" s="154">
        <f t="shared" si="11"/>
        <v>63.63636364</v>
      </c>
      <c r="AB100" s="155">
        <f t="shared" si="8"/>
        <v>0.6769825919</v>
      </c>
      <c r="AC100" s="153">
        <f t="shared" si="9"/>
        <v>0</v>
      </c>
      <c r="AD100" s="31"/>
    </row>
    <row r="101" ht="22.5" customHeight="1">
      <c r="A101" s="129" t="s">
        <v>222</v>
      </c>
      <c r="B101" s="130" t="s">
        <v>556</v>
      </c>
      <c r="C101" s="131">
        <v>46057.0</v>
      </c>
      <c r="D101" s="131">
        <v>46101.0</v>
      </c>
      <c r="E101" s="30" t="s">
        <v>516</v>
      </c>
      <c r="F101" s="132">
        <v>1.0</v>
      </c>
      <c r="G101" s="30" t="s">
        <v>459</v>
      </c>
      <c r="H101" s="133">
        <v>270.0</v>
      </c>
      <c r="I101" s="30">
        <v>3.73699</v>
      </c>
      <c r="J101" s="30">
        <v>1.0</v>
      </c>
      <c r="K101" s="147">
        <v>100.0</v>
      </c>
      <c r="L101" s="148">
        <f>IFERROR(__xludf.DUMMYFUNCTION("QUERY(OptionPositionsLog, ""SELECT E WHERE B = '"" &amp; $B101  &amp; ""' ORDER BY A DESC LIMIT 1"")"),0.22)</f>
        <v>0.22</v>
      </c>
      <c r="M101" s="30"/>
      <c r="N101" s="140">
        <f t="shared" si="1"/>
        <v>22</v>
      </c>
      <c r="O101" s="140">
        <f t="shared" si="2"/>
        <v>-3.51699</v>
      </c>
      <c r="P101" s="149">
        <f t="shared" si="3"/>
        <v>-351.699</v>
      </c>
      <c r="Q101" s="138">
        <f t="shared" si="4"/>
        <v>-94</v>
      </c>
      <c r="R101" s="150">
        <f t="shared" si="5"/>
        <v>0</v>
      </c>
      <c r="S101" s="140">
        <f t="shared" si="6"/>
        <v>0</v>
      </c>
      <c r="T101" s="140">
        <f>IFERROR(__xludf.DUMMYFUNCTION("IF(ISBLANK($M101), QUERY(OptionPositionsLog!$A$2:$K796, ""SELECT F WHERE B = '"" &amp; $B101  &amp; ""' ORDER BY A DESC LIMIT 1""), 0)"),0.22)</f>
        <v>0.22</v>
      </c>
      <c r="U101" s="140">
        <f>IFERROR(__xludf.DUMMYFUNCTION("IF(ISBLANK($M101), QUERY(OptionPositionsLog!$A$2:$K796, ""SELECT G WHERE B = '"" &amp; $B101  &amp; ""' ORDER BY A DESC LIMIT 1"")*F101, 0)"),0.05269507)</f>
        <v>0.05269507</v>
      </c>
      <c r="V101" s="140">
        <f>IFERROR(__xludf.DUMMYFUNCTION("IF(ISBLANK($M101), QUERY(OptionPositionsLog!$A$2:$K796, ""SELECT H WHERE B = '"" &amp; $B101  &amp; ""' ORDER BY A DESC LIMIT 1"")*F101, 0)"),-0.05656299)</f>
        <v>-0.05656299</v>
      </c>
      <c r="W101" s="140">
        <f>IFERROR(__xludf.DUMMYFUNCTION("IF(ISBLANK($M101), QUERY(OptionPositionsLog!$A$2:$K796, ""SELECT I WHERE B = '"" &amp; $B101  &amp; ""' ORDER BY A DESC LIMIT 1""), 0)"),0.01071397)</f>
        <v>0.01071397</v>
      </c>
      <c r="X101" s="140">
        <f>IFERROR(__xludf.DUMMYFUNCTION("IF(ISBLANK($M101), QUERY(OptionPositionsLog!$A$2:$K796, ""SELECT J WHERE B = '"" &amp; $B101  &amp; ""' ORDER BY A DESC LIMIT 1""), 0)"),0.04299092)</f>
        <v>0.04299092</v>
      </c>
      <c r="Y101" s="140">
        <f>IFERROR(__xludf.DUMMYFUNCTION("IF(ISBLANK($M101), QUERY(OptionPositionsLog!$A$2:$K796, ""SELECT D WHERE B = '"" &amp; $B101  &amp; ""' ORDER BY A DESC LIMIT 1"")*100, """")"),24.0)</f>
        <v>24</v>
      </c>
      <c r="Z101" s="148">
        <f>IFERROR(__xludf.DUMMYFUNCTION("QUERY(OptionPositionsLog, ""SELECT K WHERE B = '"" &amp; $B101  &amp; ""' ORDER BY K DESC LIMIT 1"")"),43.2)</f>
        <v>43.2</v>
      </c>
      <c r="AA101" s="154">
        <f t="shared" si="11"/>
        <v>-104675</v>
      </c>
      <c r="AB101" s="155">
        <f t="shared" si="8"/>
        <v>1113.56383</v>
      </c>
      <c r="AC101" s="153">
        <f t="shared" si="9"/>
        <v>0</v>
      </c>
      <c r="AD101" s="31"/>
    </row>
    <row r="102" ht="22.5" customHeight="1">
      <c r="A102" s="129" t="s">
        <v>222</v>
      </c>
      <c r="B102" s="130" t="s">
        <v>557</v>
      </c>
      <c r="C102" s="131">
        <v>46057.0</v>
      </c>
      <c r="D102" s="131">
        <v>46101.0</v>
      </c>
      <c r="E102" s="30" t="s">
        <v>516</v>
      </c>
      <c r="F102" s="132">
        <v>-1.0</v>
      </c>
      <c r="G102" s="30" t="s">
        <v>455</v>
      </c>
      <c r="H102" s="133">
        <v>240.0</v>
      </c>
      <c r="I102" s="30">
        <v>2.69298</v>
      </c>
      <c r="J102" s="30">
        <v>1.0</v>
      </c>
      <c r="K102" s="147">
        <v>100.0</v>
      </c>
      <c r="L102" s="148">
        <f>IFERROR(__xludf.DUMMYFUNCTION("QUERY(OptionPositionsLog, ""SELECT E WHERE B = '"" &amp; $B102  &amp; ""' ORDER BY A DESC LIMIT 1"")"),2.02)</f>
        <v>2.02</v>
      </c>
      <c r="M102" s="30"/>
      <c r="N102" s="140">
        <f t="shared" si="1"/>
        <v>202</v>
      </c>
      <c r="O102" s="140">
        <f t="shared" si="2"/>
        <v>0.67298</v>
      </c>
      <c r="P102" s="149">
        <f t="shared" si="3"/>
        <v>67.298</v>
      </c>
      <c r="Q102" s="138">
        <f t="shared" si="4"/>
        <v>25</v>
      </c>
      <c r="R102" s="150">
        <f t="shared" si="5"/>
        <v>0</v>
      </c>
      <c r="S102" s="140">
        <f t="shared" si="6"/>
        <v>0</v>
      </c>
      <c r="T102" s="140">
        <f>IFERROR(__xludf.DUMMYFUNCTION("IF(ISBLANK($M102), QUERY(OptionPositionsLog!$A$2:$K796, ""SELECT F WHERE B = '"" &amp; $B102  &amp; ""' ORDER BY A DESC LIMIT 1""), 0)"),2.02)</f>
        <v>2.02</v>
      </c>
      <c r="U102" s="140">
        <f>IFERROR(__xludf.DUMMYFUNCTION("IF(ISBLANK($M102), QUERY(OptionPositionsLog!$A$2:$K796, ""SELECT G WHERE B = '"" &amp; $B102  &amp; ""' ORDER BY A DESC LIMIT 1"")*F102, 0)"),0.20615858)</f>
        <v>0.20615858</v>
      </c>
      <c r="V102" s="140">
        <f>IFERROR(__xludf.DUMMYFUNCTION("IF(ISBLANK($M102), QUERY(OptionPositionsLog!$A$2:$K796, ""SELECT H WHERE B = '"" &amp; $B102  &amp; ""' ORDER BY A DESC LIMIT 1"")*F102, 0)"),0.24538989)</f>
        <v>0.24538989</v>
      </c>
      <c r="W102" s="140">
        <f>IFERROR(__xludf.DUMMYFUNCTION("IF(ISBLANK($M102), QUERY(OptionPositionsLog!$A$2:$K796, ""SELECT I WHERE B = '"" &amp; $B102  &amp; ""' ORDER BY A DESC LIMIT 1""), 0)"),0.01696913)</f>
        <v>0.01696913</v>
      </c>
      <c r="X102" s="140">
        <f>IFERROR(__xludf.DUMMYFUNCTION("IF(ISBLANK($M102), QUERY(OptionPositionsLog!$A$2:$K796, ""SELECT J WHERE B = '"" &amp; $B102  &amp; ""' ORDER BY A DESC LIMIT 1""), 0)"),0.12598839)</f>
        <v>0.12598839</v>
      </c>
      <c r="Y102" s="140">
        <f>IFERROR(__xludf.DUMMYFUNCTION("IF(ISBLANK($M102), QUERY(OptionPositionsLog!$A$2:$K796, ""SELECT D WHERE B = '"" &amp; $B102  &amp; ""' ORDER BY A DESC LIMIT 1"")*100, """")"),41.0)</f>
        <v>41</v>
      </c>
      <c r="Z102" s="148">
        <f>IFERROR(__xludf.DUMMYFUNCTION("QUERY(OptionPositionsLog, ""SELECT K WHERE B = '"" &amp; $B102  &amp; ""' ORDER BY K DESC LIMIT 1"")"),1789.78)</f>
        <v>1789.78</v>
      </c>
      <c r="AA102" s="154">
        <f t="shared" si="11"/>
        <v>-104675</v>
      </c>
      <c r="AB102" s="155">
        <f t="shared" si="8"/>
        <v>-4187</v>
      </c>
      <c r="AC102" s="153">
        <f t="shared" si="9"/>
        <v>0</v>
      </c>
      <c r="AD102" s="31"/>
    </row>
    <row r="103" ht="22.5" customHeight="1">
      <c r="A103" s="129" t="s">
        <v>222</v>
      </c>
      <c r="B103" s="130" t="s">
        <v>558</v>
      </c>
      <c r="C103" s="131">
        <v>46057.0</v>
      </c>
      <c r="D103" s="131">
        <v>46101.0</v>
      </c>
      <c r="E103" s="131">
        <v>46092.0</v>
      </c>
      <c r="F103" s="132">
        <v>-1.0</v>
      </c>
      <c r="G103" s="30" t="s">
        <v>459</v>
      </c>
      <c r="H103" s="133">
        <v>273.0</v>
      </c>
      <c r="I103" s="30">
        <v>2.80298</v>
      </c>
      <c r="J103" s="30">
        <v>1.0</v>
      </c>
      <c r="K103" s="147">
        <v>100.0</v>
      </c>
      <c r="L103" s="148">
        <f>IFERROR(__xludf.DUMMYFUNCTION("QUERY(OptionPositionsLog, ""SELECT E WHERE B = '"" &amp; $B103  &amp; ""' ORDER BY A DESC LIMIT 1"")"),0.2)</f>
        <v>0.2</v>
      </c>
      <c r="M103" s="30">
        <v>0.11</v>
      </c>
      <c r="N103" s="140">
        <f t="shared" si="1"/>
        <v>20</v>
      </c>
      <c r="O103" s="140">
        <f t="shared" si="2"/>
        <v>0</v>
      </c>
      <c r="P103" s="149">
        <f t="shared" si="3"/>
        <v>0</v>
      </c>
      <c r="Q103" s="138" t="str">
        <f t="shared" si="4"/>
        <v/>
      </c>
      <c r="R103" s="150">
        <f t="shared" si="5"/>
        <v>268.298</v>
      </c>
      <c r="S103" s="140">
        <f t="shared" si="6"/>
        <v>100</v>
      </c>
      <c r="T103" s="140">
        <f>IFERROR(__xludf.DUMMYFUNCTION("IF(ISBLANK($M103), QUERY(OptionPositionsLog!$A$2:$K796, ""SELECT F WHERE B = '"" &amp; $B103  &amp; ""' ORDER BY A DESC LIMIT 1""), 0)"),0.0)</f>
        <v>0</v>
      </c>
      <c r="U103" s="140">
        <f>IFERROR(__xludf.DUMMYFUNCTION("IF(ISBLANK($M103), QUERY(OptionPositionsLog!$A$2:$K796, ""SELECT G WHERE B = '"" &amp; $B103  &amp; ""' ORDER BY A DESC LIMIT 1"")*F103, 0)"),0.0)</f>
        <v>0</v>
      </c>
      <c r="V103" s="140">
        <f>IFERROR(__xludf.DUMMYFUNCTION("IF(ISBLANK($M103), QUERY(OptionPositionsLog!$A$2:$K796, ""SELECT H WHERE B = '"" &amp; $B103  &amp; ""' ORDER BY A DESC LIMIT 1"")*F103, 0)"),0.0)</f>
        <v>0</v>
      </c>
      <c r="W103" s="140">
        <f>IFERROR(__xludf.DUMMYFUNCTION("IF(ISBLANK($M103), QUERY(OptionPositionsLog!$A$2:$K796, ""SELECT I WHERE B = '"" &amp; $B103  &amp; ""' ORDER BY A DESC LIMIT 1""), 0)"),0.0)</f>
        <v>0</v>
      </c>
      <c r="X103" s="140">
        <f>IFERROR(__xludf.DUMMYFUNCTION("IF(ISBLANK($M103), QUERY(OptionPositionsLog!$A$2:$K796, ""SELECT J WHERE B = '"" &amp; $B103  &amp; ""' ORDER BY A DESC LIMIT 1""), 0)"),0.0)</f>
        <v>0</v>
      </c>
      <c r="Y103" s="140" t="str">
        <f>IFERROR(__xludf.DUMMYFUNCTION("IF(ISBLANK($M103), QUERY(OptionPositionsLog!$A$2:$K796, ""SELECT D WHERE B = '"" &amp; $B103  &amp; ""' ORDER BY A DESC LIMIT 1"")*100, """")"),"")</f>
        <v/>
      </c>
      <c r="Z103" s="148">
        <f>IFERROR(__xludf.DUMMYFUNCTION("QUERY(OptionPositionsLog, ""SELECT K WHERE B = '"" &amp; $B103  &amp; ""' ORDER BY K DESC LIMIT 1"")"),36.45)</f>
        <v>36.45</v>
      </c>
      <c r="AA103" s="154">
        <f t="shared" si="11"/>
        <v>79.54545455</v>
      </c>
      <c r="AB103" s="155" t="str">
        <f t="shared" si="8"/>
        <v/>
      </c>
      <c r="AC103" s="153">
        <f t="shared" si="9"/>
        <v>736.0713306</v>
      </c>
      <c r="AD103" s="31"/>
    </row>
    <row r="104" ht="22.5" customHeight="1">
      <c r="A104" s="129" t="s">
        <v>276</v>
      </c>
      <c r="B104" s="130" t="s">
        <v>559</v>
      </c>
      <c r="C104" s="131">
        <v>46059.0</v>
      </c>
      <c r="D104" s="131">
        <v>46101.0</v>
      </c>
      <c r="E104" s="131">
        <v>46062.0</v>
      </c>
      <c r="F104" s="132">
        <v>-1.0</v>
      </c>
      <c r="G104" s="30" t="s">
        <v>459</v>
      </c>
      <c r="H104" s="133">
        <v>700.0</v>
      </c>
      <c r="I104" s="30">
        <v>11.18945</v>
      </c>
      <c r="J104" s="30">
        <v>1.0</v>
      </c>
      <c r="K104" s="147">
        <v>100.0</v>
      </c>
      <c r="L104" s="148">
        <f>IFERROR(__xludf.DUMMYFUNCTION("QUERY(OptionPositionsLog, ""SELECT E WHERE B = '"" &amp; $B104  &amp; ""' ORDER BY A DESC LIMIT 1"")"),14.55)</f>
        <v>14.55</v>
      </c>
      <c r="M104" s="30">
        <v>21.71</v>
      </c>
      <c r="N104" s="140">
        <f t="shared" si="1"/>
        <v>1455</v>
      </c>
      <c r="O104" s="140">
        <f t="shared" si="2"/>
        <v>0</v>
      </c>
      <c r="P104" s="149">
        <f t="shared" si="3"/>
        <v>0</v>
      </c>
      <c r="Q104" s="138" t="str">
        <f t="shared" si="4"/>
        <v/>
      </c>
      <c r="R104" s="150">
        <f t="shared" si="5"/>
        <v>-1053.055</v>
      </c>
      <c r="S104" s="140">
        <f t="shared" si="6"/>
        <v>-90</v>
      </c>
      <c r="T104" s="140">
        <f>IFERROR(__xludf.DUMMYFUNCTION("IF(ISBLANK($M104), QUERY(OptionPositionsLog!$A$2:$K796, ""SELECT F WHERE B = '"" &amp; $B104  &amp; ""' ORDER BY A DESC LIMIT 1""), 0)"),0.0)</f>
        <v>0</v>
      </c>
      <c r="U104" s="140">
        <f>IFERROR(__xludf.DUMMYFUNCTION("IF(ISBLANK($M104), QUERY(OptionPositionsLog!$A$2:$K796, ""SELECT G WHERE B = '"" &amp; $B104  &amp; ""' ORDER BY A DESC LIMIT 1"")*F104, 0)"),0.0)</f>
        <v>0</v>
      </c>
      <c r="V104" s="140">
        <f>IFERROR(__xludf.DUMMYFUNCTION("IF(ISBLANK($M104), QUERY(OptionPositionsLog!$A$2:$K796, ""SELECT H WHERE B = '"" &amp; $B104  &amp; ""' ORDER BY A DESC LIMIT 1"")*F104, 0)"),0.0)</f>
        <v>0</v>
      </c>
      <c r="W104" s="140">
        <f>IFERROR(__xludf.DUMMYFUNCTION("IF(ISBLANK($M104), QUERY(OptionPositionsLog!$A$2:$K796, ""SELECT I WHERE B = '"" &amp; $B104  &amp; ""' ORDER BY A DESC LIMIT 1""), 0)"),0.0)</f>
        <v>0</v>
      </c>
      <c r="X104" s="140">
        <f>IFERROR(__xludf.DUMMYFUNCTION("IF(ISBLANK($M104), QUERY(OptionPositionsLog!$A$2:$K796, ""SELECT J WHERE B = '"" &amp; $B104  &amp; ""' ORDER BY A DESC LIMIT 1""), 0)"),0.0)</f>
        <v>0</v>
      </c>
      <c r="Y104" s="140" t="str">
        <f>IFERROR(__xludf.DUMMYFUNCTION("IF(ISBLANK($M104), QUERY(OptionPositionsLog!$A$2:$K796, ""SELECT D WHERE B = '"" &amp; $B104  &amp; ""' ORDER BY A DESC LIMIT 1"")*100, """")"),"")</f>
        <v/>
      </c>
      <c r="Z104" s="148">
        <f>IFERROR(__xludf.DUMMYFUNCTION("QUERY(OptionPositionsLog, ""SELECT K WHERE B = '"" &amp; $B104  &amp; ""' ORDER BY K DESC LIMIT 1"")"),930.75)</f>
        <v>930.75</v>
      </c>
      <c r="AA104" s="154">
        <f t="shared" si="11"/>
        <v>7.142857143</v>
      </c>
      <c r="AB104" s="155" t="str">
        <f t="shared" si="8"/>
        <v/>
      </c>
      <c r="AC104" s="153">
        <f t="shared" si="9"/>
        <v>-113.1404781</v>
      </c>
      <c r="AD104" s="31"/>
    </row>
    <row r="105" ht="22.5" customHeight="1">
      <c r="A105" s="129" t="s">
        <v>42</v>
      </c>
      <c r="B105" s="130" t="s">
        <v>560</v>
      </c>
      <c r="C105" s="131">
        <v>46059.0</v>
      </c>
      <c r="D105" s="131">
        <v>46073.0</v>
      </c>
      <c r="E105" s="131">
        <v>46065.0</v>
      </c>
      <c r="F105" s="132">
        <v>-1.0</v>
      </c>
      <c r="G105" s="30" t="s">
        <v>459</v>
      </c>
      <c r="H105" s="133">
        <v>85.0</v>
      </c>
      <c r="I105" s="30">
        <v>1.53368</v>
      </c>
      <c r="J105" s="30">
        <v>1.0</v>
      </c>
      <c r="K105" s="147">
        <v>100.0</v>
      </c>
      <c r="L105" s="148">
        <f>IFERROR(__xludf.DUMMYFUNCTION("QUERY(OptionPositionsLog, ""SELECT E WHERE B = '"" &amp; $B105  &amp; ""' ORDER BY A DESC LIMIT 1"")"),0.9)</f>
        <v>0.9</v>
      </c>
      <c r="M105" s="30">
        <v>0.2</v>
      </c>
      <c r="N105" s="140">
        <f t="shared" si="1"/>
        <v>90</v>
      </c>
      <c r="O105" s="140">
        <f t="shared" si="2"/>
        <v>0</v>
      </c>
      <c r="P105" s="149">
        <f t="shared" si="3"/>
        <v>0</v>
      </c>
      <c r="Q105" s="138" t="str">
        <f t="shared" si="4"/>
        <v/>
      </c>
      <c r="R105" s="150">
        <f t="shared" si="5"/>
        <v>132.368</v>
      </c>
      <c r="S105" s="140">
        <f t="shared" si="6"/>
        <v>90</v>
      </c>
      <c r="T105" s="140">
        <f>IFERROR(__xludf.DUMMYFUNCTION("IF(ISBLANK($M105), QUERY(OptionPositionsLog!$A$2:$K796, ""SELECT F WHERE B = '"" &amp; $B105  &amp; ""' ORDER BY A DESC LIMIT 1""), 0)"),0.0)</f>
        <v>0</v>
      </c>
      <c r="U105" s="140">
        <f>IFERROR(__xludf.DUMMYFUNCTION("IF(ISBLANK($M105), QUERY(OptionPositionsLog!$A$2:$K796, ""SELECT G WHERE B = '"" &amp; $B105  &amp; ""' ORDER BY A DESC LIMIT 1"")*F105, 0)"),0.0)</f>
        <v>0</v>
      </c>
      <c r="V105" s="140">
        <f>IFERROR(__xludf.DUMMYFUNCTION("IF(ISBLANK($M105), QUERY(OptionPositionsLog!$A$2:$K796, ""SELECT H WHERE B = '"" &amp; $B105  &amp; ""' ORDER BY A DESC LIMIT 1"")*F105, 0)"),0.0)</f>
        <v>0</v>
      </c>
      <c r="W105" s="140">
        <f>IFERROR(__xludf.DUMMYFUNCTION("IF(ISBLANK($M105), QUERY(OptionPositionsLog!$A$2:$K796, ""SELECT I WHERE B = '"" &amp; $B105  &amp; ""' ORDER BY A DESC LIMIT 1""), 0)"),0.0)</f>
        <v>0</v>
      </c>
      <c r="X105" s="140">
        <f>IFERROR(__xludf.DUMMYFUNCTION("IF(ISBLANK($M105), QUERY(OptionPositionsLog!$A$2:$K796, ""SELECT J WHERE B = '"" &amp; $B105  &amp; ""' ORDER BY A DESC LIMIT 1""), 0)"),0.0)</f>
        <v>0</v>
      </c>
      <c r="Y105" s="140" t="str">
        <f>IFERROR(__xludf.DUMMYFUNCTION("IF(ISBLANK($M105), QUERY(OptionPositionsLog!$A$2:$K796, ""SELECT D WHERE B = '"" &amp; $B105  &amp; ""' ORDER BY A DESC LIMIT 1"")*100, """")"),"")</f>
        <v/>
      </c>
      <c r="Z105" s="148">
        <f>IFERROR(__xludf.DUMMYFUNCTION("QUERY(OptionPositionsLog, ""SELECT K WHERE B = '"" &amp; $B105  &amp; ""' ORDER BY K DESC LIMIT 1"")"),182.92)</f>
        <v>182.92</v>
      </c>
      <c r="AA105" s="154">
        <f t="shared" si="11"/>
        <v>42.85714286</v>
      </c>
      <c r="AB105" s="155" t="str">
        <f t="shared" si="8"/>
        <v/>
      </c>
      <c r="AC105" s="153">
        <f t="shared" si="9"/>
        <v>72.36387492</v>
      </c>
      <c r="AD105" s="31"/>
    </row>
    <row r="106" ht="22.5" customHeight="1">
      <c r="A106" s="129" t="s">
        <v>286</v>
      </c>
      <c r="B106" s="130" t="s">
        <v>561</v>
      </c>
      <c r="C106" s="131">
        <v>46059.0</v>
      </c>
      <c r="D106" s="131">
        <v>46101.0</v>
      </c>
      <c r="E106" s="30" t="s">
        <v>516</v>
      </c>
      <c r="F106" s="132">
        <v>1.0</v>
      </c>
      <c r="G106" s="30" t="s">
        <v>455</v>
      </c>
      <c r="H106" s="133">
        <v>27.0</v>
      </c>
      <c r="I106" s="30">
        <v>0.76509</v>
      </c>
      <c r="J106" s="30">
        <v>1.0</v>
      </c>
      <c r="K106" s="147">
        <v>100.0</v>
      </c>
      <c r="L106" s="148">
        <f>IFERROR(__xludf.DUMMYFUNCTION("QUERY(OptionPositionsLog, ""SELECT E WHERE B = '"" &amp; $B106  &amp; ""' ORDER BY A DESC LIMIT 1"")"),0.26)</f>
        <v>0.26</v>
      </c>
      <c r="M106" s="30"/>
      <c r="N106" s="140">
        <f t="shared" si="1"/>
        <v>26</v>
      </c>
      <c r="O106" s="140">
        <f t="shared" si="2"/>
        <v>-0.50509</v>
      </c>
      <c r="P106" s="149">
        <f t="shared" si="3"/>
        <v>-50.509</v>
      </c>
      <c r="Q106" s="138">
        <f t="shared" si="4"/>
        <v>-66</v>
      </c>
      <c r="R106" s="150">
        <f t="shared" si="5"/>
        <v>0</v>
      </c>
      <c r="S106" s="140">
        <f t="shared" si="6"/>
        <v>0</v>
      </c>
      <c r="T106" s="140">
        <f>IFERROR(__xludf.DUMMYFUNCTION("IF(ISBLANK($M106), QUERY(OptionPositionsLog!$A$2:$K796, ""SELECT F WHERE B = '"" &amp; $B106  &amp; ""' ORDER BY A DESC LIMIT 1""), 0)"),0.26)</f>
        <v>0.26</v>
      </c>
      <c r="U106" s="140">
        <f>IFERROR(__xludf.DUMMYFUNCTION("IF(ISBLANK($M106), QUERY(OptionPositionsLog!$A$2:$K796, ""SELECT G WHERE B = '"" &amp; $B106  &amp; ""' ORDER BY A DESC LIMIT 1"")*F106, 0)"),-0.28385535)</f>
        <v>-0.28385535</v>
      </c>
      <c r="V106" s="140">
        <f>IFERROR(__xludf.DUMMYFUNCTION("IF(ISBLANK($M106), QUERY(OptionPositionsLog!$A$2:$K796, ""SELECT H WHERE B = '"" &amp; $B106  &amp; ""' ORDER BY A DESC LIMIT 1"")*F106, 0)"),-0.02267598)</f>
        <v>-0.02267598</v>
      </c>
      <c r="W106" s="140">
        <f>IFERROR(__xludf.DUMMYFUNCTION("IF(ISBLANK($M106), QUERY(OptionPositionsLog!$A$2:$K796, ""SELECT I WHERE B = '"" &amp; $B106  &amp; ""' ORDER BY A DESC LIMIT 1""), 0)"),0.24649704)</f>
        <v>0.24649704</v>
      </c>
      <c r="X106" s="140">
        <f>IFERROR(__xludf.DUMMYFUNCTION("IF(ISBLANK($M106), QUERY(OptionPositionsLog!$A$2:$K796, ""SELECT J WHERE B = '"" &amp; $B106  &amp; ""' ORDER BY A DESC LIMIT 1""), 0)"),0.01579514)</f>
        <v>0.01579514</v>
      </c>
      <c r="Y106" s="140">
        <f>IFERROR(__xludf.DUMMYFUNCTION("IF(ISBLANK($M106), QUERY(OptionPositionsLog!$A$2:$K796, ""SELECT D WHERE B = '"" &amp; $B106  &amp; ""' ORDER BY A DESC LIMIT 1"")*100, """")"),30.0)</f>
        <v>30</v>
      </c>
      <c r="Z106" s="148">
        <f>IFERROR(__xludf.DUMMYFUNCTION("QUERY(OptionPositionsLog, ""SELECT K WHERE B = '"" &amp; $B106  &amp; ""' ORDER BY K DESC LIMIT 1"")"),31.66)</f>
        <v>31.66</v>
      </c>
      <c r="AA106" s="154">
        <f t="shared" si="11"/>
        <v>-109664.2857</v>
      </c>
      <c r="AB106" s="155">
        <f t="shared" si="8"/>
        <v>1661.580087</v>
      </c>
      <c r="AC106" s="153">
        <f t="shared" si="9"/>
        <v>0</v>
      </c>
      <c r="AD106" s="31"/>
    </row>
    <row r="107" ht="22.5" customHeight="1">
      <c r="A107" s="129" t="s">
        <v>266</v>
      </c>
      <c r="B107" s="130" t="s">
        <v>562</v>
      </c>
      <c r="C107" s="131">
        <v>46059.0</v>
      </c>
      <c r="D107" s="131">
        <v>46101.0</v>
      </c>
      <c r="E107" s="30" t="s">
        <v>516</v>
      </c>
      <c r="F107" s="132">
        <v>-1.0</v>
      </c>
      <c r="G107" s="30" t="s">
        <v>455</v>
      </c>
      <c r="H107" s="133">
        <v>85.0</v>
      </c>
      <c r="I107" s="30">
        <v>1.75748</v>
      </c>
      <c r="J107" s="30">
        <v>1.0</v>
      </c>
      <c r="K107" s="147">
        <v>100.0</v>
      </c>
      <c r="L107" s="148">
        <f>IFERROR(__xludf.DUMMYFUNCTION("QUERY(OptionPositionsLog, ""SELECT E WHERE B = '"" &amp; $B107  &amp; ""' ORDER BY A DESC LIMIT 1"")"),0.59)</f>
        <v>0.59</v>
      </c>
      <c r="M107" s="30"/>
      <c r="N107" s="140">
        <f t="shared" si="1"/>
        <v>59</v>
      </c>
      <c r="O107" s="140">
        <f t="shared" si="2"/>
        <v>1.16748</v>
      </c>
      <c r="P107" s="149">
        <f t="shared" si="3"/>
        <v>116.748</v>
      </c>
      <c r="Q107" s="138">
        <f t="shared" si="4"/>
        <v>66</v>
      </c>
      <c r="R107" s="150">
        <f t="shared" si="5"/>
        <v>0</v>
      </c>
      <c r="S107" s="140">
        <f t="shared" si="6"/>
        <v>0</v>
      </c>
      <c r="T107" s="140">
        <f>IFERROR(__xludf.DUMMYFUNCTION("IF(ISBLANK($M107), QUERY(OptionPositionsLog!$A$2:$K796, ""SELECT F WHERE B = '"" &amp; $B107  &amp; ""' ORDER BY A DESC LIMIT 1""), 0)"),0.59)</f>
        <v>0.59</v>
      </c>
      <c r="U107" s="140">
        <f>IFERROR(__xludf.DUMMYFUNCTION("IF(ISBLANK($M107), QUERY(OptionPositionsLog!$A$2:$K796, ""SELECT G WHERE B = '"" &amp; $B107  &amp; ""' ORDER BY A DESC LIMIT 1"")*F107, 0)"),0.2003925)</f>
        <v>0.2003925</v>
      </c>
      <c r="V107" s="140">
        <f>IFERROR(__xludf.DUMMYFUNCTION("IF(ISBLANK($M107), QUERY(OptionPositionsLog!$A$2:$K796, ""SELECT H WHERE B = '"" &amp; $B107  &amp; ""' ORDER BY A DESC LIMIT 1"")*F107, 0)"),0.10857382)</f>
        <v>0.10857382</v>
      </c>
      <c r="W107" s="140">
        <f>IFERROR(__xludf.DUMMYFUNCTION("IF(ISBLANK($M107), QUERY(OptionPositionsLog!$A$2:$K796, ""SELECT I WHERE B = '"" &amp; $B107  &amp; ""' ORDER BY A DESC LIMIT 1""), 0)"),0.03597789)</f>
        <v>0.03597789</v>
      </c>
      <c r="X107" s="140">
        <f>IFERROR(__xludf.DUMMYFUNCTION("IF(ISBLANK($M107), QUERY(OptionPositionsLog!$A$2:$K796, ""SELECT J WHERE B = '"" &amp; $B107  &amp; ""' ORDER BY A DESC LIMIT 1""), 0)"),0.04504268)</f>
        <v>0.04504268</v>
      </c>
      <c r="Y107" s="140">
        <f>IFERROR(__xludf.DUMMYFUNCTION("IF(ISBLANK($M107), QUERY(OptionPositionsLog!$A$2:$K796, ""SELECT D WHERE B = '"" &amp; $B107  &amp; ""' ORDER BY A DESC LIMIT 1"")*100, """")"),52.0)</f>
        <v>52</v>
      </c>
      <c r="Z107" s="148">
        <f>IFERROR(__xludf.DUMMYFUNCTION("QUERY(OptionPositionsLog, ""SELECT K WHERE B = '"" &amp; $B107  &amp; ""' ORDER BY K DESC LIMIT 1"")"),373.19)</f>
        <v>373.19</v>
      </c>
      <c r="AA107" s="154">
        <f t="shared" si="11"/>
        <v>-109664.2857</v>
      </c>
      <c r="AB107" s="155">
        <f t="shared" si="8"/>
        <v>-1661.580087</v>
      </c>
      <c r="AC107" s="153">
        <f t="shared" si="9"/>
        <v>0</v>
      </c>
      <c r="AD107" s="31"/>
    </row>
    <row r="108" ht="22.5" customHeight="1">
      <c r="A108" s="129" t="s">
        <v>208</v>
      </c>
      <c r="B108" s="130" t="s">
        <v>563</v>
      </c>
      <c r="C108" s="131">
        <v>46059.0</v>
      </c>
      <c r="D108" s="131">
        <v>46073.0</v>
      </c>
      <c r="E108" s="131">
        <v>46070.0</v>
      </c>
      <c r="F108" s="132">
        <v>-1.0</v>
      </c>
      <c r="G108" s="30" t="s">
        <v>455</v>
      </c>
      <c r="H108" s="133">
        <v>100.0</v>
      </c>
      <c r="I108" s="30">
        <v>1.36748</v>
      </c>
      <c r="J108" s="30">
        <v>1.0</v>
      </c>
      <c r="K108" s="147">
        <v>100.0</v>
      </c>
      <c r="L108" s="148">
        <f>IFERROR(__xludf.DUMMYFUNCTION("QUERY(OptionPositionsLog, ""SELECT E WHERE B = '"" &amp; $B108  &amp; ""' ORDER BY A DESC LIMIT 1"")"),0.7)</f>
        <v>0.7</v>
      </c>
      <c r="M108" s="30">
        <v>0.37</v>
      </c>
      <c r="N108" s="140">
        <f t="shared" si="1"/>
        <v>70</v>
      </c>
      <c r="O108" s="140">
        <f t="shared" si="2"/>
        <v>0</v>
      </c>
      <c r="P108" s="149">
        <f t="shared" si="3"/>
        <v>0</v>
      </c>
      <c r="Q108" s="138" t="str">
        <f t="shared" si="4"/>
        <v/>
      </c>
      <c r="R108" s="150">
        <f t="shared" si="5"/>
        <v>98.748</v>
      </c>
      <c r="S108" s="140">
        <f t="shared" si="6"/>
        <v>70</v>
      </c>
      <c r="T108" s="140">
        <f>IFERROR(__xludf.DUMMYFUNCTION("IF(ISBLANK($M108), QUERY(OptionPositionsLog!$A$2:$K796, ""SELECT F WHERE B = '"" &amp; $B108  &amp; ""' ORDER BY A DESC LIMIT 1""), 0)"),0.0)</f>
        <v>0</v>
      </c>
      <c r="U108" s="140">
        <f>IFERROR(__xludf.DUMMYFUNCTION("IF(ISBLANK($M108), QUERY(OptionPositionsLog!$A$2:$K796, ""SELECT G WHERE B = '"" &amp; $B108  &amp; ""' ORDER BY A DESC LIMIT 1"")*F108, 0)"),0.0)</f>
        <v>0</v>
      </c>
      <c r="V108" s="140">
        <f>IFERROR(__xludf.DUMMYFUNCTION("IF(ISBLANK($M108), QUERY(OptionPositionsLog!$A$2:$K796, ""SELECT H WHERE B = '"" &amp; $B108  &amp; ""' ORDER BY A DESC LIMIT 1"")*F108, 0)"),0.0)</f>
        <v>0</v>
      </c>
      <c r="W108" s="140">
        <f>IFERROR(__xludf.DUMMYFUNCTION("IF(ISBLANK($M108), QUERY(OptionPositionsLog!$A$2:$K796, ""SELECT I WHERE B = '"" &amp; $B108  &amp; ""' ORDER BY A DESC LIMIT 1""), 0)"),0.0)</f>
        <v>0</v>
      </c>
      <c r="X108" s="140">
        <f>IFERROR(__xludf.DUMMYFUNCTION("IF(ISBLANK($M108), QUERY(OptionPositionsLog!$A$2:$K796, ""SELECT J WHERE B = '"" &amp; $B108  &amp; ""' ORDER BY A DESC LIMIT 1""), 0)"),0.0)</f>
        <v>0</v>
      </c>
      <c r="Y108" s="140" t="str">
        <f>IFERROR(__xludf.DUMMYFUNCTION("IF(ISBLANK($M108), QUERY(OptionPositionsLog!$A$2:$K796, ""SELECT D WHERE B = '"" &amp; $B108  &amp; ""' ORDER BY A DESC LIMIT 1"")*100, """")"),"")</f>
        <v/>
      </c>
      <c r="Z108" s="148">
        <f>IFERROR(__xludf.DUMMYFUNCTION("QUERY(OptionPositionsLog, ""SELECT K WHERE B = '"" &amp; $B108  &amp; ""' ORDER BY K DESC LIMIT 1"")"),176.17)</f>
        <v>176.17</v>
      </c>
      <c r="AA108" s="154">
        <f t="shared" si="11"/>
        <v>78.57142857</v>
      </c>
      <c r="AB108" s="155" t="str">
        <f t="shared" si="8"/>
        <v/>
      </c>
      <c r="AC108" s="153">
        <f t="shared" si="9"/>
        <v>56.05267639</v>
      </c>
      <c r="AD108" s="31"/>
    </row>
    <row r="109" ht="22.5" customHeight="1">
      <c r="A109" s="129" t="s">
        <v>208</v>
      </c>
      <c r="B109" s="130" t="s">
        <v>564</v>
      </c>
      <c r="C109" s="131">
        <v>46059.0</v>
      </c>
      <c r="D109" s="131">
        <v>46073.0</v>
      </c>
      <c r="E109" s="131">
        <v>46070.0</v>
      </c>
      <c r="F109" s="132">
        <v>1.0</v>
      </c>
      <c r="G109" s="30" t="s">
        <v>455</v>
      </c>
      <c r="H109" s="133">
        <v>105.0</v>
      </c>
      <c r="I109" s="30">
        <v>2.35249</v>
      </c>
      <c r="J109" s="30">
        <v>1.0</v>
      </c>
      <c r="K109" s="147">
        <v>100.0</v>
      </c>
      <c r="L109" s="148">
        <f>IFERROR(__xludf.DUMMYFUNCTION("QUERY(OptionPositionsLog, ""SELECT E WHERE B = '"" &amp; $B109  &amp; ""' ORDER BY A DESC LIMIT 1"")"),1.69)</f>
        <v>1.69</v>
      </c>
      <c r="M109" s="30">
        <v>0.98</v>
      </c>
      <c r="N109" s="140">
        <f t="shared" si="1"/>
        <v>169</v>
      </c>
      <c r="O109" s="140">
        <f t="shared" si="2"/>
        <v>0</v>
      </c>
      <c r="P109" s="149">
        <f t="shared" si="3"/>
        <v>0</v>
      </c>
      <c r="Q109" s="138" t="str">
        <f t="shared" si="4"/>
        <v/>
      </c>
      <c r="R109" s="150">
        <f t="shared" si="5"/>
        <v>-138.249</v>
      </c>
      <c r="S109" s="140">
        <f t="shared" si="6"/>
        <v>-60</v>
      </c>
      <c r="T109" s="140">
        <f>IFERROR(__xludf.DUMMYFUNCTION("IF(ISBLANK($M109), QUERY(OptionPositionsLog!$A$2:$K796, ""SELECT F WHERE B = '"" &amp; $B109  &amp; ""' ORDER BY A DESC LIMIT 1""), 0)"),0.0)</f>
        <v>0</v>
      </c>
      <c r="U109" s="140">
        <f>IFERROR(__xludf.DUMMYFUNCTION("IF(ISBLANK($M109), QUERY(OptionPositionsLog!$A$2:$K796, ""SELECT G WHERE B = '"" &amp; $B109  &amp; ""' ORDER BY A DESC LIMIT 1"")*F109, 0)"),0.0)</f>
        <v>0</v>
      </c>
      <c r="V109" s="140">
        <f>IFERROR(__xludf.DUMMYFUNCTION("IF(ISBLANK($M109), QUERY(OptionPositionsLog!$A$2:$K796, ""SELECT H WHERE B = '"" &amp; $B109  &amp; ""' ORDER BY A DESC LIMIT 1"")*F109, 0)"),0.0)</f>
        <v>0</v>
      </c>
      <c r="W109" s="140">
        <f>IFERROR(__xludf.DUMMYFUNCTION("IF(ISBLANK($M109), QUERY(OptionPositionsLog!$A$2:$K796, ""SELECT I WHERE B = '"" &amp; $B109  &amp; ""' ORDER BY A DESC LIMIT 1""), 0)"),0.0)</f>
        <v>0</v>
      </c>
      <c r="X109" s="140">
        <f>IFERROR(__xludf.DUMMYFUNCTION("IF(ISBLANK($M109), QUERY(OptionPositionsLog!$A$2:$K796, ""SELECT J WHERE B = '"" &amp; $B109  &amp; ""' ORDER BY A DESC LIMIT 1""), 0)"),0.0)</f>
        <v>0</v>
      </c>
      <c r="Y109" s="140" t="str">
        <f>IFERROR(__xludf.DUMMYFUNCTION("IF(ISBLANK($M109), QUERY(OptionPositionsLog!$A$2:$K796, ""SELECT D WHERE B = '"" &amp; $B109  &amp; ""' ORDER BY A DESC LIMIT 1"")*100, """")"),"")</f>
        <v/>
      </c>
      <c r="Z109" s="148">
        <f>IFERROR(__xludf.DUMMYFUNCTION("QUERY(OptionPositionsLog, ""SELECT K WHERE B = '"" &amp; $B109  &amp; ""' ORDER BY K DESC LIMIT 1"")"),1179.94)</f>
        <v>1179.94</v>
      </c>
      <c r="AA109" s="154">
        <f t="shared" si="11"/>
        <v>78.57142857</v>
      </c>
      <c r="AB109" s="155" t="str">
        <f t="shared" si="8"/>
        <v/>
      </c>
      <c r="AC109" s="153">
        <f t="shared" si="9"/>
        <v>-11.71661271</v>
      </c>
      <c r="AD109" s="31"/>
    </row>
    <row r="110" ht="22.5" customHeight="1">
      <c r="A110" s="129" t="s">
        <v>244</v>
      </c>
      <c r="B110" s="130" t="s">
        <v>565</v>
      </c>
      <c r="C110" s="131">
        <v>46059.0</v>
      </c>
      <c r="D110" s="131">
        <v>46101.0</v>
      </c>
      <c r="E110" s="131">
        <v>46087.0</v>
      </c>
      <c r="F110" s="132">
        <v>1.0</v>
      </c>
      <c r="G110" s="30" t="s">
        <v>459</v>
      </c>
      <c r="H110" s="133">
        <v>260.0</v>
      </c>
      <c r="I110" s="30">
        <v>1.45249</v>
      </c>
      <c r="J110" s="30">
        <v>1.0</v>
      </c>
      <c r="K110" s="147">
        <v>100.0</v>
      </c>
      <c r="L110" s="148">
        <f>IFERROR(__xludf.DUMMYFUNCTION("QUERY(OptionPositionsLog, ""SELECT E WHERE B = '"" &amp; $B110  &amp; ""' ORDER BY A DESC LIMIT 1"")"),1.35)</f>
        <v>1.35</v>
      </c>
      <c r="M110" s="30">
        <v>0.3</v>
      </c>
      <c r="N110" s="140">
        <f t="shared" si="1"/>
        <v>135</v>
      </c>
      <c r="O110" s="140">
        <f t="shared" si="2"/>
        <v>0</v>
      </c>
      <c r="P110" s="149">
        <f t="shared" si="3"/>
        <v>0</v>
      </c>
      <c r="Q110" s="138" t="str">
        <f t="shared" si="4"/>
        <v/>
      </c>
      <c r="R110" s="150">
        <f t="shared" si="5"/>
        <v>-116.249</v>
      </c>
      <c r="S110" s="140">
        <f t="shared" si="6"/>
        <v>-80</v>
      </c>
      <c r="T110" s="140">
        <f>IFERROR(__xludf.DUMMYFUNCTION("IF(ISBLANK($M110), QUERY(OptionPositionsLog!$A$2:$K796, ""SELECT F WHERE B = '"" &amp; $B110  &amp; ""' ORDER BY A DESC LIMIT 1""), 0)"),0.0)</f>
        <v>0</v>
      </c>
      <c r="U110" s="140">
        <f>IFERROR(__xludf.DUMMYFUNCTION("IF(ISBLANK($M110), QUERY(OptionPositionsLog!$A$2:$K796, ""SELECT G WHERE B = '"" &amp; $B110  &amp; ""' ORDER BY A DESC LIMIT 1"")*F110, 0)"),0.0)</f>
        <v>0</v>
      </c>
      <c r="V110" s="140">
        <f>IFERROR(__xludf.DUMMYFUNCTION("IF(ISBLANK($M110), QUERY(OptionPositionsLog!$A$2:$K796, ""SELECT H WHERE B = '"" &amp; $B110  &amp; ""' ORDER BY A DESC LIMIT 1"")*F110, 0)"),0.0)</f>
        <v>0</v>
      </c>
      <c r="W110" s="140">
        <f>IFERROR(__xludf.DUMMYFUNCTION("IF(ISBLANK($M110), QUERY(OptionPositionsLog!$A$2:$K796, ""SELECT I WHERE B = '"" &amp; $B110  &amp; ""' ORDER BY A DESC LIMIT 1""), 0)"),0.0)</f>
        <v>0</v>
      </c>
      <c r="X110" s="140">
        <f>IFERROR(__xludf.DUMMYFUNCTION("IF(ISBLANK($M110), QUERY(OptionPositionsLog!$A$2:$K796, ""SELECT J WHERE B = '"" &amp; $B110  &amp; ""' ORDER BY A DESC LIMIT 1""), 0)"),0.0)</f>
        <v>0</v>
      </c>
      <c r="Y110" s="140" t="str">
        <f>IFERROR(__xludf.DUMMYFUNCTION("IF(ISBLANK($M110), QUERY(OptionPositionsLog!$A$2:$K796, ""SELECT D WHERE B = '"" &amp; $B110  &amp; ""' ORDER BY A DESC LIMIT 1"")*100, """")"),"")</f>
        <v/>
      </c>
      <c r="Z110" s="148">
        <f>IFERROR(__xludf.DUMMYFUNCTION("QUERY(OptionPositionsLog, ""SELECT K WHERE B = '"" &amp; $B110  &amp; ""' ORDER BY K DESC LIMIT 1"")"),1742.36)</f>
        <v>1742.36</v>
      </c>
      <c r="AA110" s="154">
        <f t="shared" si="11"/>
        <v>66.66666667</v>
      </c>
      <c r="AB110" s="155" t="str">
        <f t="shared" si="8"/>
        <v/>
      </c>
      <c r="AC110" s="153">
        <f t="shared" si="9"/>
        <v>-6.67192773</v>
      </c>
      <c r="AD110" s="31"/>
    </row>
    <row r="111" ht="22.5" customHeight="1">
      <c r="A111" s="129" t="s">
        <v>244</v>
      </c>
      <c r="B111" s="130" t="s">
        <v>566</v>
      </c>
      <c r="C111" s="131">
        <v>46059.0</v>
      </c>
      <c r="D111" s="131">
        <v>46101.0</v>
      </c>
      <c r="E111" s="131">
        <v>46087.0</v>
      </c>
      <c r="F111" s="132">
        <v>-1.0</v>
      </c>
      <c r="G111" s="30" t="s">
        <v>459</v>
      </c>
      <c r="H111" s="133">
        <v>270.0</v>
      </c>
      <c r="I111" s="30">
        <v>0.63748</v>
      </c>
      <c r="J111" s="30">
        <v>1.0</v>
      </c>
      <c r="K111" s="147">
        <v>100.0</v>
      </c>
      <c r="L111" s="148">
        <f>IFERROR(__xludf.DUMMYFUNCTION("QUERY(OptionPositionsLog, ""SELECT E WHERE B = '"" &amp; $B111  &amp; ""' ORDER BY A DESC LIMIT 1"")"),0.3)</f>
        <v>0.3</v>
      </c>
      <c r="M111" s="30">
        <v>0.2</v>
      </c>
      <c r="N111" s="140">
        <f t="shared" si="1"/>
        <v>30</v>
      </c>
      <c r="O111" s="140">
        <f t="shared" si="2"/>
        <v>0</v>
      </c>
      <c r="P111" s="149">
        <f t="shared" si="3"/>
        <v>0</v>
      </c>
      <c r="Q111" s="138" t="str">
        <f t="shared" si="4"/>
        <v/>
      </c>
      <c r="R111" s="150">
        <f t="shared" si="5"/>
        <v>42.748</v>
      </c>
      <c r="S111" s="140">
        <f t="shared" si="6"/>
        <v>70</v>
      </c>
      <c r="T111" s="140">
        <f>IFERROR(__xludf.DUMMYFUNCTION("IF(ISBLANK($M111), QUERY(OptionPositionsLog!$A$2:$K796, ""SELECT F WHERE B = '"" &amp; $B111  &amp; ""' ORDER BY A DESC LIMIT 1""), 0)"),0.0)</f>
        <v>0</v>
      </c>
      <c r="U111" s="140">
        <f>IFERROR(__xludf.DUMMYFUNCTION("IF(ISBLANK($M111), QUERY(OptionPositionsLog!$A$2:$K796, ""SELECT G WHERE B = '"" &amp; $B111  &amp; ""' ORDER BY A DESC LIMIT 1"")*F111, 0)"),0.0)</f>
        <v>0</v>
      </c>
      <c r="V111" s="140">
        <f>IFERROR(__xludf.DUMMYFUNCTION("IF(ISBLANK($M111), QUERY(OptionPositionsLog!$A$2:$K796, ""SELECT H WHERE B = '"" &amp; $B111  &amp; ""' ORDER BY A DESC LIMIT 1"")*F111, 0)"),0.0)</f>
        <v>0</v>
      </c>
      <c r="W111" s="140">
        <f>IFERROR(__xludf.DUMMYFUNCTION("IF(ISBLANK($M111), QUERY(OptionPositionsLog!$A$2:$K796, ""SELECT I WHERE B = '"" &amp; $B111  &amp; ""' ORDER BY A DESC LIMIT 1""), 0)"),0.0)</f>
        <v>0</v>
      </c>
      <c r="X111" s="140">
        <f>IFERROR(__xludf.DUMMYFUNCTION("IF(ISBLANK($M111), QUERY(OptionPositionsLog!$A$2:$K796, ""SELECT J WHERE B = '"" &amp; $B111  &amp; ""' ORDER BY A DESC LIMIT 1""), 0)"),0.0)</f>
        <v>0</v>
      </c>
      <c r="Y111" s="140" t="str">
        <f>IFERROR(__xludf.DUMMYFUNCTION("IF(ISBLANK($M111), QUERY(OptionPositionsLog!$A$2:$K796, ""SELECT D WHERE B = '"" &amp; $B111  &amp; ""' ORDER BY A DESC LIMIT 1"")*100, """")"),"")</f>
        <v/>
      </c>
      <c r="Z111" s="148">
        <f>IFERROR(__xludf.DUMMYFUNCTION("QUERY(OptionPositionsLog, ""SELECT K WHERE B = '"" &amp; $B111  &amp; ""' ORDER BY K DESC LIMIT 1"")"),73.07)</f>
        <v>73.07</v>
      </c>
      <c r="AA111" s="154">
        <f t="shared" si="11"/>
        <v>66.66666667</v>
      </c>
      <c r="AB111" s="155" t="str">
        <f t="shared" si="8"/>
        <v/>
      </c>
      <c r="AC111" s="153">
        <f t="shared" si="9"/>
        <v>58.50280553</v>
      </c>
      <c r="AD111" s="31"/>
    </row>
    <row r="112" ht="22.5" customHeight="1">
      <c r="A112" s="129" t="s">
        <v>161</v>
      </c>
      <c r="B112" s="130" t="s">
        <v>567</v>
      </c>
      <c r="C112" s="131">
        <v>46059.0</v>
      </c>
      <c r="D112" s="131">
        <v>46101.0</v>
      </c>
      <c r="E112" s="30" t="s">
        <v>516</v>
      </c>
      <c r="F112" s="132">
        <v>1.0</v>
      </c>
      <c r="G112" s="30" t="s">
        <v>459</v>
      </c>
      <c r="H112" s="133">
        <v>75.0</v>
      </c>
      <c r="I112" s="30">
        <v>0.33049</v>
      </c>
      <c r="J112" s="30">
        <v>1.0</v>
      </c>
      <c r="K112" s="147">
        <v>100.0</v>
      </c>
      <c r="L112" s="148">
        <f>IFERROR(__xludf.DUMMYFUNCTION("QUERY(OptionPositionsLog, ""SELECT E WHERE B = '"" &amp; $B112  &amp; ""' ORDER BY A DESC LIMIT 1"")"),0.0)</f>
        <v>0</v>
      </c>
      <c r="M112" s="30"/>
      <c r="N112" s="140">
        <f t="shared" si="1"/>
        <v>0</v>
      </c>
      <c r="O112" s="140">
        <f t="shared" si="2"/>
        <v>-0.33049</v>
      </c>
      <c r="P112" s="149">
        <f t="shared" si="3"/>
        <v>-33.049</v>
      </c>
      <c r="Q112" s="138">
        <f t="shared" si="4"/>
        <v>-100</v>
      </c>
      <c r="R112" s="150">
        <f t="shared" si="5"/>
        <v>0</v>
      </c>
      <c r="S112" s="140">
        <f t="shared" si="6"/>
        <v>0</v>
      </c>
      <c r="T112" s="140">
        <f>IFERROR(__xludf.DUMMYFUNCTION("IF(ISBLANK($M112), QUERY(OptionPositionsLog!$A$2:$K796, ""SELECT F WHERE B = '"" &amp; $B112  &amp; ""' ORDER BY A DESC LIMIT 1""), 0)"),0.0)</f>
        <v>0</v>
      </c>
      <c r="U112" s="140">
        <f>IFERROR(__xludf.DUMMYFUNCTION("IF(ISBLANK($M112), QUERY(OptionPositionsLog!$A$2:$K796, ""SELECT G WHERE B = '"" &amp; $B112  &amp; ""' ORDER BY A DESC LIMIT 1"")*F112, 0)"),0.00818801)</f>
        <v>0.00818801</v>
      </c>
      <c r="V112" s="140">
        <f>IFERROR(__xludf.DUMMYFUNCTION("IF(ISBLANK($M112), QUERY(OptionPositionsLog!$A$2:$K796, ""SELECT H WHERE B = '"" &amp; $B112  &amp; ""' ORDER BY A DESC LIMIT 1"")*F112, 0)"),-0.00559754)</f>
        <v>-0.00559754</v>
      </c>
      <c r="W112" s="140">
        <f>IFERROR(__xludf.DUMMYFUNCTION("IF(ISBLANK($M112), QUERY(OptionPositionsLog!$A$2:$K796, ""SELECT I WHERE B = '"" &amp; $B112  &amp; ""' ORDER BY A DESC LIMIT 1""), 0)"),0.00370735)</f>
        <v>0.00370735</v>
      </c>
      <c r="X112" s="140">
        <f>IFERROR(__xludf.DUMMYFUNCTION("IF(ISBLANK($M112), QUERY(OptionPositionsLog!$A$2:$K796, ""SELECT J WHERE B = '"" &amp; $B112  &amp; ""' ORDER BY A DESC LIMIT 1""), 0)"),0.00199954)</f>
        <v>0.00199954</v>
      </c>
      <c r="Y112" s="140">
        <f>IFERROR(__xludf.DUMMYFUNCTION("IF(ISBLANK($M112), QUERY(OptionPositionsLog!$A$2:$K796, ""SELECT D WHERE B = '"" &amp; $B112  &amp; ""' ORDER BY A DESC LIMIT 1"")*100, """")"),49.0)</f>
        <v>49</v>
      </c>
      <c r="Z112" s="148">
        <f>IFERROR(__xludf.DUMMYFUNCTION("QUERY(OptionPositionsLog, ""SELECT K WHERE B = '"" &amp; $B112  &amp; ""' ORDER BY K DESC LIMIT 1"")"),28.7)</f>
        <v>28.7</v>
      </c>
      <c r="AA112" s="154">
        <f t="shared" si="11"/>
        <v>-109664.2857</v>
      </c>
      <c r="AB112" s="155">
        <f t="shared" si="8"/>
        <v>1096.642857</v>
      </c>
      <c r="AC112" s="153">
        <f t="shared" si="9"/>
        <v>0</v>
      </c>
      <c r="AD112" s="31"/>
    </row>
    <row r="113" ht="22.5" customHeight="1">
      <c r="A113" s="129" t="s">
        <v>305</v>
      </c>
      <c r="B113" s="130" t="s">
        <v>568</v>
      </c>
      <c r="C113" s="131">
        <v>46059.0</v>
      </c>
      <c r="D113" s="131">
        <v>46101.0</v>
      </c>
      <c r="E113" s="131">
        <v>46090.0</v>
      </c>
      <c r="F113" s="132">
        <v>1.0</v>
      </c>
      <c r="G113" s="30" t="s">
        <v>455</v>
      </c>
      <c r="H113" s="133">
        <v>40.0</v>
      </c>
      <c r="I113" s="30">
        <v>0.43049</v>
      </c>
      <c r="J113" s="30">
        <v>1.0</v>
      </c>
      <c r="K113" s="147">
        <v>100.0</v>
      </c>
      <c r="L113" s="148">
        <f>IFERROR(__xludf.DUMMYFUNCTION("QUERY(OptionPositionsLog, ""SELECT E WHERE B = '"" &amp; $B113  &amp; ""' ORDER BY A DESC LIMIT 1"")"),1.8)</f>
        <v>1.8</v>
      </c>
      <c r="M113" s="30">
        <v>1.31</v>
      </c>
      <c r="N113" s="140">
        <f t="shared" si="1"/>
        <v>180</v>
      </c>
      <c r="O113" s="140">
        <f t="shared" si="2"/>
        <v>0</v>
      </c>
      <c r="P113" s="149">
        <f t="shared" si="3"/>
        <v>0</v>
      </c>
      <c r="Q113" s="138" t="str">
        <f t="shared" si="4"/>
        <v/>
      </c>
      <c r="R113" s="150">
        <f t="shared" si="5"/>
        <v>86.951</v>
      </c>
      <c r="S113" s="140">
        <f t="shared" si="6"/>
        <v>200</v>
      </c>
      <c r="T113" s="140">
        <f>IFERROR(__xludf.DUMMYFUNCTION("IF(ISBLANK($M113), QUERY(OptionPositionsLog!$A$2:$K796, ""SELECT F WHERE B = '"" &amp; $B113  &amp; ""' ORDER BY A DESC LIMIT 1""), 0)"),0.0)</f>
        <v>0</v>
      </c>
      <c r="U113" s="140">
        <f>IFERROR(__xludf.DUMMYFUNCTION("IF(ISBLANK($M113), QUERY(OptionPositionsLog!$A$2:$K796, ""SELECT G WHERE B = '"" &amp; $B113  &amp; ""' ORDER BY A DESC LIMIT 1"")*F113, 0)"),0.0)</f>
        <v>0</v>
      </c>
      <c r="V113" s="140">
        <f>IFERROR(__xludf.DUMMYFUNCTION("IF(ISBLANK($M113), QUERY(OptionPositionsLog!$A$2:$K796, ""SELECT H WHERE B = '"" &amp; $B113  &amp; ""' ORDER BY A DESC LIMIT 1"")*F113, 0)"),0.0)</f>
        <v>0</v>
      </c>
      <c r="W113" s="140">
        <f>IFERROR(__xludf.DUMMYFUNCTION("IF(ISBLANK($M113), QUERY(OptionPositionsLog!$A$2:$K796, ""SELECT I WHERE B = '"" &amp; $B113  &amp; ""' ORDER BY A DESC LIMIT 1""), 0)"),0.0)</f>
        <v>0</v>
      </c>
      <c r="X113" s="140">
        <f>IFERROR(__xludf.DUMMYFUNCTION("IF(ISBLANK($M113), QUERY(OptionPositionsLog!$A$2:$K796, ""SELECT J WHERE B = '"" &amp; $B113  &amp; ""' ORDER BY A DESC LIMIT 1""), 0)"),0.0)</f>
        <v>0</v>
      </c>
      <c r="Y113" s="140" t="str">
        <f>IFERROR(__xludf.DUMMYFUNCTION("IF(ISBLANK($M113), QUERY(OptionPositionsLog!$A$2:$K796, ""SELECT D WHERE B = '"" &amp; $B113  &amp; ""' ORDER BY A DESC LIMIT 1"")*100, """")"),"")</f>
        <v/>
      </c>
      <c r="Z113" s="148">
        <f>IFERROR(__xludf.DUMMYFUNCTION("QUERY(OptionPositionsLog, ""SELECT K WHERE B = '"" &amp; $B113  &amp; ""' ORDER BY K DESC LIMIT 1"")"),174.86)</f>
        <v>174.86</v>
      </c>
      <c r="AA113" s="154">
        <f t="shared" si="11"/>
        <v>73.80952381</v>
      </c>
      <c r="AB113" s="155" t="str">
        <f t="shared" si="8"/>
        <v/>
      </c>
      <c r="AC113" s="153">
        <f t="shared" si="9"/>
        <v>49.72606657</v>
      </c>
      <c r="AD113" s="31"/>
    </row>
    <row r="114" ht="22.5" customHeight="1">
      <c r="A114" s="129" t="s">
        <v>139</v>
      </c>
      <c r="B114" s="130" t="s">
        <v>569</v>
      </c>
      <c r="C114" s="131">
        <v>46064.0</v>
      </c>
      <c r="D114" s="131">
        <v>46101.0</v>
      </c>
      <c r="E114" s="131">
        <v>46085.0</v>
      </c>
      <c r="F114" s="132">
        <v>1.0</v>
      </c>
      <c r="G114" s="30" t="s">
        <v>459</v>
      </c>
      <c r="H114" s="133">
        <v>70.0</v>
      </c>
      <c r="I114" s="30">
        <v>0.40899</v>
      </c>
      <c r="J114" s="30">
        <v>1.0</v>
      </c>
      <c r="K114" s="147">
        <v>100.0</v>
      </c>
      <c r="L114" s="148">
        <f>IFERROR(__xludf.DUMMYFUNCTION("QUERY(OptionPositionsLog, ""SELECT E WHERE B = '"" &amp; $B114  &amp; ""' ORDER BY A DESC LIMIT 1"")"),0.3)</f>
        <v>0.3</v>
      </c>
      <c r="M114" s="30">
        <v>0.14</v>
      </c>
      <c r="N114" s="140">
        <f t="shared" si="1"/>
        <v>30</v>
      </c>
      <c r="O114" s="140">
        <f t="shared" si="2"/>
        <v>0</v>
      </c>
      <c r="P114" s="149">
        <f t="shared" si="3"/>
        <v>0</v>
      </c>
      <c r="Q114" s="138" t="str">
        <f t="shared" si="4"/>
        <v/>
      </c>
      <c r="R114" s="150">
        <f t="shared" si="5"/>
        <v>-27.899</v>
      </c>
      <c r="S114" s="140">
        <f t="shared" si="6"/>
        <v>-70</v>
      </c>
      <c r="T114" s="140">
        <f>IFERROR(__xludf.DUMMYFUNCTION("IF(ISBLANK($M114), QUERY(OptionPositionsLog!$A$2:$K796, ""SELECT F WHERE B = '"" &amp; $B114  &amp; ""' ORDER BY A DESC LIMIT 1""), 0)"),0.0)</f>
        <v>0</v>
      </c>
      <c r="U114" s="140">
        <f>IFERROR(__xludf.DUMMYFUNCTION("IF(ISBLANK($M114), QUERY(OptionPositionsLog!$A$2:$K796, ""SELECT G WHERE B = '"" &amp; $B114  &amp; ""' ORDER BY A DESC LIMIT 1"")*F114, 0)"),0.0)</f>
        <v>0</v>
      </c>
      <c r="V114" s="140">
        <f>IFERROR(__xludf.DUMMYFUNCTION("IF(ISBLANK($M114), QUERY(OptionPositionsLog!$A$2:$K796, ""SELECT H WHERE B = '"" &amp; $B114  &amp; ""' ORDER BY A DESC LIMIT 1"")*F114, 0)"),0.0)</f>
        <v>0</v>
      </c>
      <c r="W114" s="140">
        <f>IFERROR(__xludf.DUMMYFUNCTION("IF(ISBLANK($M114), QUERY(OptionPositionsLog!$A$2:$K796, ""SELECT I WHERE B = '"" &amp; $B114  &amp; ""' ORDER BY A DESC LIMIT 1""), 0)"),0.0)</f>
        <v>0</v>
      </c>
      <c r="X114" s="140">
        <f>IFERROR(__xludf.DUMMYFUNCTION("IF(ISBLANK($M114), QUERY(OptionPositionsLog!$A$2:$K796, ""SELECT J WHERE B = '"" &amp; $B114  &amp; ""' ORDER BY A DESC LIMIT 1""), 0)"),0.0)</f>
        <v>0</v>
      </c>
      <c r="Y114" s="140" t="str">
        <f>IFERROR(__xludf.DUMMYFUNCTION("IF(ISBLANK($M114), QUERY(OptionPositionsLog!$A$2:$K796, ""SELECT D WHERE B = '"" &amp; $B114  &amp; ""' ORDER BY A DESC LIMIT 1"")*100, """")"),"")</f>
        <v/>
      </c>
      <c r="Z114" s="148">
        <f>IFERROR(__xludf.DUMMYFUNCTION("QUERY(OptionPositionsLog, ""SELECT K WHERE B = '"" &amp; $B114  &amp; ""' ORDER BY K DESC LIMIT 1"")"),67.96)</f>
        <v>67.96</v>
      </c>
      <c r="AA114" s="154">
        <f t="shared" si="11"/>
        <v>56.75675676</v>
      </c>
      <c r="AB114" s="155" t="str">
        <f t="shared" si="8"/>
        <v/>
      </c>
      <c r="AC114" s="153">
        <f t="shared" si="9"/>
        <v>-41.05208946</v>
      </c>
      <c r="AD114" s="31"/>
    </row>
    <row r="115" ht="22.5" customHeight="1">
      <c r="A115" s="129" t="s">
        <v>198</v>
      </c>
      <c r="B115" s="130" t="s">
        <v>570</v>
      </c>
      <c r="C115" s="131">
        <v>46064.0</v>
      </c>
      <c r="D115" s="131">
        <v>46101.0</v>
      </c>
      <c r="E115" s="30" t="s">
        <v>516</v>
      </c>
      <c r="F115" s="132">
        <v>1.0</v>
      </c>
      <c r="G115" s="30" t="s">
        <v>459</v>
      </c>
      <c r="H115" s="133">
        <v>60.0</v>
      </c>
      <c r="I115" s="30">
        <v>0.18051</v>
      </c>
      <c r="J115" s="30">
        <v>1.0</v>
      </c>
      <c r="K115" s="147">
        <v>100.0</v>
      </c>
      <c r="L115" s="148">
        <f>IFERROR(__xludf.DUMMYFUNCTION("QUERY(OptionPositionsLog, ""SELECT E WHERE B = '"" &amp; $B115  &amp; ""' ORDER BY A DESC LIMIT 1"")"),0.0)</f>
        <v>0</v>
      </c>
      <c r="M115" s="30"/>
      <c r="N115" s="140">
        <f t="shared" si="1"/>
        <v>0</v>
      </c>
      <c r="O115" s="140">
        <f t="shared" si="2"/>
        <v>-0.18051</v>
      </c>
      <c r="P115" s="149">
        <f t="shared" si="3"/>
        <v>-18.051</v>
      </c>
      <c r="Q115" s="138">
        <f t="shared" si="4"/>
        <v>-100</v>
      </c>
      <c r="R115" s="150">
        <f t="shared" si="5"/>
        <v>0</v>
      </c>
      <c r="S115" s="140">
        <f t="shared" si="6"/>
        <v>0</v>
      </c>
      <c r="T115" s="140">
        <f>IFERROR(__xludf.DUMMYFUNCTION("IF(ISBLANK($M115), QUERY(OptionPositionsLog!$A$2:$K796, ""SELECT F WHERE B = '"" &amp; $B115  &amp; ""' ORDER BY A DESC LIMIT 1""), 0)"),0.0)</f>
        <v>0</v>
      </c>
      <c r="U115" s="140">
        <f>IFERROR(__xludf.DUMMYFUNCTION("IF(ISBLANK($M115), QUERY(OptionPositionsLog!$A$2:$K796, ""SELECT G WHERE B = '"" &amp; $B115  &amp; ""' ORDER BY A DESC LIMIT 1"")*F115, 0)"),0.0018117)</f>
        <v>0.0018117</v>
      </c>
      <c r="V115" s="140">
        <f>IFERROR(__xludf.DUMMYFUNCTION("IF(ISBLANK($M115), QUERY(OptionPositionsLog!$A$2:$K796, ""SELECT H WHERE B = '"" &amp; $B115  &amp; ""' ORDER BY A DESC LIMIT 1"")*F115, 0)"),-9.7108E-4)</f>
        <v>-0.00097108</v>
      </c>
      <c r="W115" s="140">
        <f>IFERROR(__xludf.DUMMYFUNCTION("IF(ISBLANK($M115), QUERY(OptionPositionsLog!$A$2:$K796, ""SELECT I WHERE B = '"" &amp; $B115  &amp; ""' ORDER BY A DESC LIMIT 1""), 0)"),0.00132821)</f>
        <v>0.00132821</v>
      </c>
      <c r="X115" s="140">
        <f>IFERROR(__xludf.DUMMYFUNCTION("IF(ISBLANK($M115), QUERY(OptionPositionsLog!$A$2:$K796, ""SELECT J WHERE B = '"" &amp; $B115  &amp; ""' ORDER BY A DESC LIMIT 1""), 0)"),5.2509E-4)</f>
        <v>0.00052509</v>
      </c>
      <c r="Y115" s="140">
        <f>IFERROR(__xludf.DUMMYFUNCTION("IF(ISBLANK($M115), QUERY(OptionPositionsLog!$A$2:$K796, ""SELECT D WHERE B = '"" &amp; $B115  &amp; ""' ORDER BY A DESC LIMIT 1"")*100, """")"),53.0)</f>
        <v>53</v>
      </c>
      <c r="Z115" s="148">
        <f>IFERROR(__xludf.DUMMYFUNCTION("QUERY(OptionPositionsLog, ""SELECT K WHERE B = '"" &amp; $B115  &amp; ""' ORDER BY K DESC LIMIT 1"")"),15.51)</f>
        <v>15.51</v>
      </c>
      <c r="AA115" s="154">
        <f t="shared" si="11"/>
        <v>-124497.2973</v>
      </c>
      <c r="AB115" s="155">
        <f t="shared" si="8"/>
        <v>1244.972973</v>
      </c>
      <c r="AC115" s="153">
        <f t="shared" si="9"/>
        <v>0</v>
      </c>
      <c r="AD115" s="31"/>
    </row>
    <row r="116" ht="22.5" customHeight="1">
      <c r="A116" s="129" t="s">
        <v>310</v>
      </c>
      <c r="B116" s="130" t="s">
        <v>571</v>
      </c>
      <c r="C116" s="131">
        <v>46063.0</v>
      </c>
      <c r="D116" s="131">
        <v>46101.0</v>
      </c>
      <c r="E116" s="131">
        <v>46079.0</v>
      </c>
      <c r="F116" s="132">
        <v>1.0</v>
      </c>
      <c r="G116" s="30" t="s">
        <v>455</v>
      </c>
      <c r="H116" s="133">
        <v>13.0</v>
      </c>
      <c r="I116" s="30">
        <v>1.12249</v>
      </c>
      <c r="J116" s="30">
        <v>1.0</v>
      </c>
      <c r="K116" s="147">
        <v>100.0</v>
      </c>
      <c r="L116" s="148">
        <f>IFERROR(__xludf.DUMMYFUNCTION("QUERY(OptionPositionsLog, ""SELECT E WHERE B = '"" &amp; $B116  &amp; ""' ORDER BY A DESC LIMIT 1"")"),2.35)</f>
        <v>2.35</v>
      </c>
      <c r="M116" s="30">
        <v>1.68</v>
      </c>
      <c r="N116" s="140">
        <f t="shared" si="1"/>
        <v>235</v>
      </c>
      <c r="O116" s="140">
        <f t="shared" si="2"/>
        <v>0</v>
      </c>
      <c r="P116" s="149">
        <f t="shared" si="3"/>
        <v>0</v>
      </c>
      <c r="Q116" s="138" t="str">
        <f t="shared" si="4"/>
        <v/>
      </c>
      <c r="R116" s="150">
        <f t="shared" si="5"/>
        <v>54.751</v>
      </c>
      <c r="S116" s="140">
        <f t="shared" si="6"/>
        <v>50</v>
      </c>
      <c r="T116" s="140">
        <f>IFERROR(__xludf.DUMMYFUNCTION("IF(ISBLANK($M116), QUERY(OptionPositionsLog!$A$2:$K796, ""SELECT F WHERE B = '"" &amp; $B116  &amp; ""' ORDER BY A DESC LIMIT 1""), 0)"),0.0)</f>
        <v>0</v>
      </c>
      <c r="U116" s="140">
        <f>IFERROR(__xludf.DUMMYFUNCTION("IF(ISBLANK($M116), QUERY(OptionPositionsLog!$A$2:$K796, ""SELECT G WHERE B = '"" &amp; $B116  &amp; ""' ORDER BY A DESC LIMIT 1"")*F116, 0)"),0.0)</f>
        <v>0</v>
      </c>
      <c r="V116" s="140">
        <f>IFERROR(__xludf.DUMMYFUNCTION("IF(ISBLANK($M116), QUERY(OptionPositionsLog!$A$2:$K796, ""SELECT H WHERE B = '"" &amp; $B116  &amp; ""' ORDER BY A DESC LIMIT 1"")*F116, 0)"),0.0)</f>
        <v>0</v>
      </c>
      <c r="W116" s="140">
        <f>IFERROR(__xludf.DUMMYFUNCTION("IF(ISBLANK($M116), QUERY(OptionPositionsLog!$A$2:$K796, ""SELECT I WHERE B = '"" &amp; $B116  &amp; ""' ORDER BY A DESC LIMIT 1""), 0)"),0.0)</f>
        <v>0</v>
      </c>
      <c r="X116" s="140">
        <f>IFERROR(__xludf.DUMMYFUNCTION("IF(ISBLANK($M116), QUERY(OptionPositionsLog!$A$2:$K796, ""SELECT J WHERE B = '"" &amp; $B116  &amp; ""' ORDER BY A DESC LIMIT 1""), 0)"),0.0)</f>
        <v>0</v>
      </c>
      <c r="Y116" s="140" t="str">
        <f>IFERROR(__xludf.DUMMYFUNCTION("IF(ISBLANK($M116), QUERY(OptionPositionsLog!$A$2:$K796, ""SELECT D WHERE B = '"" &amp; $B116  &amp; ""' ORDER BY A DESC LIMIT 1"")*100, """")"),"")</f>
        <v/>
      </c>
      <c r="Z116" s="148">
        <f>IFERROR(__xludf.DUMMYFUNCTION("QUERY(OptionPositionsLog, ""SELECT K WHERE B = '"" &amp; $B116  &amp; ""' ORDER BY K DESC LIMIT 1"")"),177.33)</f>
        <v>177.33</v>
      </c>
      <c r="AA116" s="154">
        <f t="shared" si="11"/>
        <v>42.10526316</v>
      </c>
      <c r="AB116" s="155" t="str">
        <f t="shared" si="8"/>
        <v/>
      </c>
      <c r="AC116" s="153">
        <f t="shared" si="9"/>
        <v>30.87520442</v>
      </c>
      <c r="AD116" s="31"/>
    </row>
    <row r="117" ht="22.5" customHeight="1">
      <c r="A117" s="129" t="s">
        <v>310</v>
      </c>
      <c r="B117" s="130" t="s">
        <v>572</v>
      </c>
      <c r="C117" s="131">
        <v>46063.0</v>
      </c>
      <c r="D117" s="131">
        <v>46101.0</v>
      </c>
      <c r="E117" s="131">
        <v>46079.0</v>
      </c>
      <c r="F117" s="132">
        <v>-1.0</v>
      </c>
      <c r="G117" s="30" t="s">
        <v>455</v>
      </c>
      <c r="H117" s="133">
        <v>11.0</v>
      </c>
      <c r="I117" s="30">
        <v>0.40748</v>
      </c>
      <c r="J117" s="30">
        <v>1.0</v>
      </c>
      <c r="K117" s="147">
        <v>100.0</v>
      </c>
      <c r="L117" s="148">
        <f>IFERROR(__xludf.DUMMYFUNCTION("QUERY(OptionPositionsLog, ""SELECT E WHERE B = '"" &amp; $B117  &amp; ""' ORDER BY A DESC LIMIT 1"")"),1.01)</f>
        <v>1.01</v>
      </c>
      <c r="M117" s="30">
        <v>0.65</v>
      </c>
      <c r="N117" s="140">
        <f t="shared" si="1"/>
        <v>101</v>
      </c>
      <c r="O117" s="140">
        <f t="shared" si="2"/>
        <v>0</v>
      </c>
      <c r="P117" s="149">
        <f t="shared" si="3"/>
        <v>0</v>
      </c>
      <c r="Q117" s="138" t="str">
        <f t="shared" si="4"/>
        <v/>
      </c>
      <c r="R117" s="150">
        <f t="shared" si="5"/>
        <v>-25.252</v>
      </c>
      <c r="S117" s="140">
        <f t="shared" si="6"/>
        <v>-60</v>
      </c>
      <c r="T117" s="140">
        <f>IFERROR(__xludf.DUMMYFUNCTION("IF(ISBLANK($M117), QUERY(OptionPositionsLog!$A$2:$K796, ""SELECT F WHERE B = '"" &amp; $B117  &amp; ""' ORDER BY A DESC LIMIT 1""), 0)"),0.0)</f>
        <v>0</v>
      </c>
      <c r="U117" s="140">
        <f>IFERROR(__xludf.DUMMYFUNCTION("IF(ISBLANK($M117), QUERY(OptionPositionsLog!$A$2:$K796, ""SELECT G WHERE B = '"" &amp; $B117  &amp; ""' ORDER BY A DESC LIMIT 1"")*F117, 0)"),0.0)</f>
        <v>0</v>
      </c>
      <c r="V117" s="140">
        <f>IFERROR(__xludf.DUMMYFUNCTION("IF(ISBLANK($M117), QUERY(OptionPositionsLog!$A$2:$K796, ""SELECT H WHERE B = '"" &amp; $B117  &amp; ""' ORDER BY A DESC LIMIT 1"")*F117, 0)"),0.0)</f>
        <v>0</v>
      </c>
      <c r="W117" s="140">
        <f>IFERROR(__xludf.DUMMYFUNCTION("IF(ISBLANK($M117), QUERY(OptionPositionsLog!$A$2:$K796, ""SELECT I WHERE B = '"" &amp; $B117  &amp; ""' ORDER BY A DESC LIMIT 1""), 0)"),0.0)</f>
        <v>0</v>
      </c>
      <c r="X117" s="140">
        <f>IFERROR(__xludf.DUMMYFUNCTION("IF(ISBLANK($M117), QUERY(OptionPositionsLog!$A$2:$K796, ""SELECT J WHERE B = '"" &amp; $B117  &amp; ""' ORDER BY A DESC LIMIT 1""), 0)"),0.0)</f>
        <v>0</v>
      </c>
      <c r="Y117" s="140" t="str">
        <f>IFERROR(__xludf.DUMMYFUNCTION("IF(ISBLANK($M117), QUERY(OptionPositionsLog!$A$2:$K796, ""SELECT D WHERE B = '"" &amp; $B117  &amp; ""' ORDER BY A DESC LIMIT 1"")*100, """")"),"")</f>
        <v/>
      </c>
      <c r="Z117" s="148">
        <f>IFERROR(__xludf.DUMMYFUNCTION("QUERY(OptionPositionsLog, ""SELECT K WHERE B = '"" &amp; $B117  &amp; ""' ORDER BY K DESC LIMIT 1"")"),92.58)</f>
        <v>92.58</v>
      </c>
      <c r="AA117" s="154">
        <f t="shared" si="11"/>
        <v>42.10526316</v>
      </c>
      <c r="AB117" s="155" t="str">
        <f t="shared" si="8"/>
        <v/>
      </c>
      <c r="AC117" s="153">
        <f t="shared" si="9"/>
        <v>-27.27586952</v>
      </c>
      <c r="AD117" s="31"/>
    </row>
    <row r="118" ht="22.5" customHeight="1">
      <c r="A118" s="129" t="s">
        <v>314</v>
      </c>
      <c r="B118" s="130" t="s">
        <v>573</v>
      </c>
      <c r="C118" s="131">
        <v>46064.0</v>
      </c>
      <c r="D118" s="131">
        <v>46101.0</v>
      </c>
      <c r="E118" s="131">
        <v>46092.0</v>
      </c>
      <c r="F118" s="132">
        <v>-1.0</v>
      </c>
      <c r="G118" s="30" t="s">
        <v>455</v>
      </c>
      <c r="H118" s="133">
        <v>330.0</v>
      </c>
      <c r="I118" s="30">
        <v>5.06148</v>
      </c>
      <c r="J118" s="30">
        <v>1.0</v>
      </c>
      <c r="K118" s="147">
        <v>100.0</v>
      </c>
      <c r="L118" s="148">
        <f>IFERROR(__xludf.DUMMYFUNCTION("QUERY(OptionPositionsLog, ""SELECT E WHERE B = '"" &amp; $B118  &amp; ""' ORDER BY A DESC LIMIT 1"")"),5.7)</f>
        <v>5.7</v>
      </c>
      <c r="M118" s="30">
        <v>4.9</v>
      </c>
      <c r="N118" s="140">
        <f t="shared" si="1"/>
        <v>570</v>
      </c>
      <c r="O118" s="140">
        <f t="shared" si="2"/>
        <v>0</v>
      </c>
      <c r="P118" s="149">
        <f t="shared" si="3"/>
        <v>0</v>
      </c>
      <c r="Q118" s="138" t="str">
        <f t="shared" si="4"/>
        <v/>
      </c>
      <c r="R118" s="150">
        <f t="shared" si="5"/>
        <v>15.148</v>
      </c>
      <c r="S118" s="140">
        <f t="shared" si="6"/>
        <v>0</v>
      </c>
      <c r="T118" s="140">
        <f>IFERROR(__xludf.DUMMYFUNCTION("IF(ISBLANK($M118), QUERY(OptionPositionsLog!$A$2:$K796, ""SELECT F WHERE B = '"" &amp; $B118  &amp; ""' ORDER BY A DESC LIMIT 1""), 0)"),0.0)</f>
        <v>0</v>
      </c>
      <c r="U118" s="140">
        <f>IFERROR(__xludf.DUMMYFUNCTION("IF(ISBLANK($M118), QUERY(OptionPositionsLog!$A$2:$K796, ""SELECT G WHERE B = '"" &amp; $B118  &amp; ""' ORDER BY A DESC LIMIT 1"")*F118, 0)"),0.0)</f>
        <v>0</v>
      </c>
      <c r="V118" s="140">
        <f>IFERROR(__xludf.DUMMYFUNCTION("IF(ISBLANK($M118), QUERY(OptionPositionsLog!$A$2:$K796, ""SELECT H WHERE B = '"" &amp; $B118  &amp; ""' ORDER BY A DESC LIMIT 1"")*F118, 0)"),0.0)</f>
        <v>0</v>
      </c>
      <c r="W118" s="140">
        <f>IFERROR(__xludf.DUMMYFUNCTION("IF(ISBLANK($M118), QUERY(OptionPositionsLog!$A$2:$K796, ""SELECT I WHERE B = '"" &amp; $B118  &amp; ""' ORDER BY A DESC LIMIT 1""), 0)"),0.0)</f>
        <v>0</v>
      </c>
      <c r="X118" s="140">
        <f>IFERROR(__xludf.DUMMYFUNCTION("IF(ISBLANK($M118), QUERY(OptionPositionsLog!$A$2:$K796, ""SELECT J WHERE B = '"" &amp; $B118  &amp; ""' ORDER BY A DESC LIMIT 1""), 0)"),0.0)</f>
        <v>0</v>
      </c>
      <c r="Y118" s="140" t="str">
        <f>IFERROR(__xludf.DUMMYFUNCTION("IF(ISBLANK($M118), QUERY(OptionPositionsLog!$A$2:$K796, ""SELECT D WHERE B = '"" &amp; $B118  &amp; ""' ORDER BY A DESC LIMIT 1"")*100, """")"),"")</f>
        <v/>
      </c>
      <c r="Z118" s="148">
        <f>IFERROR(__xludf.DUMMYFUNCTION("QUERY(OptionPositionsLog, ""SELECT K WHERE B = '"" &amp; $B118  &amp; ""' ORDER BY K DESC LIMIT 1"")"),3716.06)</f>
        <v>3716.06</v>
      </c>
      <c r="AA118" s="154">
        <f t="shared" si="11"/>
        <v>75.67567568</v>
      </c>
      <c r="AB118" s="155" t="str">
        <f t="shared" si="8"/>
        <v/>
      </c>
      <c r="AC118" s="153">
        <f t="shared" si="9"/>
        <v>0.4076360446</v>
      </c>
      <c r="AD118" s="31"/>
    </row>
    <row r="119" ht="22.5" customHeight="1">
      <c r="A119" s="129" t="s">
        <v>325</v>
      </c>
      <c r="B119" s="130" t="s">
        <v>574</v>
      </c>
      <c r="C119" s="131">
        <v>46064.0</v>
      </c>
      <c r="D119" s="131">
        <v>46101.0</v>
      </c>
      <c r="E119" s="131">
        <v>46085.0</v>
      </c>
      <c r="F119" s="132">
        <v>1.0</v>
      </c>
      <c r="G119" s="30" t="s">
        <v>459</v>
      </c>
      <c r="H119" s="133">
        <v>80.0</v>
      </c>
      <c r="I119" s="30">
        <v>0.25249</v>
      </c>
      <c r="J119" s="30">
        <v>1.0</v>
      </c>
      <c r="K119" s="147">
        <v>100.0</v>
      </c>
      <c r="L119" s="148">
        <f>IFERROR(__xludf.DUMMYFUNCTION("QUERY(OptionPositionsLog, ""SELECT E WHERE B = '"" &amp; $B119  &amp; ""' ORDER BY A DESC LIMIT 1"")"),0.7)</f>
        <v>0.7</v>
      </c>
      <c r="M119" s="30">
        <v>0.34</v>
      </c>
      <c r="N119" s="140">
        <f t="shared" si="1"/>
        <v>70</v>
      </c>
      <c r="O119" s="140">
        <f t="shared" si="2"/>
        <v>0</v>
      </c>
      <c r="P119" s="149">
        <f t="shared" si="3"/>
        <v>0</v>
      </c>
      <c r="Q119" s="138" t="str">
        <f t="shared" si="4"/>
        <v/>
      </c>
      <c r="R119" s="150">
        <f t="shared" si="5"/>
        <v>7.751</v>
      </c>
      <c r="S119" s="140">
        <f t="shared" si="6"/>
        <v>30</v>
      </c>
      <c r="T119" s="140">
        <f>IFERROR(__xludf.DUMMYFUNCTION("IF(ISBLANK($M119), QUERY(OptionPositionsLog!$A$2:$K796, ""SELECT F WHERE B = '"" &amp; $B119  &amp; ""' ORDER BY A DESC LIMIT 1""), 0)"),0.0)</f>
        <v>0</v>
      </c>
      <c r="U119" s="140">
        <f>IFERROR(__xludf.DUMMYFUNCTION("IF(ISBLANK($M119), QUERY(OptionPositionsLog!$A$2:$K796, ""SELECT G WHERE B = '"" &amp; $B119  &amp; ""' ORDER BY A DESC LIMIT 1"")*F119, 0)"),0.0)</f>
        <v>0</v>
      </c>
      <c r="V119" s="140">
        <f>IFERROR(__xludf.DUMMYFUNCTION("IF(ISBLANK($M119), QUERY(OptionPositionsLog!$A$2:$K796, ""SELECT H WHERE B = '"" &amp; $B119  &amp; ""' ORDER BY A DESC LIMIT 1"")*F119, 0)"),0.0)</f>
        <v>0</v>
      </c>
      <c r="W119" s="140">
        <f>IFERROR(__xludf.DUMMYFUNCTION("IF(ISBLANK($M119), QUERY(OptionPositionsLog!$A$2:$K796, ""SELECT I WHERE B = '"" &amp; $B119  &amp; ""' ORDER BY A DESC LIMIT 1""), 0)"),0.0)</f>
        <v>0</v>
      </c>
      <c r="X119" s="140">
        <f>IFERROR(__xludf.DUMMYFUNCTION("IF(ISBLANK($M119), QUERY(OptionPositionsLog!$A$2:$K796, ""SELECT J WHERE B = '"" &amp; $B119  &amp; ""' ORDER BY A DESC LIMIT 1""), 0)"),0.0)</f>
        <v>0</v>
      </c>
      <c r="Y119" s="140" t="str">
        <f>IFERROR(__xludf.DUMMYFUNCTION("IF(ISBLANK($M119), QUERY(OptionPositionsLog!$A$2:$K796, ""SELECT D WHERE B = '"" &amp; $B119  &amp; ""' ORDER BY A DESC LIMIT 1"")*100, """")"),"")</f>
        <v/>
      </c>
      <c r="Z119" s="148">
        <f>IFERROR(__xludf.DUMMYFUNCTION("QUERY(OptionPositionsLog, ""SELECT K WHERE B = '"" &amp; $B119  &amp; ""' ORDER BY K DESC LIMIT 1"")"),44.0)</f>
        <v>44</v>
      </c>
      <c r="AA119" s="154">
        <f t="shared" si="11"/>
        <v>56.75675676</v>
      </c>
      <c r="AB119" s="155" t="str">
        <f t="shared" si="8"/>
        <v/>
      </c>
      <c r="AC119" s="153">
        <f t="shared" si="9"/>
        <v>17.61590909</v>
      </c>
      <c r="AD119" s="31"/>
    </row>
    <row r="120" ht="22.5" customHeight="1">
      <c r="A120" s="129" t="s">
        <v>328</v>
      </c>
      <c r="B120" s="130" t="s">
        <v>575</v>
      </c>
      <c r="C120" s="131">
        <v>46065.0</v>
      </c>
      <c r="D120" s="131">
        <v>46101.0</v>
      </c>
      <c r="E120" s="131">
        <v>46077.0</v>
      </c>
      <c r="F120" s="132">
        <v>-1.0</v>
      </c>
      <c r="G120" s="30" t="s">
        <v>455</v>
      </c>
      <c r="H120" s="133">
        <v>190.0</v>
      </c>
      <c r="I120" s="30">
        <v>2.55198</v>
      </c>
      <c r="J120" s="30">
        <v>1.0</v>
      </c>
      <c r="K120" s="147">
        <v>100.0</v>
      </c>
      <c r="L120" s="148">
        <f>IFERROR(__xludf.DUMMYFUNCTION("QUERY(OptionPositionsLog, ""SELECT E WHERE B = '"" &amp; $B120  &amp; ""' ORDER BY A DESC LIMIT 1"")"),1.75)</f>
        <v>1.75</v>
      </c>
      <c r="M120" s="30">
        <v>2.15</v>
      </c>
      <c r="N120" s="140">
        <f t="shared" si="1"/>
        <v>175</v>
      </c>
      <c r="O120" s="140">
        <f t="shared" si="2"/>
        <v>0</v>
      </c>
      <c r="P120" s="149">
        <f t="shared" si="3"/>
        <v>0</v>
      </c>
      <c r="Q120" s="138" t="str">
        <f t="shared" si="4"/>
        <v/>
      </c>
      <c r="R120" s="150">
        <f t="shared" si="5"/>
        <v>39.198</v>
      </c>
      <c r="S120" s="140">
        <f t="shared" si="6"/>
        <v>20</v>
      </c>
      <c r="T120" s="140">
        <f>IFERROR(__xludf.DUMMYFUNCTION("IF(ISBLANK($M120), QUERY(OptionPositionsLog!$A$2:$K796, ""SELECT F WHERE B = '"" &amp; $B120  &amp; ""' ORDER BY A DESC LIMIT 1""), 0)"),0.0)</f>
        <v>0</v>
      </c>
      <c r="U120" s="140">
        <f>IFERROR(__xludf.DUMMYFUNCTION("IF(ISBLANK($M120), QUERY(OptionPositionsLog!$A$2:$K796, ""SELECT G WHERE B = '"" &amp; $B120  &amp; ""' ORDER BY A DESC LIMIT 1"")*F120, 0)"),0.0)</f>
        <v>0</v>
      </c>
      <c r="V120" s="140">
        <f>IFERROR(__xludf.DUMMYFUNCTION("IF(ISBLANK($M120), QUERY(OptionPositionsLog!$A$2:$K796, ""SELECT H WHERE B = '"" &amp; $B120  &amp; ""' ORDER BY A DESC LIMIT 1"")*F120, 0)"),0.0)</f>
        <v>0</v>
      </c>
      <c r="W120" s="140">
        <f>IFERROR(__xludf.DUMMYFUNCTION("IF(ISBLANK($M120), QUERY(OptionPositionsLog!$A$2:$K796, ""SELECT I WHERE B = '"" &amp; $B120  &amp; ""' ORDER BY A DESC LIMIT 1""), 0)"),0.0)</f>
        <v>0</v>
      </c>
      <c r="X120" s="140">
        <f>IFERROR(__xludf.DUMMYFUNCTION("IF(ISBLANK($M120), QUERY(OptionPositionsLog!$A$2:$K796, ""SELECT J WHERE B = '"" &amp; $B120  &amp; ""' ORDER BY A DESC LIMIT 1""), 0)"),0.0)</f>
        <v>0</v>
      </c>
      <c r="Y120" s="140" t="str">
        <f>IFERROR(__xludf.DUMMYFUNCTION("IF(ISBLANK($M120), QUERY(OptionPositionsLog!$A$2:$K796, ""SELECT D WHERE B = '"" &amp; $B120  &amp; ""' ORDER BY A DESC LIMIT 1"")*100, """")"),"")</f>
        <v/>
      </c>
      <c r="Z120" s="148">
        <f>IFERROR(__xludf.DUMMYFUNCTION("QUERY(OptionPositionsLog, ""SELECT K WHERE B = '"" &amp; $B120  &amp; ""' ORDER BY K DESC LIMIT 1"")"),2179.28)</f>
        <v>2179.28</v>
      </c>
      <c r="AA120" s="154">
        <f t="shared" si="11"/>
        <v>33.33333333</v>
      </c>
      <c r="AB120" s="155" t="str">
        <f t="shared" si="8"/>
        <v/>
      </c>
      <c r="AC120" s="153">
        <f t="shared" si="9"/>
        <v>1.79866745</v>
      </c>
      <c r="AD120" s="31"/>
    </row>
    <row r="121" ht="22.5" customHeight="1">
      <c r="A121" s="129" t="s">
        <v>318</v>
      </c>
      <c r="B121" s="130" t="s">
        <v>576</v>
      </c>
      <c r="C121" s="131">
        <v>46064.0</v>
      </c>
      <c r="D121" s="131">
        <v>46101.0</v>
      </c>
      <c r="E121" s="131">
        <v>46085.0</v>
      </c>
      <c r="F121" s="132">
        <v>1.0</v>
      </c>
      <c r="G121" s="30" t="s">
        <v>459</v>
      </c>
      <c r="H121" s="133">
        <v>52.5</v>
      </c>
      <c r="I121" s="30">
        <v>0.22799</v>
      </c>
      <c r="J121" s="30">
        <v>1.0</v>
      </c>
      <c r="K121" s="147">
        <v>100.0</v>
      </c>
      <c r="L121" s="148">
        <f>IFERROR(__xludf.DUMMYFUNCTION("QUERY(OptionPositionsLog, ""SELECT E WHERE B = '"" &amp; $B121  &amp; ""' ORDER BY A DESC LIMIT 1"")"),0.47)</f>
        <v>0.47</v>
      </c>
      <c r="M121" s="30">
        <v>0.46</v>
      </c>
      <c r="N121" s="140">
        <f t="shared" si="1"/>
        <v>47</v>
      </c>
      <c r="O121" s="140">
        <f t="shared" si="2"/>
        <v>0</v>
      </c>
      <c r="P121" s="149">
        <f t="shared" si="3"/>
        <v>0</v>
      </c>
      <c r="Q121" s="138" t="str">
        <f t="shared" si="4"/>
        <v/>
      </c>
      <c r="R121" s="150">
        <f t="shared" si="5"/>
        <v>22.201</v>
      </c>
      <c r="S121" s="140">
        <f t="shared" si="6"/>
        <v>100</v>
      </c>
      <c r="T121" s="140">
        <f>IFERROR(__xludf.DUMMYFUNCTION("IF(ISBLANK($M121), QUERY(OptionPositionsLog!$A$2:$K796, ""SELECT F WHERE B = '"" &amp; $B121  &amp; ""' ORDER BY A DESC LIMIT 1""), 0)"),0.0)</f>
        <v>0</v>
      </c>
      <c r="U121" s="140">
        <f>IFERROR(__xludf.DUMMYFUNCTION("IF(ISBLANK($M121), QUERY(OptionPositionsLog!$A$2:$K796, ""SELECT G WHERE B = '"" &amp; $B121  &amp; ""' ORDER BY A DESC LIMIT 1"")*F121, 0)"),0.0)</f>
        <v>0</v>
      </c>
      <c r="V121" s="140">
        <f>IFERROR(__xludf.DUMMYFUNCTION("IF(ISBLANK($M121), QUERY(OptionPositionsLog!$A$2:$K796, ""SELECT H WHERE B = '"" &amp; $B121  &amp; ""' ORDER BY A DESC LIMIT 1"")*F121, 0)"),0.0)</f>
        <v>0</v>
      </c>
      <c r="W121" s="140">
        <f>IFERROR(__xludf.DUMMYFUNCTION("IF(ISBLANK($M121), QUERY(OptionPositionsLog!$A$2:$K796, ""SELECT I WHERE B = '"" &amp; $B121  &amp; ""' ORDER BY A DESC LIMIT 1""), 0)"),0.0)</f>
        <v>0</v>
      </c>
      <c r="X121" s="140">
        <f>IFERROR(__xludf.DUMMYFUNCTION("IF(ISBLANK($M121), QUERY(OptionPositionsLog!$A$2:$K796, ""SELECT J WHERE B = '"" &amp; $B121  &amp; ""' ORDER BY A DESC LIMIT 1""), 0)"),0.0)</f>
        <v>0</v>
      </c>
      <c r="Y121" s="140" t="str">
        <f>IFERROR(__xludf.DUMMYFUNCTION("IF(ISBLANK($M121), QUERY(OptionPositionsLog!$A$2:$K796, ""SELECT D WHERE B = '"" &amp; $B121  &amp; ""' ORDER BY A DESC LIMIT 1"")*100, """")"),"")</f>
        <v/>
      </c>
      <c r="Z121" s="148">
        <f>IFERROR(__xludf.DUMMYFUNCTION("QUERY(OptionPositionsLog, ""SELECT K WHERE B = '"" &amp; $B121  &amp; ""' ORDER BY K DESC LIMIT 1"")"),39.7)</f>
        <v>39.7</v>
      </c>
      <c r="AA121" s="154">
        <f t="shared" si="11"/>
        <v>56.75675676</v>
      </c>
      <c r="AB121" s="155" t="str">
        <f t="shared" si="8"/>
        <v/>
      </c>
      <c r="AC121" s="153">
        <f t="shared" si="9"/>
        <v>55.92191436</v>
      </c>
      <c r="AD121" s="31"/>
    </row>
    <row r="122" ht="22.5" customHeight="1">
      <c r="A122" s="129" t="s">
        <v>337</v>
      </c>
      <c r="B122" s="130" t="s">
        <v>577</v>
      </c>
      <c r="C122" s="131">
        <v>46065.0</v>
      </c>
      <c r="D122" s="131">
        <v>46101.0</v>
      </c>
      <c r="E122" s="30" t="s">
        <v>516</v>
      </c>
      <c r="F122" s="132">
        <v>1.0</v>
      </c>
      <c r="G122" s="30" t="s">
        <v>455</v>
      </c>
      <c r="H122" s="133">
        <v>60.0</v>
      </c>
      <c r="I122" s="30">
        <v>0.46799</v>
      </c>
      <c r="J122" s="30">
        <v>1.0</v>
      </c>
      <c r="K122" s="147">
        <v>100.0</v>
      </c>
      <c r="L122" s="148">
        <f>IFERROR(__xludf.DUMMYFUNCTION("QUERY(OptionPositionsLog, ""SELECT E WHERE B = '"" &amp; $B122  &amp; ""' ORDER BY A DESC LIMIT 1"")"),0.07)</f>
        <v>0.07</v>
      </c>
      <c r="M122" s="30"/>
      <c r="N122" s="140">
        <f t="shared" si="1"/>
        <v>7</v>
      </c>
      <c r="O122" s="140">
        <f t="shared" si="2"/>
        <v>-0.39799</v>
      </c>
      <c r="P122" s="149">
        <f t="shared" si="3"/>
        <v>-39.799</v>
      </c>
      <c r="Q122" s="138">
        <f t="shared" si="4"/>
        <v>-85</v>
      </c>
      <c r="R122" s="150">
        <f t="shared" si="5"/>
        <v>0</v>
      </c>
      <c r="S122" s="140">
        <f t="shared" si="6"/>
        <v>0</v>
      </c>
      <c r="T122" s="140">
        <f>IFERROR(__xludf.DUMMYFUNCTION("IF(ISBLANK($M122), QUERY(OptionPositionsLog!$A$2:$K796, ""SELECT F WHERE B = '"" &amp; $B122  &amp; ""' ORDER BY A DESC LIMIT 1""), 0)"),0.07)</f>
        <v>0.07</v>
      </c>
      <c r="U122" s="140">
        <f>IFERROR(__xludf.DUMMYFUNCTION("IF(ISBLANK($M122), QUERY(OptionPositionsLog!$A$2:$K796, ""SELECT G WHERE B = '"" &amp; $B122  &amp; ""' ORDER BY A DESC LIMIT 1"")*F122, 0)"),-0.02169918)</f>
        <v>-0.02169918</v>
      </c>
      <c r="V122" s="140">
        <f>IFERROR(__xludf.DUMMYFUNCTION("IF(ISBLANK($M122), QUERY(OptionPositionsLog!$A$2:$K796, ""SELECT H WHERE B = '"" &amp; $B122  &amp; ""' ORDER BY A DESC LIMIT 1"")*F122, 0)"),-0.01765739)</f>
        <v>-0.01765739</v>
      </c>
      <c r="W122" s="140">
        <f>IFERROR(__xludf.DUMMYFUNCTION("IF(ISBLANK($M122), QUERY(OptionPositionsLog!$A$2:$K796, ""SELECT I WHERE B = '"" &amp; $B122  &amp; ""' ORDER BY A DESC LIMIT 1""), 0)"),0.00659275)</f>
        <v>0.00659275</v>
      </c>
      <c r="X122" s="140">
        <f>IFERROR(__xludf.DUMMYFUNCTION("IF(ISBLANK($M122), QUERY(OptionPositionsLog!$A$2:$K796, ""SELECT J WHERE B = '"" &amp; $B122  &amp; ""' ORDER BY A DESC LIMIT 1""), 0)"),0.00734658)</f>
        <v>0.00734658</v>
      </c>
      <c r="Y122" s="140">
        <f>IFERROR(__xludf.DUMMYFUNCTION("IF(ISBLANK($M122), QUERY(OptionPositionsLog!$A$2:$K796, ""SELECT D WHERE B = '"" &amp; $B122  &amp; ""' ORDER BY A DESC LIMIT 1"")*100, """")"),61.0)</f>
        <v>61</v>
      </c>
      <c r="Z122" s="148">
        <f>IFERROR(__xludf.DUMMYFUNCTION("QUERY(OptionPositionsLog, ""SELECT K WHERE B = '"" &amp; $B122  &amp; ""' ORDER BY K DESC LIMIT 1"")"),39.9)</f>
        <v>39.9</v>
      </c>
      <c r="AA122" s="154">
        <f t="shared" si="11"/>
        <v>-127958.3333</v>
      </c>
      <c r="AB122" s="155">
        <f t="shared" si="8"/>
        <v>1505.392157</v>
      </c>
      <c r="AC122" s="153">
        <f t="shared" si="9"/>
        <v>0</v>
      </c>
      <c r="AD122" s="31"/>
    </row>
    <row r="123" ht="22.5" customHeight="1">
      <c r="A123" s="129" t="s">
        <v>270</v>
      </c>
      <c r="B123" s="130" t="s">
        <v>578</v>
      </c>
      <c r="C123" s="131">
        <v>46065.0</v>
      </c>
      <c r="D123" s="131">
        <v>46101.0</v>
      </c>
      <c r="E123" s="131">
        <v>46085.0</v>
      </c>
      <c r="F123" s="132">
        <v>1.0</v>
      </c>
      <c r="G123" s="30" t="s">
        <v>459</v>
      </c>
      <c r="H123" s="133">
        <v>85.0</v>
      </c>
      <c r="I123" s="30">
        <v>0.31049</v>
      </c>
      <c r="J123" s="30">
        <v>1.0</v>
      </c>
      <c r="K123" s="147">
        <v>100.0</v>
      </c>
      <c r="L123" s="148">
        <f>IFERROR(__xludf.DUMMYFUNCTION("QUERY(OptionPositionsLog, ""SELECT E WHERE B = '"" &amp; $B123  &amp; ""' ORDER BY A DESC LIMIT 1"")"),0.1)</f>
        <v>0.1</v>
      </c>
      <c r="M123" s="30">
        <v>0.06</v>
      </c>
      <c r="N123" s="140">
        <f t="shared" si="1"/>
        <v>10</v>
      </c>
      <c r="O123" s="140">
        <f t="shared" si="2"/>
        <v>0</v>
      </c>
      <c r="P123" s="149">
        <f t="shared" si="3"/>
        <v>0</v>
      </c>
      <c r="Q123" s="138" t="str">
        <f t="shared" si="4"/>
        <v/>
      </c>
      <c r="R123" s="150">
        <f t="shared" si="5"/>
        <v>-26.049</v>
      </c>
      <c r="S123" s="140">
        <f t="shared" si="6"/>
        <v>-80</v>
      </c>
      <c r="T123" s="140">
        <f>IFERROR(__xludf.DUMMYFUNCTION("IF(ISBLANK($M123), QUERY(OptionPositionsLog!$A$2:$K796, ""SELECT F WHERE B = '"" &amp; $B123  &amp; ""' ORDER BY A DESC LIMIT 1""), 0)"),0.0)</f>
        <v>0</v>
      </c>
      <c r="U123" s="140">
        <f>IFERROR(__xludf.DUMMYFUNCTION("IF(ISBLANK($M123), QUERY(OptionPositionsLog!$A$2:$K796, ""SELECT G WHERE B = '"" &amp; $B123  &amp; ""' ORDER BY A DESC LIMIT 1"")*F123, 0)"),0.0)</f>
        <v>0</v>
      </c>
      <c r="V123" s="140">
        <f>IFERROR(__xludf.DUMMYFUNCTION("IF(ISBLANK($M123), QUERY(OptionPositionsLog!$A$2:$K796, ""SELECT H WHERE B = '"" &amp; $B123  &amp; ""' ORDER BY A DESC LIMIT 1"")*F123, 0)"),0.0)</f>
        <v>0</v>
      </c>
      <c r="W123" s="140">
        <f>IFERROR(__xludf.DUMMYFUNCTION("IF(ISBLANK($M123), QUERY(OptionPositionsLog!$A$2:$K796, ""SELECT I WHERE B = '"" &amp; $B123  &amp; ""' ORDER BY A DESC LIMIT 1""), 0)"),0.0)</f>
        <v>0</v>
      </c>
      <c r="X123" s="140">
        <f>IFERROR(__xludf.DUMMYFUNCTION("IF(ISBLANK($M123), QUERY(OptionPositionsLog!$A$2:$K796, ""SELECT J WHERE B = '"" &amp; $B123  &amp; ""' ORDER BY A DESC LIMIT 1""), 0)"),0.0)</f>
        <v>0</v>
      </c>
      <c r="Y123" s="140" t="str">
        <f>IFERROR(__xludf.DUMMYFUNCTION("IF(ISBLANK($M123), QUERY(OptionPositionsLog!$A$2:$K796, ""SELECT D WHERE B = '"" &amp; $B123  &amp; ""' ORDER BY A DESC LIMIT 1"")*100, """")"),"")</f>
        <v/>
      </c>
      <c r="Z123" s="148">
        <f>IFERROR(__xludf.DUMMYFUNCTION("QUERY(OptionPositionsLog, ""SELECT K WHERE B = '"" &amp; $B123  &amp; ""' ORDER BY K DESC LIMIT 1"")"),21.22)</f>
        <v>21.22</v>
      </c>
      <c r="AA123" s="154">
        <f t="shared" si="11"/>
        <v>55.55555556</v>
      </c>
      <c r="AB123" s="155" t="str">
        <f t="shared" si="8"/>
        <v/>
      </c>
      <c r="AC123" s="153">
        <f t="shared" si="9"/>
        <v>-122.7568332</v>
      </c>
      <c r="AD123" s="31"/>
    </row>
    <row r="124" ht="22.5" customHeight="1">
      <c r="A124" s="129" t="s">
        <v>218</v>
      </c>
      <c r="B124" s="130" t="s">
        <v>579</v>
      </c>
      <c r="C124" s="131">
        <v>46065.0</v>
      </c>
      <c r="D124" s="131">
        <v>46101.0</v>
      </c>
      <c r="E124" s="131">
        <v>46077.0</v>
      </c>
      <c r="F124" s="132">
        <v>1.0</v>
      </c>
      <c r="G124" s="30" t="s">
        <v>455</v>
      </c>
      <c r="H124" s="133">
        <v>65.0</v>
      </c>
      <c r="I124" s="30">
        <v>0.66799</v>
      </c>
      <c r="J124" s="30">
        <v>1.0</v>
      </c>
      <c r="K124" s="147">
        <v>100.0</v>
      </c>
      <c r="L124" s="148">
        <f>IFERROR(__xludf.DUMMYFUNCTION("QUERY(OptionPositionsLog, ""SELECT E WHERE B = '"" &amp; $B124  &amp; ""' ORDER BY A DESC LIMIT 1"")"),0.46)</f>
        <v>0.46</v>
      </c>
      <c r="M124" s="30">
        <v>0.32</v>
      </c>
      <c r="N124" s="140">
        <f t="shared" si="1"/>
        <v>46</v>
      </c>
      <c r="O124" s="140">
        <f t="shared" si="2"/>
        <v>0</v>
      </c>
      <c r="P124" s="149">
        <f t="shared" si="3"/>
        <v>0</v>
      </c>
      <c r="Q124" s="138" t="str">
        <f t="shared" si="4"/>
        <v/>
      </c>
      <c r="R124" s="150">
        <f t="shared" si="5"/>
        <v>-35.799</v>
      </c>
      <c r="S124" s="140">
        <f t="shared" si="6"/>
        <v>-50</v>
      </c>
      <c r="T124" s="140">
        <f>IFERROR(__xludf.DUMMYFUNCTION("IF(ISBLANK($M124), QUERY(OptionPositionsLog!$A$2:$K796, ""SELECT F WHERE B = '"" &amp; $B124  &amp; ""' ORDER BY A DESC LIMIT 1""), 0)"),0.0)</f>
        <v>0</v>
      </c>
      <c r="U124" s="140">
        <f>IFERROR(__xludf.DUMMYFUNCTION("IF(ISBLANK($M124), QUERY(OptionPositionsLog!$A$2:$K796, ""SELECT G WHERE B = '"" &amp; $B124  &amp; ""' ORDER BY A DESC LIMIT 1"")*F124, 0)"),0.0)</f>
        <v>0</v>
      </c>
      <c r="V124" s="140">
        <f>IFERROR(__xludf.DUMMYFUNCTION("IF(ISBLANK($M124), QUERY(OptionPositionsLog!$A$2:$K796, ""SELECT H WHERE B = '"" &amp; $B124  &amp; ""' ORDER BY A DESC LIMIT 1"")*F124, 0)"),0.0)</f>
        <v>0</v>
      </c>
      <c r="W124" s="140">
        <f>IFERROR(__xludf.DUMMYFUNCTION("IF(ISBLANK($M124), QUERY(OptionPositionsLog!$A$2:$K796, ""SELECT I WHERE B = '"" &amp; $B124  &amp; ""' ORDER BY A DESC LIMIT 1""), 0)"),0.0)</f>
        <v>0</v>
      </c>
      <c r="X124" s="140">
        <f>IFERROR(__xludf.DUMMYFUNCTION("IF(ISBLANK($M124), QUERY(OptionPositionsLog!$A$2:$K796, ""SELECT J WHERE B = '"" &amp; $B124  &amp; ""' ORDER BY A DESC LIMIT 1""), 0)"),0.0)</f>
        <v>0</v>
      </c>
      <c r="Y124" s="140" t="str">
        <f>IFERROR(__xludf.DUMMYFUNCTION("IF(ISBLANK($M124), QUERY(OptionPositionsLog!$A$2:$K796, ""SELECT D WHERE B = '"" &amp; $B124  &amp; ""' ORDER BY A DESC LIMIT 1"")*100, """")"),"")</f>
        <v/>
      </c>
      <c r="Z124" s="148">
        <f>IFERROR(__xludf.DUMMYFUNCTION("QUERY(OptionPositionsLog, ""SELECT K WHERE B = '"" &amp; $B124  &amp; ""' ORDER BY K DESC LIMIT 1"")"),44.86)</f>
        <v>44.86</v>
      </c>
      <c r="AA124" s="154">
        <f t="shared" si="11"/>
        <v>33.33333333</v>
      </c>
      <c r="AB124" s="155" t="str">
        <f t="shared" si="8"/>
        <v/>
      </c>
      <c r="AC124" s="153">
        <f t="shared" si="9"/>
        <v>-79.80160499</v>
      </c>
      <c r="AD124" s="31"/>
    </row>
    <row r="125" ht="22.5" customHeight="1">
      <c r="A125" s="129" t="s">
        <v>152</v>
      </c>
      <c r="B125" s="130" t="s">
        <v>580</v>
      </c>
      <c r="C125" s="131">
        <v>46065.0</v>
      </c>
      <c r="D125" s="131">
        <v>46101.0</v>
      </c>
      <c r="E125" s="131">
        <v>46077.0</v>
      </c>
      <c r="F125" s="132">
        <v>-1.0</v>
      </c>
      <c r="G125" s="30" t="s">
        <v>455</v>
      </c>
      <c r="H125" s="133">
        <v>420.0</v>
      </c>
      <c r="I125" s="30">
        <v>3.94298</v>
      </c>
      <c r="J125" s="30">
        <v>1.0</v>
      </c>
      <c r="K125" s="147">
        <v>100.0</v>
      </c>
      <c r="L125" s="148">
        <f>IFERROR(__xludf.DUMMYFUNCTION("QUERY(OptionPositionsLog, ""SELECT E WHERE B = '"" &amp; $B125  &amp; ""' ORDER BY A DESC LIMIT 1"")"),4.6)</f>
        <v>4.6</v>
      </c>
      <c r="M125" s="30">
        <v>1.9</v>
      </c>
      <c r="N125" s="140">
        <f t="shared" si="1"/>
        <v>460</v>
      </c>
      <c r="O125" s="140">
        <f t="shared" si="2"/>
        <v>0</v>
      </c>
      <c r="P125" s="149">
        <f t="shared" si="3"/>
        <v>0</v>
      </c>
      <c r="Q125" s="138" t="str">
        <f t="shared" si="4"/>
        <v/>
      </c>
      <c r="R125" s="150">
        <f t="shared" si="5"/>
        <v>203.298</v>
      </c>
      <c r="S125" s="140">
        <f t="shared" si="6"/>
        <v>50</v>
      </c>
      <c r="T125" s="140">
        <f>IFERROR(__xludf.DUMMYFUNCTION("IF(ISBLANK($M125), QUERY(OptionPositionsLog!$A$2:$K796, ""SELECT F WHERE B = '"" &amp; $B125  &amp; ""' ORDER BY A DESC LIMIT 1""), 0)"),0.0)</f>
        <v>0</v>
      </c>
      <c r="U125" s="140">
        <f>IFERROR(__xludf.DUMMYFUNCTION("IF(ISBLANK($M125), QUERY(OptionPositionsLog!$A$2:$K796, ""SELECT G WHERE B = '"" &amp; $B125  &amp; ""' ORDER BY A DESC LIMIT 1"")*F125, 0)"),0.0)</f>
        <v>0</v>
      </c>
      <c r="V125" s="140">
        <f>IFERROR(__xludf.DUMMYFUNCTION("IF(ISBLANK($M125), QUERY(OptionPositionsLog!$A$2:$K796, ""SELECT H WHERE B = '"" &amp; $B125  &amp; ""' ORDER BY A DESC LIMIT 1"")*F125, 0)"),0.0)</f>
        <v>0</v>
      </c>
      <c r="W125" s="140">
        <f>IFERROR(__xludf.DUMMYFUNCTION("IF(ISBLANK($M125), QUERY(OptionPositionsLog!$A$2:$K796, ""SELECT I WHERE B = '"" &amp; $B125  &amp; ""' ORDER BY A DESC LIMIT 1""), 0)"),0.0)</f>
        <v>0</v>
      </c>
      <c r="X125" s="140">
        <f>IFERROR(__xludf.DUMMYFUNCTION("IF(ISBLANK($M125), QUERY(OptionPositionsLog!$A$2:$K796, ""SELECT J WHERE B = '"" &amp; $B125  &amp; ""' ORDER BY A DESC LIMIT 1""), 0)"),0.0)</f>
        <v>0</v>
      </c>
      <c r="Y125" s="140" t="str">
        <f>IFERROR(__xludf.DUMMYFUNCTION("IF(ISBLANK($M125), QUERY(OptionPositionsLog!$A$2:$K796, ""SELECT D WHERE B = '"" &amp; $B125  &amp; ""' ORDER BY A DESC LIMIT 1"")*100, """")"),"")</f>
        <v/>
      </c>
      <c r="Z125" s="148">
        <f>IFERROR(__xludf.DUMMYFUNCTION("QUERY(OptionPositionsLog, ""SELECT K WHERE B = '"" &amp; $B125  &amp; ""' ORDER BY K DESC LIMIT 1"")"),1097.83)</f>
        <v>1097.83</v>
      </c>
      <c r="AA125" s="154">
        <f t="shared" si="11"/>
        <v>33.33333333</v>
      </c>
      <c r="AB125" s="155" t="str">
        <f t="shared" si="8"/>
        <v/>
      </c>
      <c r="AC125" s="153">
        <f t="shared" si="9"/>
        <v>18.51816766</v>
      </c>
      <c r="AD125" s="31"/>
    </row>
    <row r="126" ht="22.5" customHeight="1">
      <c r="A126" s="129" t="s">
        <v>152</v>
      </c>
      <c r="B126" s="130" t="s">
        <v>581</v>
      </c>
      <c r="C126" s="131">
        <v>46065.0</v>
      </c>
      <c r="D126" s="131">
        <v>46101.0</v>
      </c>
      <c r="E126" s="131">
        <v>46077.0</v>
      </c>
      <c r="F126" s="132">
        <v>-1.0</v>
      </c>
      <c r="G126" s="30" t="s">
        <v>459</v>
      </c>
      <c r="H126" s="133">
        <v>520.0</v>
      </c>
      <c r="I126" s="30">
        <v>1.58298</v>
      </c>
      <c r="J126" s="30">
        <v>1.0</v>
      </c>
      <c r="K126" s="147">
        <v>100.0</v>
      </c>
      <c r="L126" s="148">
        <f>IFERROR(__xludf.DUMMYFUNCTION("QUERY(OptionPositionsLog, ""SELECT E WHERE B = '"" &amp; $B126  &amp; ""' ORDER BY A DESC LIMIT 1"")"),1.18)</f>
        <v>1.18</v>
      </c>
      <c r="M126" s="30">
        <v>6.09</v>
      </c>
      <c r="N126" s="140">
        <f t="shared" si="1"/>
        <v>118</v>
      </c>
      <c r="O126" s="140">
        <f t="shared" si="2"/>
        <v>0</v>
      </c>
      <c r="P126" s="149">
        <f t="shared" si="3"/>
        <v>0</v>
      </c>
      <c r="Q126" s="138" t="str">
        <f t="shared" si="4"/>
        <v/>
      </c>
      <c r="R126" s="150">
        <f t="shared" si="5"/>
        <v>-451.702</v>
      </c>
      <c r="S126" s="140">
        <f t="shared" si="6"/>
        <v>-290</v>
      </c>
      <c r="T126" s="140">
        <f>IFERROR(__xludf.DUMMYFUNCTION("IF(ISBLANK($M126), QUERY(OptionPositionsLog!$A$2:$K796, ""SELECT F WHERE B = '"" &amp; $B126  &amp; ""' ORDER BY A DESC LIMIT 1""), 0)"),0.0)</f>
        <v>0</v>
      </c>
      <c r="U126" s="140">
        <f>IFERROR(__xludf.DUMMYFUNCTION("IF(ISBLANK($M126), QUERY(OptionPositionsLog!$A$2:$K796, ""SELECT G WHERE B = '"" &amp; $B126  &amp; ""' ORDER BY A DESC LIMIT 1"")*F126, 0)"),0.0)</f>
        <v>0</v>
      </c>
      <c r="V126" s="140">
        <f>IFERROR(__xludf.DUMMYFUNCTION("IF(ISBLANK($M126), QUERY(OptionPositionsLog!$A$2:$K796, ""SELECT H WHERE B = '"" &amp; $B126  &amp; ""' ORDER BY A DESC LIMIT 1"")*F126, 0)"),0.0)</f>
        <v>0</v>
      </c>
      <c r="W126" s="140">
        <f>IFERROR(__xludf.DUMMYFUNCTION("IF(ISBLANK($M126), QUERY(OptionPositionsLog!$A$2:$K796, ""SELECT I WHERE B = '"" &amp; $B126  &amp; ""' ORDER BY A DESC LIMIT 1""), 0)"),0.0)</f>
        <v>0</v>
      </c>
      <c r="X126" s="140">
        <f>IFERROR(__xludf.DUMMYFUNCTION("IF(ISBLANK($M126), QUERY(OptionPositionsLog!$A$2:$K796, ""SELECT J WHERE B = '"" &amp; $B126  &amp; ""' ORDER BY A DESC LIMIT 1""), 0)"),0.0)</f>
        <v>0</v>
      </c>
      <c r="Y126" s="140" t="str">
        <f>IFERROR(__xludf.DUMMYFUNCTION("IF(ISBLANK($M126), QUERY(OptionPositionsLog!$A$2:$K796, ""SELECT D WHERE B = '"" &amp; $B126  &amp; ""' ORDER BY A DESC LIMIT 1"")*100, """")"),"")</f>
        <v/>
      </c>
      <c r="Z126" s="148">
        <f>IFERROR(__xludf.DUMMYFUNCTION("QUERY(OptionPositionsLog, ""SELECT K WHERE B = '"" &amp; $B126  &amp; ""' ORDER BY K DESC LIMIT 1"")"),59.16)</f>
        <v>59.16</v>
      </c>
      <c r="AA126" s="154">
        <f t="shared" si="11"/>
        <v>33.33333333</v>
      </c>
      <c r="AB126" s="155" t="str">
        <f t="shared" si="8"/>
        <v/>
      </c>
      <c r="AC126" s="153">
        <f t="shared" si="9"/>
        <v>-763.5260311</v>
      </c>
      <c r="AD126" s="31"/>
    </row>
    <row r="127" ht="22.5" customHeight="1">
      <c r="A127" s="129" t="s">
        <v>108</v>
      </c>
      <c r="B127" s="130" t="s">
        <v>582</v>
      </c>
      <c r="C127" s="131">
        <v>46066.0</v>
      </c>
      <c r="D127" s="131">
        <v>46108.0</v>
      </c>
      <c r="E127" s="131">
        <v>46076.0</v>
      </c>
      <c r="F127" s="132">
        <v>1.0</v>
      </c>
      <c r="G127" s="30" t="s">
        <v>459</v>
      </c>
      <c r="H127" s="133">
        <v>45.0</v>
      </c>
      <c r="I127" s="30">
        <v>0.81049</v>
      </c>
      <c r="J127" s="30">
        <v>1.0</v>
      </c>
      <c r="K127" s="147">
        <v>100.0</v>
      </c>
      <c r="L127" s="148">
        <f>IFERROR(__xludf.DUMMYFUNCTION("QUERY(OptionPositionsLog, ""SELECT E WHERE B = '"" &amp; $B127  &amp; ""' ORDER BY A DESC LIMIT 1"")"),0.56)</f>
        <v>0.56</v>
      </c>
      <c r="M127" s="30">
        <v>0.2</v>
      </c>
      <c r="N127" s="140">
        <f t="shared" si="1"/>
        <v>56</v>
      </c>
      <c r="O127" s="140">
        <f t="shared" si="2"/>
        <v>0</v>
      </c>
      <c r="P127" s="149">
        <f t="shared" si="3"/>
        <v>0</v>
      </c>
      <c r="Q127" s="138" t="str">
        <f t="shared" si="4"/>
        <v/>
      </c>
      <c r="R127" s="150">
        <f t="shared" si="5"/>
        <v>-62.049</v>
      </c>
      <c r="S127" s="140">
        <f t="shared" si="6"/>
        <v>-80</v>
      </c>
      <c r="T127" s="140">
        <f>IFERROR(__xludf.DUMMYFUNCTION("IF(ISBLANK($M127), QUERY(OptionPositionsLog!$A$2:$K796, ""SELECT F WHERE B = '"" &amp; $B127  &amp; ""' ORDER BY A DESC LIMIT 1""), 0)"),0.0)</f>
        <v>0</v>
      </c>
      <c r="U127" s="140">
        <f>IFERROR(__xludf.DUMMYFUNCTION("IF(ISBLANK($M127), QUERY(OptionPositionsLog!$A$2:$K796, ""SELECT G WHERE B = '"" &amp; $B127  &amp; ""' ORDER BY A DESC LIMIT 1"")*F127, 0)"),0.0)</f>
        <v>0</v>
      </c>
      <c r="V127" s="140">
        <f>IFERROR(__xludf.DUMMYFUNCTION("IF(ISBLANK($M127), QUERY(OptionPositionsLog!$A$2:$K796, ""SELECT H WHERE B = '"" &amp; $B127  &amp; ""' ORDER BY A DESC LIMIT 1"")*F127, 0)"),0.0)</f>
        <v>0</v>
      </c>
      <c r="W127" s="140">
        <f>IFERROR(__xludf.DUMMYFUNCTION("IF(ISBLANK($M127), QUERY(OptionPositionsLog!$A$2:$K796, ""SELECT I WHERE B = '"" &amp; $B127  &amp; ""' ORDER BY A DESC LIMIT 1""), 0)"),0.0)</f>
        <v>0</v>
      </c>
      <c r="X127" s="140">
        <f>IFERROR(__xludf.DUMMYFUNCTION("IF(ISBLANK($M127), QUERY(OptionPositionsLog!$A$2:$K796, ""SELECT J WHERE B = '"" &amp; $B127  &amp; ""' ORDER BY A DESC LIMIT 1""), 0)"),0.0)</f>
        <v>0</v>
      </c>
      <c r="Y127" s="140" t="str">
        <f>IFERROR(__xludf.DUMMYFUNCTION("IF(ISBLANK($M127), QUERY(OptionPositionsLog!$A$2:$K796, ""SELECT D WHERE B = '"" &amp; $B127  &amp; ""' ORDER BY A DESC LIMIT 1"")*100, """")"),"")</f>
        <v/>
      </c>
      <c r="Z127" s="148">
        <f>IFERROR(__xludf.DUMMYFUNCTION("QUERY(OptionPositionsLog, ""SELECT K WHERE B = '"" &amp; $B127  &amp; ""' ORDER BY K DESC LIMIT 1"")"),70.58)</f>
        <v>70.58</v>
      </c>
      <c r="AA127" s="154">
        <f t="shared" si="11"/>
        <v>23.80952381</v>
      </c>
      <c r="AB127" s="155" t="str">
        <f t="shared" si="8"/>
        <v/>
      </c>
      <c r="AC127" s="153">
        <f t="shared" si="9"/>
        <v>-87.91300652</v>
      </c>
      <c r="AD127" s="31"/>
    </row>
    <row r="128" ht="22.5" customHeight="1">
      <c r="A128" s="129" t="s">
        <v>352</v>
      </c>
      <c r="B128" s="130" t="s">
        <v>583</v>
      </c>
      <c r="C128" s="131">
        <v>46066.0</v>
      </c>
      <c r="D128" s="131">
        <v>46101.0</v>
      </c>
      <c r="E128" s="131">
        <v>46087.0</v>
      </c>
      <c r="F128" s="132">
        <v>1.0</v>
      </c>
      <c r="G128" s="30" t="s">
        <v>459</v>
      </c>
      <c r="H128" s="133">
        <v>140.0</v>
      </c>
      <c r="I128" s="30">
        <v>0.55249</v>
      </c>
      <c r="J128" s="30">
        <v>1.0</v>
      </c>
      <c r="K128" s="147">
        <v>100.0</v>
      </c>
      <c r="L128" s="148">
        <f>IFERROR(__xludf.DUMMYFUNCTION("QUERY(OptionPositionsLog, ""SELECT E WHERE B = '"" &amp; $B128  &amp; ""' ORDER BY A DESC LIMIT 1"")"),0.43)</f>
        <v>0.43</v>
      </c>
      <c r="M128" s="30">
        <v>0.3</v>
      </c>
      <c r="N128" s="140">
        <f t="shared" si="1"/>
        <v>43</v>
      </c>
      <c r="O128" s="140">
        <f t="shared" si="2"/>
        <v>0</v>
      </c>
      <c r="P128" s="149">
        <f t="shared" si="3"/>
        <v>0</v>
      </c>
      <c r="Q128" s="138" t="str">
        <f t="shared" si="4"/>
        <v/>
      </c>
      <c r="R128" s="150">
        <f t="shared" si="5"/>
        <v>-26.249</v>
      </c>
      <c r="S128" s="140">
        <f t="shared" si="6"/>
        <v>-50</v>
      </c>
      <c r="T128" s="140">
        <f>IFERROR(__xludf.DUMMYFUNCTION("IF(ISBLANK($M128), QUERY(OptionPositionsLog!$A$2:$K796, ""SELECT F WHERE B = '"" &amp; $B128  &amp; ""' ORDER BY A DESC LIMIT 1""), 0)"),0.0)</f>
        <v>0</v>
      </c>
      <c r="U128" s="140">
        <f>IFERROR(__xludf.DUMMYFUNCTION("IF(ISBLANK($M128), QUERY(OptionPositionsLog!$A$2:$K796, ""SELECT G WHERE B = '"" &amp; $B128  &amp; ""' ORDER BY A DESC LIMIT 1"")*F128, 0)"),0.0)</f>
        <v>0</v>
      </c>
      <c r="V128" s="140">
        <f>IFERROR(__xludf.DUMMYFUNCTION("IF(ISBLANK($M128), QUERY(OptionPositionsLog!$A$2:$K796, ""SELECT H WHERE B = '"" &amp; $B128  &amp; ""' ORDER BY A DESC LIMIT 1"")*F128, 0)"),0.0)</f>
        <v>0</v>
      </c>
      <c r="W128" s="140">
        <f>IFERROR(__xludf.DUMMYFUNCTION("IF(ISBLANK($M128), QUERY(OptionPositionsLog!$A$2:$K796, ""SELECT I WHERE B = '"" &amp; $B128  &amp; ""' ORDER BY A DESC LIMIT 1""), 0)"),0.0)</f>
        <v>0</v>
      </c>
      <c r="X128" s="140">
        <f>IFERROR(__xludf.DUMMYFUNCTION("IF(ISBLANK($M128), QUERY(OptionPositionsLog!$A$2:$K796, ""SELECT J WHERE B = '"" &amp; $B128  &amp; ""' ORDER BY A DESC LIMIT 1""), 0)"),0.0)</f>
        <v>0</v>
      </c>
      <c r="Y128" s="140" t="str">
        <f>IFERROR(__xludf.DUMMYFUNCTION("IF(ISBLANK($M128), QUERY(OptionPositionsLog!$A$2:$K796, ""SELECT D WHERE B = '"" &amp; $B128  &amp; ""' ORDER BY A DESC LIMIT 1"")*100, """")"),"")</f>
        <v/>
      </c>
      <c r="Z128" s="148">
        <f>IFERROR(__xludf.DUMMYFUNCTION("QUERY(OptionPositionsLog, ""SELECT K WHERE B = '"" &amp; $B128  &amp; ""' ORDER BY K DESC LIMIT 1"")"),56.42)</f>
        <v>56.42</v>
      </c>
      <c r="AA128" s="154">
        <f t="shared" si="11"/>
        <v>60</v>
      </c>
      <c r="AB128" s="155" t="str">
        <f t="shared" si="8"/>
        <v/>
      </c>
      <c r="AC128" s="153">
        <f t="shared" si="9"/>
        <v>-46.52428217</v>
      </c>
      <c r="AD128" s="31"/>
    </row>
    <row r="129" ht="22.5" customHeight="1">
      <c r="A129" s="129" t="s">
        <v>355</v>
      </c>
      <c r="B129" s="130" t="s">
        <v>584</v>
      </c>
      <c r="C129" s="131">
        <v>46066.0</v>
      </c>
      <c r="D129" s="131">
        <v>46101.0</v>
      </c>
      <c r="E129" s="131">
        <v>46079.0</v>
      </c>
      <c r="F129" s="132">
        <v>-1.0</v>
      </c>
      <c r="G129" s="30" t="s">
        <v>455</v>
      </c>
      <c r="H129" s="133">
        <v>110.0</v>
      </c>
      <c r="I129" s="30">
        <v>1.68748</v>
      </c>
      <c r="J129" s="30">
        <v>1.0</v>
      </c>
      <c r="K129" s="147">
        <v>100.0</v>
      </c>
      <c r="L129" s="148">
        <f>IFERROR(__xludf.DUMMYFUNCTION("QUERY(OptionPositionsLog, ""SELECT E WHERE B = '"" &amp; $B129  &amp; ""' ORDER BY A DESC LIMIT 1"")"),3.8)</f>
        <v>3.8</v>
      </c>
      <c r="M129" s="30">
        <v>2.05</v>
      </c>
      <c r="N129" s="140">
        <f t="shared" si="1"/>
        <v>380</v>
      </c>
      <c r="O129" s="140">
        <f t="shared" si="2"/>
        <v>0</v>
      </c>
      <c r="P129" s="149">
        <f t="shared" si="3"/>
        <v>0</v>
      </c>
      <c r="Q129" s="138" t="str">
        <f t="shared" si="4"/>
        <v/>
      </c>
      <c r="R129" s="150">
        <f t="shared" si="5"/>
        <v>-37.252</v>
      </c>
      <c r="S129" s="140">
        <f t="shared" si="6"/>
        <v>-20</v>
      </c>
      <c r="T129" s="140">
        <f>IFERROR(__xludf.DUMMYFUNCTION("IF(ISBLANK($M129), QUERY(OptionPositionsLog!$A$2:$K796, ""SELECT F WHERE B = '"" &amp; $B129  &amp; ""' ORDER BY A DESC LIMIT 1""), 0)"),0.0)</f>
        <v>0</v>
      </c>
      <c r="U129" s="140">
        <f>IFERROR(__xludf.DUMMYFUNCTION("IF(ISBLANK($M129), QUERY(OptionPositionsLog!$A$2:$K796, ""SELECT G WHERE B = '"" &amp; $B129  &amp; ""' ORDER BY A DESC LIMIT 1"")*F129, 0)"),0.0)</f>
        <v>0</v>
      </c>
      <c r="V129" s="140">
        <f>IFERROR(__xludf.DUMMYFUNCTION("IF(ISBLANK($M129), QUERY(OptionPositionsLog!$A$2:$K796, ""SELECT H WHERE B = '"" &amp; $B129  &amp; ""' ORDER BY A DESC LIMIT 1"")*F129, 0)"),0.0)</f>
        <v>0</v>
      </c>
      <c r="W129" s="140">
        <f>IFERROR(__xludf.DUMMYFUNCTION("IF(ISBLANK($M129), QUERY(OptionPositionsLog!$A$2:$K796, ""SELECT I WHERE B = '"" &amp; $B129  &amp; ""' ORDER BY A DESC LIMIT 1""), 0)"),0.0)</f>
        <v>0</v>
      </c>
      <c r="X129" s="140">
        <f>IFERROR(__xludf.DUMMYFUNCTION("IF(ISBLANK($M129), QUERY(OptionPositionsLog!$A$2:$K796, ""SELECT J WHERE B = '"" &amp; $B129  &amp; ""' ORDER BY A DESC LIMIT 1""), 0)"),0.0)</f>
        <v>0</v>
      </c>
      <c r="Y129" s="140" t="str">
        <f>IFERROR(__xludf.DUMMYFUNCTION("IF(ISBLANK($M129), QUERY(OptionPositionsLog!$A$2:$K796, ""SELECT D WHERE B = '"" &amp; $B129  &amp; ""' ORDER BY A DESC LIMIT 1"")*100, """")"),"")</f>
        <v/>
      </c>
      <c r="Z129" s="148">
        <f>IFERROR(__xludf.DUMMYFUNCTION("QUERY(OptionPositionsLog, ""SELECT K WHERE B = '"" &amp; $B129  &amp; ""' ORDER BY K DESC LIMIT 1"")"),301.57)</f>
        <v>301.57</v>
      </c>
      <c r="AA129" s="154">
        <f t="shared" si="11"/>
        <v>37.14285714</v>
      </c>
      <c r="AB129" s="155" t="str">
        <f t="shared" si="8"/>
        <v/>
      </c>
      <c r="AC129" s="153">
        <f t="shared" si="9"/>
        <v>-12.3526876</v>
      </c>
      <c r="AD129" s="31"/>
    </row>
    <row r="130" ht="22.5" customHeight="1">
      <c r="A130" s="129" t="s">
        <v>355</v>
      </c>
      <c r="B130" s="130" t="s">
        <v>585</v>
      </c>
      <c r="C130" s="131">
        <v>46066.0</v>
      </c>
      <c r="D130" s="131">
        <v>46101.0</v>
      </c>
      <c r="E130" s="131">
        <v>46079.0</v>
      </c>
      <c r="F130" s="132">
        <v>1.0</v>
      </c>
      <c r="G130" s="30" t="s">
        <v>455</v>
      </c>
      <c r="H130" s="133">
        <v>115.0</v>
      </c>
      <c r="I130" s="30">
        <v>2.74249</v>
      </c>
      <c r="J130" s="30">
        <v>1.0</v>
      </c>
      <c r="K130" s="147">
        <v>100.0</v>
      </c>
      <c r="L130" s="148">
        <f>IFERROR(__xludf.DUMMYFUNCTION("QUERY(OptionPositionsLog, ""SELECT E WHERE B = '"" &amp; $B130  &amp; ""' ORDER BY A DESC LIMIT 1"")"),5.9)</f>
        <v>5.9</v>
      </c>
      <c r="M130" s="30">
        <v>3.43</v>
      </c>
      <c r="N130" s="140">
        <f t="shared" si="1"/>
        <v>590</v>
      </c>
      <c r="O130" s="140">
        <f t="shared" si="2"/>
        <v>0</v>
      </c>
      <c r="P130" s="149">
        <f t="shared" si="3"/>
        <v>0</v>
      </c>
      <c r="Q130" s="138" t="str">
        <f t="shared" si="4"/>
        <v/>
      </c>
      <c r="R130" s="150">
        <f t="shared" si="5"/>
        <v>67.751</v>
      </c>
      <c r="S130" s="140">
        <f t="shared" si="6"/>
        <v>20</v>
      </c>
      <c r="T130" s="140">
        <f>IFERROR(__xludf.DUMMYFUNCTION("IF(ISBLANK($M130), QUERY(OptionPositionsLog!$A$2:$K796, ""SELECT F WHERE B = '"" &amp; $B130  &amp; ""' ORDER BY A DESC LIMIT 1""), 0)"),0.0)</f>
        <v>0</v>
      </c>
      <c r="U130" s="140">
        <f>IFERROR(__xludf.DUMMYFUNCTION("IF(ISBLANK($M130), QUERY(OptionPositionsLog!$A$2:$K796, ""SELECT G WHERE B = '"" &amp; $B130  &amp; ""' ORDER BY A DESC LIMIT 1"")*F130, 0)"),0.0)</f>
        <v>0</v>
      </c>
      <c r="V130" s="140">
        <f>IFERROR(__xludf.DUMMYFUNCTION("IF(ISBLANK($M130), QUERY(OptionPositionsLog!$A$2:$K796, ""SELECT H WHERE B = '"" &amp; $B130  &amp; ""' ORDER BY A DESC LIMIT 1"")*F130, 0)"),0.0)</f>
        <v>0</v>
      </c>
      <c r="W130" s="140">
        <f>IFERROR(__xludf.DUMMYFUNCTION("IF(ISBLANK($M130), QUERY(OptionPositionsLog!$A$2:$K796, ""SELECT I WHERE B = '"" &amp; $B130  &amp; ""' ORDER BY A DESC LIMIT 1""), 0)"),0.0)</f>
        <v>0</v>
      </c>
      <c r="X130" s="140">
        <f>IFERROR(__xludf.DUMMYFUNCTION("IF(ISBLANK($M130), QUERY(OptionPositionsLog!$A$2:$K796, ""SELECT J WHERE B = '"" &amp; $B130  &amp; ""' ORDER BY A DESC LIMIT 1""), 0)"),0.0)</f>
        <v>0</v>
      </c>
      <c r="Y130" s="140" t="str">
        <f>IFERROR(__xludf.DUMMYFUNCTION("IF(ISBLANK($M130), QUERY(OptionPositionsLog!$A$2:$K796, ""SELECT D WHERE B = '"" &amp; $B130  &amp; ""' ORDER BY A DESC LIMIT 1"")*100, """")"),"")</f>
        <v/>
      </c>
      <c r="Z130" s="148">
        <f>IFERROR(__xludf.DUMMYFUNCTION("QUERY(OptionPositionsLog, ""SELECT K WHERE B = '"" &amp; $B130  &amp; ""' ORDER BY K DESC LIMIT 1"")"),1005.82)</f>
        <v>1005.82</v>
      </c>
      <c r="AA130" s="154">
        <f t="shared" si="11"/>
        <v>37.14285714</v>
      </c>
      <c r="AB130" s="155" t="str">
        <f t="shared" si="8"/>
        <v/>
      </c>
      <c r="AC130" s="153">
        <f t="shared" si="9"/>
        <v>6.735897079</v>
      </c>
      <c r="AD130" s="31"/>
    </row>
    <row r="131" ht="22.5" customHeight="1">
      <c r="A131" s="129" t="s">
        <v>349</v>
      </c>
      <c r="B131" s="130" t="s">
        <v>586</v>
      </c>
      <c r="C131" s="131">
        <v>46066.0</v>
      </c>
      <c r="D131" s="131">
        <v>46129.0</v>
      </c>
      <c r="E131" s="30" t="s">
        <v>516</v>
      </c>
      <c r="F131" s="132">
        <v>1.0</v>
      </c>
      <c r="G131" s="30" t="s">
        <v>459</v>
      </c>
      <c r="H131" s="133">
        <v>50.0</v>
      </c>
      <c r="I131" s="30">
        <v>0.46999</v>
      </c>
      <c r="J131" s="30">
        <v>1.0</v>
      </c>
      <c r="K131" s="147">
        <v>100.0</v>
      </c>
      <c r="L131" s="148">
        <f>IFERROR(__xludf.DUMMYFUNCTION("QUERY(OptionPositionsLog, ""SELECT E WHERE B = '"" &amp; $B131  &amp; ""' ORDER BY A DESC LIMIT 1"")"),0.35)</f>
        <v>0.35</v>
      </c>
      <c r="M131" s="30"/>
      <c r="N131" s="140">
        <f t="shared" si="1"/>
        <v>35</v>
      </c>
      <c r="O131" s="140">
        <f t="shared" si="2"/>
        <v>-0.11999</v>
      </c>
      <c r="P131" s="149">
        <f t="shared" si="3"/>
        <v>-11.999</v>
      </c>
      <c r="Q131" s="138">
        <f t="shared" si="4"/>
        <v>-26</v>
      </c>
      <c r="R131" s="150">
        <f t="shared" si="5"/>
        <v>0</v>
      </c>
      <c r="S131" s="140">
        <f t="shared" si="6"/>
        <v>0</v>
      </c>
      <c r="T131" s="140">
        <f>IFERROR(__xludf.DUMMYFUNCTION("IF(ISBLANK($M131), QUERY(OptionPositionsLog!$A$2:$K796, ""SELECT F WHERE B = '"" &amp; $B131  &amp; ""' ORDER BY A DESC LIMIT 1""), 0)"),0.35)</f>
        <v>0.35</v>
      </c>
      <c r="U131" s="140">
        <f>IFERROR(__xludf.DUMMYFUNCTION("IF(ISBLANK($M131), QUERY(OptionPositionsLog!$A$2:$K796, ""SELECT G WHERE B = '"" &amp; $B131  &amp; ""' ORDER BY A DESC LIMIT 1"")*F131, 0)"),0.19296247)</f>
        <v>0.19296247</v>
      </c>
      <c r="V131" s="140">
        <f>IFERROR(__xludf.DUMMYFUNCTION("IF(ISBLANK($M131), QUERY(OptionPositionsLog!$A$2:$K796, ""SELECT H WHERE B = '"" &amp; $B131  &amp; ""' ORDER BY A DESC LIMIT 1"")*F131, 0)"),-0.01332395)</f>
        <v>-0.01332395</v>
      </c>
      <c r="W131" s="140">
        <f>IFERROR(__xludf.DUMMYFUNCTION("IF(ISBLANK($M131), QUERY(OptionPositionsLog!$A$2:$K796, ""SELECT I WHERE B = '"" &amp; $B131  &amp; ""' ORDER BY A DESC LIMIT 1""), 0)"),0.08019631)</f>
        <v>0.08019631</v>
      </c>
      <c r="X131" s="140">
        <f>IFERROR(__xludf.DUMMYFUNCTION("IF(ISBLANK($M131), QUERY(OptionPositionsLog!$A$2:$K796, ""SELECT J WHERE B = '"" &amp; $B131  &amp; ""' ORDER BY A DESC LIMIT 1""), 0)"),0.04352172)</f>
        <v>0.04352172</v>
      </c>
      <c r="Y131" s="140">
        <f>IFERROR(__xludf.DUMMYFUNCTION("IF(ISBLANK($M131), QUERY(OptionPositionsLog!$A$2:$K796, ""SELECT D WHERE B = '"" &amp; $B131  &amp; ""' ORDER BY A DESC LIMIT 1"")*100, """")"),23.0)</f>
        <v>23</v>
      </c>
      <c r="Z131" s="148">
        <f>IFERROR(__xludf.DUMMYFUNCTION("QUERY(OptionPositionsLog, ""SELECT K WHERE B = '"" &amp; $B131  &amp; ""' ORDER BY K DESC LIMIT 1"")"),53.27)</f>
        <v>53.27</v>
      </c>
      <c r="AA131" s="154">
        <f t="shared" si="11"/>
        <v>-73120.63492</v>
      </c>
      <c r="AB131" s="155">
        <f t="shared" si="8"/>
        <v>2812.332112</v>
      </c>
      <c r="AC131" s="153">
        <f t="shared" si="9"/>
        <v>0</v>
      </c>
      <c r="AD131" s="31"/>
    </row>
    <row r="132" ht="22.5" customHeight="1">
      <c r="A132" s="129" t="s">
        <v>249</v>
      </c>
      <c r="B132" s="130" t="s">
        <v>587</v>
      </c>
      <c r="C132" s="131">
        <v>46065.0</v>
      </c>
      <c r="D132" s="131">
        <v>46101.0</v>
      </c>
      <c r="E132" s="30" t="s">
        <v>516</v>
      </c>
      <c r="F132" s="132">
        <v>1.0</v>
      </c>
      <c r="G132" s="30" t="s">
        <v>455</v>
      </c>
      <c r="H132" s="133">
        <v>50.0</v>
      </c>
      <c r="I132" s="30">
        <v>0.66799</v>
      </c>
      <c r="J132" s="30">
        <v>1.0</v>
      </c>
      <c r="K132" s="147">
        <v>100.0</v>
      </c>
      <c r="L132" s="148">
        <f>IFERROR(__xludf.DUMMYFUNCTION("QUERY(OptionPositionsLog, ""SELECT E WHERE B = '"" &amp; $B132  &amp; ""' ORDER BY A DESC LIMIT 1"")"),0.25)</f>
        <v>0.25</v>
      </c>
      <c r="M132" s="30"/>
      <c r="N132" s="140">
        <f t="shared" si="1"/>
        <v>25</v>
      </c>
      <c r="O132" s="140">
        <f t="shared" si="2"/>
        <v>-0.41799</v>
      </c>
      <c r="P132" s="149">
        <f t="shared" si="3"/>
        <v>-41.799</v>
      </c>
      <c r="Q132" s="138">
        <f t="shared" si="4"/>
        <v>-63</v>
      </c>
      <c r="R132" s="150">
        <f t="shared" si="5"/>
        <v>0</v>
      </c>
      <c r="S132" s="140">
        <f t="shared" si="6"/>
        <v>0</v>
      </c>
      <c r="T132" s="140">
        <f>IFERROR(__xludf.DUMMYFUNCTION("IF(ISBLANK($M132), QUERY(OptionPositionsLog!$A$2:$K796, ""SELECT F WHERE B = '"" &amp; $B132  &amp; ""' ORDER BY A DESC LIMIT 1""), 0)"),0.25)</f>
        <v>0.25</v>
      </c>
      <c r="U132" s="140">
        <f>IFERROR(__xludf.DUMMYFUNCTION("IF(ISBLANK($M132), QUERY(OptionPositionsLog!$A$2:$K796, ""SELECT G WHERE B = '"" &amp; $B132  &amp; ""' ORDER BY A DESC LIMIT 1"")*F132, 0)"),-0.03481721)</f>
        <v>-0.03481721</v>
      </c>
      <c r="V132" s="140">
        <f>IFERROR(__xludf.DUMMYFUNCTION("IF(ISBLANK($M132), QUERY(OptionPositionsLog!$A$2:$K796, ""SELECT H WHERE B = '"" &amp; $B132  &amp; ""' ORDER BY A DESC LIMIT 1"")*F132, 0)"),-0.02619165)</f>
        <v>-0.02619165</v>
      </c>
      <c r="W132" s="140">
        <f>IFERROR(__xludf.DUMMYFUNCTION("IF(ISBLANK($M132), QUERY(OptionPositionsLog!$A$2:$K796, ""SELECT I WHERE B = '"" &amp; $B132  &amp; ""' ORDER BY A DESC LIMIT 1""), 0)"),0.00461821)</f>
        <v>0.00461821</v>
      </c>
      <c r="X132" s="140">
        <f>IFERROR(__xludf.DUMMYFUNCTION("IF(ISBLANK($M132), QUERY(OptionPositionsLog!$A$2:$K796, ""SELECT J WHERE B = '"" &amp; $B132  &amp; ""' ORDER BY A DESC LIMIT 1""), 0)"),0.01414904)</f>
        <v>0.01414904</v>
      </c>
      <c r="Y132" s="140">
        <f>IFERROR(__xludf.DUMMYFUNCTION("IF(ISBLANK($M132), QUERY(OptionPositionsLog!$A$2:$K796, ""SELECT D WHERE B = '"" &amp; $B132  &amp; ""' ORDER BY A DESC LIMIT 1"")*100, """")"),89.0)</f>
        <v>89</v>
      </c>
      <c r="Z132" s="148">
        <f>IFERROR(__xludf.DUMMYFUNCTION("QUERY(OptionPositionsLog, ""SELECT K WHERE B = '"" &amp; $B132  &amp; ""' ORDER BY K DESC LIMIT 1"")"),49.44)</f>
        <v>49.44</v>
      </c>
      <c r="AA132" s="154">
        <f t="shared" si="11"/>
        <v>-127958.3333</v>
      </c>
      <c r="AB132" s="155">
        <f t="shared" si="8"/>
        <v>2031.084656</v>
      </c>
      <c r="AC132" s="153">
        <f t="shared" si="9"/>
        <v>0</v>
      </c>
      <c r="AD132" s="31"/>
    </row>
    <row r="133" ht="22.5" customHeight="1">
      <c r="A133" s="129" t="s">
        <v>359</v>
      </c>
      <c r="B133" s="130" t="s">
        <v>588</v>
      </c>
      <c r="C133" s="131">
        <v>46070.0</v>
      </c>
      <c r="D133" s="131">
        <v>46101.0</v>
      </c>
      <c r="E133" s="131">
        <v>46092.0</v>
      </c>
      <c r="F133" s="132">
        <v>1.0</v>
      </c>
      <c r="G133" s="30" t="s">
        <v>459</v>
      </c>
      <c r="H133" s="133">
        <v>17.5</v>
      </c>
      <c r="I133" s="30">
        <v>0.39049</v>
      </c>
      <c r="J133" s="30">
        <v>1.0</v>
      </c>
      <c r="K133" s="30">
        <v>100.0</v>
      </c>
      <c r="L133" s="148">
        <f>IFERROR(__xludf.DUMMYFUNCTION("QUERY(OptionPositionsLog, ""SELECT E WHERE B = '"" &amp; $B133  &amp; ""' ORDER BY A DESC LIMIT 1"")"),0.05)</f>
        <v>0.05</v>
      </c>
      <c r="M133" s="30">
        <v>0.05</v>
      </c>
      <c r="N133" s="140">
        <f t="shared" si="1"/>
        <v>5</v>
      </c>
      <c r="O133" s="140">
        <f t="shared" si="2"/>
        <v>0</v>
      </c>
      <c r="P133" s="149">
        <f t="shared" si="3"/>
        <v>0</v>
      </c>
      <c r="Q133" s="138" t="str">
        <f t="shared" si="4"/>
        <v/>
      </c>
      <c r="R133" s="150">
        <f t="shared" si="5"/>
        <v>-35.049</v>
      </c>
      <c r="S133" s="140">
        <f t="shared" si="6"/>
        <v>-90</v>
      </c>
      <c r="T133" s="140">
        <f>IFERROR(__xludf.DUMMYFUNCTION("IF(ISBLANK($M133), QUERY(OptionPositionsLog!$A$2:$K796, ""SELECT F WHERE B = '"" &amp; $B133  &amp; ""' ORDER BY A DESC LIMIT 1""), 0)"),0.0)</f>
        <v>0</v>
      </c>
      <c r="U133" s="140">
        <f>IFERROR(__xludf.DUMMYFUNCTION("IF(ISBLANK($M133), QUERY(OptionPositionsLog!$A$2:$K796, ""SELECT G WHERE B = '"" &amp; $B133  &amp; ""' ORDER BY A DESC LIMIT 1"")*F133, 0)"),0.0)</f>
        <v>0</v>
      </c>
      <c r="V133" s="140">
        <f>IFERROR(__xludf.DUMMYFUNCTION("IF(ISBLANK($M133), QUERY(OptionPositionsLog!$A$2:$K796, ""SELECT H WHERE B = '"" &amp; $B133  &amp; ""' ORDER BY A DESC LIMIT 1"")*F133, 0)"),0.0)</f>
        <v>0</v>
      </c>
      <c r="W133" s="140">
        <f>IFERROR(__xludf.DUMMYFUNCTION("IF(ISBLANK($M133), QUERY(OptionPositionsLog!$A$2:$K796, ""SELECT I WHERE B = '"" &amp; $B133  &amp; ""' ORDER BY A DESC LIMIT 1""), 0)"),0.0)</f>
        <v>0</v>
      </c>
      <c r="X133" s="140">
        <f>IFERROR(__xludf.DUMMYFUNCTION("IF(ISBLANK($M133), QUERY(OptionPositionsLog!$A$2:$K796, ""SELECT J WHERE B = '"" &amp; $B133  &amp; ""' ORDER BY A DESC LIMIT 1""), 0)"),0.0)</f>
        <v>0</v>
      </c>
      <c r="Y133" s="140" t="str">
        <f>IFERROR(__xludf.DUMMYFUNCTION("IF(ISBLANK($M133), QUERY(OptionPositionsLog!$A$2:$K796, ""SELECT D WHERE B = '"" &amp; $B133  &amp; ""' ORDER BY A DESC LIMIT 1"")*100, """")"),"")</f>
        <v/>
      </c>
      <c r="Z133" s="148">
        <f>IFERROR(__xludf.DUMMYFUNCTION("QUERY(OptionPositionsLog, ""SELECT K WHERE B = '"" &amp; $B133  &amp; ""' ORDER BY K DESC LIMIT 1"")"),55.05)</f>
        <v>55.05</v>
      </c>
      <c r="AA133" s="154">
        <f t="shared" si="11"/>
        <v>70.96774194</v>
      </c>
      <c r="AB133" s="155" t="str">
        <f t="shared" si="8"/>
        <v/>
      </c>
      <c r="AC133" s="153">
        <f t="shared" si="9"/>
        <v>-63.66757493</v>
      </c>
      <c r="AD133" s="31"/>
    </row>
    <row r="134" ht="22.5" customHeight="1">
      <c r="A134" s="129" t="s">
        <v>152</v>
      </c>
      <c r="B134" s="130" t="s">
        <v>589</v>
      </c>
      <c r="C134" s="131">
        <v>46076.0</v>
      </c>
      <c r="D134" s="131">
        <v>46101.0</v>
      </c>
      <c r="E134" s="131">
        <v>46083.0</v>
      </c>
      <c r="F134" s="132">
        <v>-1.0</v>
      </c>
      <c r="G134" s="30" t="s">
        <v>455</v>
      </c>
      <c r="H134" s="133">
        <v>440.0</v>
      </c>
      <c r="I134" s="30">
        <v>4.12298</v>
      </c>
      <c r="J134" s="30">
        <v>1.0</v>
      </c>
      <c r="K134" s="30">
        <v>100.0</v>
      </c>
      <c r="L134" s="148">
        <f>IFERROR(__xludf.DUMMYFUNCTION("QUERY(OptionPositionsLog, ""SELECT E WHERE B = '"" &amp; $B134  &amp; ""' ORDER BY A DESC LIMIT 1"")"),2.07)</f>
        <v>2.07</v>
      </c>
      <c r="M134" s="30">
        <v>1.77</v>
      </c>
      <c r="N134" s="140">
        <f t="shared" si="1"/>
        <v>207</v>
      </c>
      <c r="O134" s="140">
        <f t="shared" si="2"/>
        <v>0</v>
      </c>
      <c r="P134" s="149">
        <f t="shared" si="3"/>
        <v>0</v>
      </c>
      <c r="Q134" s="138" t="str">
        <f t="shared" si="4"/>
        <v/>
      </c>
      <c r="R134" s="150">
        <f t="shared" si="5"/>
        <v>234.298</v>
      </c>
      <c r="S134" s="140">
        <f t="shared" si="6"/>
        <v>60</v>
      </c>
      <c r="T134" s="140">
        <f>IFERROR(__xludf.DUMMYFUNCTION("IF(ISBLANK($M134), QUERY(OptionPositionsLog!$A$2:$K796, ""SELECT F WHERE B = '"" &amp; $B134  &amp; ""' ORDER BY A DESC LIMIT 1""), 0)"),0.0)</f>
        <v>0</v>
      </c>
      <c r="U134" s="140">
        <f>IFERROR(__xludf.DUMMYFUNCTION("IF(ISBLANK($M134), QUERY(OptionPositionsLog!$A$2:$K796, ""SELECT G WHERE B = '"" &amp; $B134  &amp; ""' ORDER BY A DESC LIMIT 1"")*F134, 0)"),0.0)</f>
        <v>0</v>
      </c>
      <c r="V134" s="140">
        <f>IFERROR(__xludf.DUMMYFUNCTION("IF(ISBLANK($M134), QUERY(OptionPositionsLog!$A$2:$K796, ""SELECT H WHERE B = '"" &amp; $B134  &amp; ""' ORDER BY A DESC LIMIT 1"")*F134, 0)"),0.0)</f>
        <v>0</v>
      </c>
      <c r="W134" s="140">
        <f>IFERROR(__xludf.DUMMYFUNCTION("IF(ISBLANK($M134), QUERY(OptionPositionsLog!$A$2:$K796, ""SELECT I WHERE B = '"" &amp; $B134  &amp; ""' ORDER BY A DESC LIMIT 1""), 0)"),0.0)</f>
        <v>0</v>
      </c>
      <c r="X134" s="140">
        <f>IFERROR(__xludf.DUMMYFUNCTION("IF(ISBLANK($M134), QUERY(OptionPositionsLog!$A$2:$K796, ""SELECT J WHERE B = '"" &amp; $B134  &amp; ""' ORDER BY A DESC LIMIT 1""), 0)"),0.0)</f>
        <v>0</v>
      </c>
      <c r="Y134" s="140" t="str">
        <f>IFERROR(__xludf.DUMMYFUNCTION("IF(ISBLANK($M134), QUERY(OptionPositionsLog!$A$2:$K796, ""SELECT D WHERE B = '"" &amp; $B134  &amp; ""' ORDER BY A DESC LIMIT 1"")*100, """")"),"")</f>
        <v/>
      </c>
      <c r="Z134" s="148">
        <f>IFERROR(__xludf.DUMMYFUNCTION("QUERY(OptionPositionsLog, ""SELECT K WHERE B = '"" &amp; $B134  &amp; ""' ORDER BY K DESC LIMIT 1"")"),1135.03)</f>
        <v>1135.03</v>
      </c>
      <c r="AA134" s="154">
        <f t="shared" si="11"/>
        <v>28</v>
      </c>
      <c r="AB134" s="155" t="str">
        <f t="shared" si="8"/>
        <v/>
      </c>
      <c r="AC134" s="153">
        <f t="shared" si="9"/>
        <v>20.64244998</v>
      </c>
      <c r="AD134" s="31"/>
    </row>
    <row r="135" ht="22.5" customHeight="1">
      <c r="A135" s="129" t="s">
        <v>152</v>
      </c>
      <c r="B135" s="130" t="s">
        <v>590</v>
      </c>
      <c r="C135" s="131">
        <v>46076.0</v>
      </c>
      <c r="D135" s="131">
        <v>46101.0</v>
      </c>
      <c r="E135" s="131">
        <v>46083.0</v>
      </c>
      <c r="F135" s="132">
        <v>-1.0</v>
      </c>
      <c r="G135" s="30" t="s">
        <v>459</v>
      </c>
      <c r="H135" s="133">
        <v>570.0</v>
      </c>
      <c r="I135" s="30">
        <v>1.72298</v>
      </c>
      <c r="J135" s="30">
        <v>1.0</v>
      </c>
      <c r="K135" s="30">
        <v>100.0</v>
      </c>
      <c r="L135" s="148">
        <f>IFERROR(__xludf.DUMMYFUNCTION("QUERY(OptionPositionsLog, ""SELECT E WHERE B = '"" &amp; $B135  &amp; ""' ORDER BY A DESC LIMIT 1"")"),0.76)</f>
        <v>0.76</v>
      </c>
      <c r="M135" s="30">
        <v>0.95</v>
      </c>
      <c r="N135" s="140">
        <f t="shared" si="1"/>
        <v>76</v>
      </c>
      <c r="O135" s="140">
        <f t="shared" si="2"/>
        <v>0</v>
      </c>
      <c r="P135" s="149">
        <f t="shared" si="3"/>
        <v>0</v>
      </c>
      <c r="Q135" s="138" t="str">
        <f t="shared" si="4"/>
        <v/>
      </c>
      <c r="R135" s="150">
        <f t="shared" si="5"/>
        <v>76.298</v>
      </c>
      <c r="S135" s="140">
        <f t="shared" si="6"/>
        <v>40</v>
      </c>
      <c r="T135" s="140">
        <f>IFERROR(__xludf.DUMMYFUNCTION("IF(ISBLANK($M135), QUERY(OptionPositionsLog!$A$2:$K796, ""SELECT F WHERE B = '"" &amp; $B135  &amp; ""' ORDER BY A DESC LIMIT 1""), 0)"),0.0)</f>
        <v>0</v>
      </c>
      <c r="U135" s="140">
        <f>IFERROR(__xludf.DUMMYFUNCTION("IF(ISBLANK($M135), QUERY(OptionPositionsLog!$A$2:$K796, ""SELECT G WHERE B = '"" &amp; $B135  &amp; ""' ORDER BY A DESC LIMIT 1"")*F135, 0)"),0.0)</f>
        <v>0</v>
      </c>
      <c r="V135" s="140">
        <f>IFERROR(__xludf.DUMMYFUNCTION("IF(ISBLANK($M135), QUERY(OptionPositionsLog!$A$2:$K796, ""SELECT H WHERE B = '"" &amp; $B135  &amp; ""' ORDER BY A DESC LIMIT 1"")*F135, 0)"),0.0)</f>
        <v>0</v>
      </c>
      <c r="W135" s="140">
        <f>IFERROR(__xludf.DUMMYFUNCTION("IF(ISBLANK($M135), QUERY(OptionPositionsLog!$A$2:$K796, ""SELECT I WHERE B = '"" &amp; $B135  &amp; ""' ORDER BY A DESC LIMIT 1""), 0)"),0.0)</f>
        <v>0</v>
      </c>
      <c r="X135" s="140">
        <f>IFERROR(__xludf.DUMMYFUNCTION("IF(ISBLANK($M135), QUERY(OptionPositionsLog!$A$2:$K796, ""SELECT J WHERE B = '"" &amp; $B135  &amp; ""' ORDER BY A DESC LIMIT 1""), 0)"),0.0)</f>
        <v>0</v>
      </c>
      <c r="Y135" s="140" t="str">
        <f>IFERROR(__xludf.DUMMYFUNCTION("IF(ISBLANK($M135), QUERY(OptionPositionsLog!$A$2:$K796, ""SELECT D WHERE B = '"" &amp; $B135  &amp; ""' ORDER BY A DESC LIMIT 1"")*100, """")"),"")</f>
        <v/>
      </c>
      <c r="Z135" s="148">
        <f>IFERROR(__xludf.DUMMYFUNCTION("QUERY(OptionPositionsLog, ""SELECT K WHERE B = '"" &amp; $B135  &amp; ""' ORDER BY K DESC LIMIT 1"")"),108.33)</f>
        <v>108.33</v>
      </c>
      <c r="AA135" s="154">
        <f t="shared" si="11"/>
        <v>28</v>
      </c>
      <c r="AB135" s="155" t="str">
        <f t="shared" si="8"/>
        <v/>
      </c>
      <c r="AC135" s="153">
        <f t="shared" si="9"/>
        <v>70.43109019</v>
      </c>
      <c r="AD135" s="31"/>
    </row>
    <row r="136" ht="22.5" customHeight="1">
      <c r="A136" s="129" t="s">
        <v>366</v>
      </c>
      <c r="B136" s="130" t="s">
        <v>591</v>
      </c>
      <c r="C136" s="131">
        <v>46077.0</v>
      </c>
      <c r="D136" s="131">
        <v>46129.0</v>
      </c>
      <c r="E136" s="30" t="s">
        <v>516</v>
      </c>
      <c r="F136" s="132">
        <v>1.0</v>
      </c>
      <c r="G136" s="30" t="s">
        <v>459</v>
      </c>
      <c r="H136" s="133">
        <v>70.0</v>
      </c>
      <c r="I136" s="30">
        <v>0.22799</v>
      </c>
      <c r="J136" s="30">
        <v>1.0</v>
      </c>
      <c r="K136" s="30">
        <v>100.0</v>
      </c>
      <c r="L136" s="148">
        <f>IFERROR(__xludf.DUMMYFUNCTION("QUERY(OptionPositionsLog, ""SELECT E WHERE B = '"" &amp; $B136  &amp; ""' ORDER BY A DESC LIMIT 1"")"),0.16)</f>
        <v>0.16</v>
      </c>
      <c r="M136" s="30"/>
      <c r="N136" s="140">
        <f t="shared" si="1"/>
        <v>16</v>
      </c>
      <c r="O136" s="140">
        <f t="shared" si="2"/>
        <v>-0.06799</v>
      </c>
      <c r="P136" s="149">
        <f t="shared" si="3"/>
        <v>-6.799</v>
      </c>
      <c r="Q136" s="138">
        <f t="shared" si="4"/>
        <v>-30</v>
      </c>
      <c r="R136" s="150">
        <f t="shared" si="5"/>
        <v>0</v>
      </c>
      <c r="S136" s="140">
        <f t="shared" si="6"/>
        <v>0</v>
      </c>
      <c r="T136" s="140">
        <f>IFERROR(__xludf.DUMMYFUNCTION("IF(ISBLANK($M136), QUERY(OptionPositionsLog!$A$2:$K796, ""SELECT F WHERE B = '"" &amp; $B136  &amp; ""' ORDER BY A DESC LIMIT 1""), 0)"),0.16)</f>
        <v>0.16</v>
      </c>
      <c r="U136" s="140">
        <f>IFERROR(__xludf.DUMMYFUNCTION("IF(ISBLANK($M136), QUERY(OptionPositionsLog!$A$2:$K796, ""SELECT G WHERE B = '"" &amp; $B136  &amp; ""' ORDER BY A DESC LIMIT 1"")*F136, 0)"),0.0564043)</f>
        <v>0.0564043</v>
      </c>
      <c r="V136" s="140">
        <f>IFERROR(__xludf.DUMMYFUNCTION("IF(ISBLANK($M136), QUERY(OptionPositionsLog!$A$2:$K796, ""SELECT H WHERE B = '"" &amp; $B136  &amp; ""' ORDER BY A DESC LIMIT 1"")*F136, 0)"),-0.00823187)</f>
        <v>-0.00823187</v>
      </c>
      <c r="W136" s="140">
        <f>IFERROR(__xludf.DUMMYFUNCTION("IF(ISBLANK($M136), QUERY(OptionPositionsLog!$A$2:$K796, ""SELECT I WHERE B = '"" &amp; $B136  &amp; ""' ORDER BY A DESC LIMIT 1""), 0)"),0.02065026)</f>
        <v>0.02065026</v>
      </c>
      <c r="X136" s="140">
        <f>IFERROR(__xludf.DUMMYFUNCTION("IF(ISBLANK($M136), QUERY(OptionPositionsLog!$A$2:$K796, ""SELECT J WHERE B = '"" &amp; $B136  &amp; ""' ORDER BY A DESC LIMIT 1""), 0)"),0.02131758)</f>
        <v>0.02131758</v>
      </c>
      <c r="Y136" s="140">
        <f>IFERROR(__xludf.DUMMYFUNCTION("IF(ISBLANK($M136), QUERY(OptionPositionsLog!$A$2:$K796, ""SELECT D WHERE B = '"" &amp; $B136  &amp; ""' ORDER BY A DESC LIMIT 1"")*100, """")"),27.0)</f>
        <v>27</v>
      </c>
      <c r="Z136" s="148">
        <f>IFERROR(__xludf.DUMMYFUNCTION("QUERY(OptionPositionsLog, ""SELECT K WHERE B = '"" &amp; $B136  &amp; ""' ORDER BY K DESC LIMIT 1"")"),23.32)</f>
        <v>23.32</v>
      </c>
      <c r="AA136" s="154">
        <f t="shared" si="11"/>
        <v>-88609.61538</v>
      </c>
      <c r="AB136" s="155">
        <f t="shared" si="8"/>
        <v>2953.653846</v>
      </c>
      <c r="AC136" s="153">
        <f t="shared" si="9"/>
        <v>0</v>
      </c>
      <c r="AD136" s="31"/>
    </row>
    <row r="137" ht="22.5" customHeight="1">
      <c r="A137" s="129" t="s">
        <v>218</v>
      </c>
      <c r="B137" s="130" t="s">
        <v>592</v>
      </c>
      <c r="C137" s="131">
        <v>46079.0</v>
      </c>
      <c r="D137" s="131">
        <v>46101.0</v>
      </c>
      <c r="E137" s="30" t="s">
        <v>516</v>
      </c>
      <c r="F137" s="132">
        <v>1.0</v>
      </c>
      <c r="G137" s="30" t="s">
        <v>459</v>
      </c>
      <c r="H137" s="133">
        <v>90.0</v>
      </c>
      <c r="I137" s="30">
        <v>1.24699</v>
      </c>
      <c r="J137" s="30">
        <v>1.0</v>
      </c>
      <c r="K137" s="30">
        <v>100.0</v>
      </c>
      <c r="L137" s="148">
        <f>IFERROR(__xludf.DUMMYFUNCTION("QUERY(OptionPositionsLog, ""SELECT E WHERE B = '"" &amp; $B137  &amp; ""' ORDER BY A DESC LIMIT 1"")"),7.5)</f>
        <v>7.5</v>
      </c>
      <c r="M137" s="30"/>
      <c r="N137" s="140">
        <f t="shared" si="1"/>
        <v>750</v>
      </c>
      <c r="O137" s="140">
        <f t="shared" si="2"/>
        <v>6.25301</v>
      </c>
      <c r="P137" s="149">
        <f t="shared" si="3"/>
        <v>625.301</v>
      </c>
      <c r="Q137" s="138">
        <f t="shared" si="4"/>
        <v>501</v>
      </c>
      <c r="R137" s="150">
        <f t="shared" si="5"/>
        <v>0</v>
      </c>
      <c r="S137" s="140">
        <f t="shared" si="6"/>
        <v>0</v>
      </c>
      <c r="T137" s="140">
        <f>IFERROR(__xludf.DUMMYFUNCTION("IF(ISBLANK($M137), QUERY(OptionPositionsLog!$A$2:$K796, ""SELECT F WHERE B = '"" &amp; $B137  &amp; ""' ORDER BY A DESC LIMIT 1""), 0)"),0.56)</f>
        <v>0.56</v>
      </c>
      <c r="U137" s="140">
        <f>IFERROR(__xludf.DUMMYFUNCTION("IF(ISBLANK($M137), QUERY(OptionPositionsLog!$A$2:$K796, ""SELECT G WHERE B = '"" &amp; $B137  &amp; ""' ORDER BY A DESC LIMIT 1"")*F137, 0)"),0.86546549)</f>
        <v>0.86546549</v>
      </c>
      <c r="V137" s="140">
        <f>IFERROR(__xludf.DUMMYFUNCTION("IF(ISBLANK($M137), QUERY(OptionPositionsLog!$A$2:$K796, ""SELECT H WHERE B = '"" &amp; $B137  &amp; ""' ORDER BY A DESC LIMIT 1"")*F137, 0)"),-0.08253623)</f>
        <v>-0.08253623</v>
      </c>
      <c r="W137" s="140">
        <f>IFERROR(__xludf.DUMMYFUNCTION("IF(ISBLANK($M137), QUERY(OptionPositionsLog!$A$2:$K796, ""SELECT I WHERE B = '"" &amp; $B137  &amp; ""' ORDER BY A DESC LIMIT 1""), 0)"),0.03178298)</f>
        <v>0.03178298</v>
      </c>
      <c r="X137" s="140">
        <f>IFERROR(__xludf.DUMMYFUNCTION("IF(ISBLANK($M137), QUERY(OptionPositionsLog!$A$2:$K796, ""SELECT J WHERE B = '"" &amp; $B137  &amp; ""' ORDER BY A DESC LIMIT 1""), 0)"),0.03314973)</f>
        <v>0.03314973</v>
      </c>
      <c r="Y137" s="140">
        <f>IFERROR(__xludf.DUMMYFUNCTION("IF(ISBLANK($M137), QUERY(OptionPositionsLog!$A$2:$K796, ""SELECT D WHERE B = '"" &amp; $B137  &amp; ""' ORDER BY A DESC LIMIT 1"")*100, """")"),43.0)</f>
        <v>43</v>
      </c>
      <c r="Z137" s="148">
        <f>IFERROR(__xludf.DUMMYFUNCTION("QUERY(OptionPositionsLog, ""SELECT K WHERE B = '"" &amp; $B137  &amp; ""' ORDER BY K DESC LIMIT 1"")"),911.43)</f>
        <v>911.43</v>
      </c>
      <c r="AA137" s="154">
        <f t="shared" si="11"/>
        <v>-209450</v>
      </c>
      <c r="AB137" s="155">
        <f t="shared" si="8"/>
        <v>-418.0638723</v>
      </c>
      <c r="AC137" s="153">
        <f t="shared" si="9"/>
        <v>0</v>
      </c>
      <c r="AD137" s="31"/>
    </row>
    <row r="138" ht="22.5" customHeight="1">
      <c r="A138" s="129" t="s">
        <v>218</v>
      </c>
      <c r="B138" s="130" t="s">
        <v>593</v>
      </c>
      <c r="C138" s="131">
        <v>46079.0</v>
      </c>
      <c r="D138" s="131">
        <v>46101.0</v>
      </c>
      <c r="E138" s="30" t="s">
        <v>516</v>
      </c>
      <c r="F138" s="132">
        <v>-1.0</v>
      </c>
      <c r="G138" s="30" t="s">
        <v>459</v>
      </c>
      <c r="H138" s="133">
        <v>95.0</v>
      </c>
      <c r="I138" s="30">
        <v>0.52298</v>
      </c>
      <c r="J138" s="30">
        <v>1.0</v>
      </c>
      <c r="K138" s="30">
        <v>100.0</v>
      </c>
      <c r="L138" s="148">
        <f>IFERROR(__xludf.DUMMYFUNCTION("QUERY(OptionPositionsLog, ""SELECT E WHERE B = '"" &amp; $B138  &amp; ""' ORDER BY A DESC LIMIT 1"")"),3.7)</f>
        <v>3.7</v>
      </c>
      <c r="M138" s="30"/>
      <c r="N138" s="140">
        <f t="shared" si="1"/>
        <v>370</v>
      </c>
      <c r="O138" s="140">
        <f t="shared" si="2"/>
        <v>-3.17702</v>
      </c>
      <c r="P138" s="149">
        <f t="shared" si="3"/>
        <v>-317.702</v>
      </c>
      <c r="Q138" s="138">
        <f t="shared" si="4"/>
        <v>-607</v>
      </c>
      <c r="R138" s="150">
        <f t="shared" si="5"/>
        <v>0</v>
      </c>
      <c r="S138" s="140">
        <f t="shared" si="6"/>
        <v>0</v>
      </c>
      <c r="T138" s="140">
        <f>IFERROR(__xludf.DUMMYFUNCTION("IF(ISBLANK($M138), QUERY(OptionPositionsLog!$A$2:$K796, ""SELECT F WHERE B = '"" &amp; $B138  &amp; ""' ORDER BY A DESC LIMIT 1""), 0)"),1.76)</f>
        <v>1.76</v>
      </c>
      <c r="U138" s="140">
        <f>IFERROR(__xludf.DUMMYFUNCTION("IF(ISBLANK($M138), QUERY(OptionPositionsLog!$A$2:$K796, ""SELECT G WHERE B = '"" &amp; $B138  &amp; ""' ORDER BY A DESC LIMIT 1"")*F138, 0)"),-0.71543678)</f>
        <v>-0.71543678</v>
      </c>
      <c r="V138" s="140">
        <f>IFERROR(__xludf.DUMMYFUNCTION("IF(ISBLANK($M138), QUERY(OptionPositionsLog!$A$2:$K796, ""SELECT H WHERE B = '"" &amp; $B138  &amp; ""' ORDER BY A DESC LIMIT 1"")*F138, 0)"),0.11216951)</f>
        <v>0.11216951</v>
      </c>
      <c r="W138" s="140">
        <f>IFERROR(__xludf.DUMMYFUNCTION("IF(ISBLANK($M138), QUERY(OptionPositionsLog!$A$2:$K796, ""SELECT I WHERE B = '"" &amp; $B138  &amp; ""' ORDER BY A DESC LIMIT 1""), 0)"),0.05169672)</f>
        <v>0.05169672</v>
      </c>
      <c r="X138" s="140">
        <f>IFERROR(__xludf.DUMMYFUNCTION("IF(ISBLANK($M138), QUERY(OptionPositionsLog!$A$2:$K796, ""SELECT J WHERE B = '"" &amp; $B138  &amp; ""' ORDER BY A DESC LIMIT 1""), 0)"),0.05862238)</f>
        <v>0.05862238</v>
      </c>
      <c r="Y138" s="140">
        <f>IFERROR(__xludf.DUMMYFUNCTION("IF(ISBLANK($M138), QUERY(OptionPositionsLog!$A$2:$K796, ""SELECT D WHERE B = '"" &amp; $B138  &amp; ""' ORDER BY A DESC LIMIT 1"")*100, """")"),38.0)</f>
        <v>38</v>
      </c>
      <c r="Z138" s="148">
        <f>IFERROR(__xludf.DUMMYFUNCTION("QUERY(OptionPositionsLog, ""SELECT K WHERE B = '"" &amp; $B138  &amp; ""' ORDER BY K DESC LIMIT 1"")"),476.69)</f>
        <v>476.69</v>
      </c>
      <c r="AA138" s="154">
        <f t="shared" si="11"/>
        <v>-209450</v>
      </c>
      <c r="AB138" s="155">
        <f t="shared" si="8"/>
        <v>345.0576606</v>
      </c>
      <c r="AC138" s="153">
        <f t="shared" si="9"/>
        <v>0</v>
      </c>
      <c r="AD138" s="31"/>
    </row>
    <row r="139" ht="22.5" customHeight="1">
      <c r="A139" s="129" t="s">
        <v>372</v>
      </c>
      <c r="B139" s="130" t="s">
        <v>594</v>
      </c>
      <c r="C139" s="131">
        <v>46079.0</v>
      </c>
      <c r="D139" s="131">
        <v>46129.0</v>
      </c>
      <c r="E139" s="30" t="s">
        <v>516</v>
      </c>
      <c r="F139" s="132">
        <v>1.0</v>
      </c>
      <c r="G139" s="30" t="s">
        <v>459</v>
      </c>
      <c r="H139" s="133">
        <v>45.0</v>
      </c>
      <c r="I139" s="30">
        <v>0.51529</v>
      </c>
      <c r="J139" s="30">
        <v>1.0</v>
      </c>
      <c r="K139" s="30">
        <v>100.0</v>
      </c>
      <c r="L139" s="148">
        <f>IFERROR(__xludf.DUMMYFUNCTION("QUERY(OptionPositionsLog, ""SELECT E WHERE B = '"" &amp; $B139  &amp; ""' ORDER BY A DESC LIMIT 1"")"),0.18)</f>
        <v>0.18</v>
      </c>
      <c r="M139" s="30"/>
      <c r="N139" s="140">
        <f t="shared" si="1"/>
        <v>18</v>
      </c>
      <c r="O139" s="140">
        <f t="shared" si="2"/>
        <v>-0.33529</v>
      </c>
      <c r="P139" s="149">
        <f t="shared" si="3"/>
        <v>-33.529</v>
      </c>
      <c r="Q139" s="138">
        <f t="shared" si="4"/>
        <v>-65</v>
      </c>
      <c r="R139" s="150">
        <f t="shared" si="5"/>
        <v>0</v>
      </c>
      <c r="S139" s="140">
        <f t="shared" si="6"/>
        <v>0</v>
      </c>
      <c r="T139" s="140">
        <f>IFERROR(__xludf.DUMMYFUNCTION("IF(ISBLANK($M139), QUERY(OptionPositionsLog!$A$2:$K796, ""SELECT F WHERE B = '"" &amp; $B139  &amp; ""' ORDER BY A DESC LIMIT 1""), 0)"),0.18)</f>
        <v>0.18</v>
      </c>
      <c r="U139" s="140">
        <f>IFERROR(__xludf.DUMMYFUNCTION("IF(ISBLANK($M139), QUERY(OptionPositionsLog!$A$2:$K796, ""SELECT G WHERE B = '"" &amp; $B139  &amp; ""' ORDER BY A DESC LIMIT 1"")*F139, 0)"),0.05199314)</f>
        <v>0.05199314</v>
      </c>
      <c r="V139" s="140">
        <f>IFERROR(__xludf.DUMMYFUNCTION("IF(ISBLANK($M139), QUERY(OptionPositionsLog!$A$2:$K796, ""SELECT H WHERE B = '"" &amp; $B139  &amp; ""' ORDER BY A DESC LIMIT 1"")*F139, 0)"),-0.01055183)</f>
        <v>-0.01055183</v>
      </c>
      <c r="W139" s="140">
        <f>IFERROR(__xludf.DUMMYFUNCTION("IF(ISBLANK($M139), QUERY(OptionPositionsLog!$A$2:$K796, ""SELECT I WHERE B = '"" &amp; $B139  &amp; ""' ORDER BY A DESC LIMIT 1""), 0)"),0.01433943)</f>
        <v>0.01433943</v>
      </c>
      <c r="X139" s="140">
        <f>IFERROR(__xludf.DUMMYFUNCTION("IF(ISBLANK($M139), QUERY(OptionPositionsLog!$A$2:$K796, ""SELECT J WHERE B = '"" &amp; $B139  &amp; ""' ORDER BY A DESC LIMIT 1""), 0)"),0.01096454)</f>
        <v>0.01096454</v>
      </c>
      <c r="Y139" s="140">
        <f>IFERROR(__xludf.DUMMYFUNCTION("IF(ISBLANK($M139), QUERY(OptionPositionsLog!$A$2:$K796, ""SELECT D WHERE B = '"" &amp; $B139  &amp; ""' ORDER BY A DESC LIMIT 1"")*100, """")"),81.0)</f>
        <v>81</v>
      </c>
      <c r="Z139" s="148">
        <f>IFERROR(__xludf.DUMMYFUNCTION("QUERY(OptionPositionsLog, ""SELECT K WHERE B = '"" &amp; $B139  &amp; ""' ORDER BY K DESC LIMIT 1"")"),41.24)</f>
        <v>41.24</v>
      </c>
      <c r="AA139" s="154">
        <f t="shared" si="11"/>
        <v>-92158</v>
      </c>
      <c r="AB139" s="155">
        <f t="shared" si="8"/>
        <v>1417.815385</v>
      </c>
      <c r="AC139" s="153">
        <f t="shared" si="9"/>
        <v>0</v>
      </c>
      <c r="AD139" s="31"/>
    </row>
    <row r="140" ht="22.5" customHeight="1">
      <c r="A140" s="129" t="s">
        <v>369</v>
      </c>
      <c r="B140" s="130" t="s">
        <v>595</v>
      </c>
      <c r="C140" s="131">
        <v>46079.0</v>
      </c>
      <c r="D140" s="131">
        <v>46101.0</v>
      </c>
      <c r="E140" s="30" t="s">
        <v>516</v>
      </c>
      <c r="F140" s="132">
        <v>1.0</v>
      </c>
      <c r="G140" s="30" t="s">
        <v>459</v>
      </c>
      <c r="H140" s="133">
        <v>12.0</v>
      </c>
      <c r="I140" s="30">
        <v>0.43049</v>
      </c>
      <c r="J140" s="30">
        <v>1.0</v>
      </c>
      <c r="K140" s="30">
        <v>100.0</v>
      </c>
      <c r="L140" s="148">
        <f>IFERROR(__xludf.DUMMYFUNCTION("QUERY(OptionPositionsLog, ""SELECT E WHERE B = '"" &amp; $B140  &amp; ""' ORDER BY A DESC LIMIT 1"")"),0.06)</f>
        <v>0.06</v>
      </c>
      <c r="M140" s="30"/>
      <c r="N140" s="140">
        <f t="shared" si="1"/>
        <v>6</v>
      </c>
      <c r="O140" s="140">
        <f t="shared" si="2"/>
        <v>-0.37049</v>
      </c>
      <c r="P140" s="149">
        <f t="shared" si="3"/>
        <v>-37.049</v>
      </c>
      <c r="Q140" s="138">
        <f t="shared" si="4"/>
        <v>-86</v>
      </c>
      <c r="R140" s="150">
        <f t="shared" si="5"/>
        <v>0</v>
      </c>
      <c r="S140" s="140">
        <f t="shared" si="6"/>
        <v>0</v>
      </c>
      <c r="T140" s="140">
        <f>IFERROR(__xludf.DUMMYFUNCTION("IF(ISBLANK($M140), QUERY(OptionPositionsLog!$A$2:$K796, ""SELECT F WHERE B = '"" &amp; $B140  &amp; ""' ORDER BY A DESC LIMIT 1""), 0)"),0.06)</f>
        <v>0.06</v>
      </c>
      <c r="U140" s="140">
        <f>IFERROR(__xludf.DUMMYFUNCTION("IF(ISBLANK($M140), QUERY(OptionPositionsLog!$A$2:$K796, ""SELECT G WHERE B = '"" &amp; $B140  &amp; ""' ORDER BY A DESC LIMIT 1"")*F140, 0)"),0.0606625)</f>
        <v>0.0606625</v>
      </c>
      <c r="V140" s="140">
        <f>IFERROR(__xludf.DUMMYFUNCTION("IF(ISBLANK($M140), QUERY(OptionPositionsLog!$A$2:$K796, ""SELECT H WHERE B = '"" &amp; $B140  &amp; ""' ORDER BY A DESC LIMIT 1"")*F140, 0)"),-0.00950181)</f>
        <v>-0.00950181</v>
      </c>
      <c r="W140" s="140">
        <f>IFERROR(__xludf.DUMMYFUNCTION("IF(ISBLANK($M140), QUERY(OptionPositionsLog!$A$2:$K796, ""SELECT I WHERE B = '"" &amp; $B140  &amp; ""' ORDER BY A DESC LIMIT 1""), 0)"),0.06645562)</f>
        <v>0.06645562</v>
      </c>
      <c r="X140" s="140">
        <f>IFERROR(__xludf.DUMMYFUNCTION("IF(ISBLANK($M140), QUERY(OptionPositionsLog!$A$2:$K796, ""SELECT J WHERE B = '"" &amp; $B140  &amp; ""' ORDER BY A DESC LIMIT 1""), 0)"),0.00163521)</f>
        <v>0.00163521</v>
      </c>
      <c r="Y140" s="140">
        <f>IFERROR(__xludf.DUMMYFUNCTION("IF(ISBLANK($M140), QUERY(OptionPositionsLog!$A$2:$K796, ""SELECT D WHERE B = '"" &amp; $B140  &amp; ""' ORDER BY A DESC LIMIT 1"")*100, """")"),126.0)</f>
        <v>126</v>
      </c>
      <c r="Z140" s="148">
        <f>IFERROR(__xludf.DUMMYFUNCTION("QUERY(OptionPositionsLog, ""SELECT K WHERE B = '"" &amp; $B140  &amp; ""' ORDER BY K DESC LIMIT 1"")"),37.63)</f>
        <v>37.63</v>
      </c>
      <c r="AA140" s="154">
        <f t="shared" si="11"/>
        <v>-209450</v>
      </c>
      <c r="AB140" s="155">
        <f t="shared" si="8"/>
        <v>2435.465116</v>
      </c>
      <c r="AC140" s="153">
        <f t="shared" si="9"/>
        <v>0</v>
      </c>
      <c r="AD140" s="31"/>
    </row>
    <row r="141" ht="22.5" customHeight="1">
      <c r="A141" s="129" t="s">
        <v>383</v>
      </c>
      <c r="B141" s="130" t="s">
        <v>596</v>
      </c>
      <c r="C141" s="103">
        <v>46080.0</v>
      </c>
      <c r="D141" s="131">
        <v>46129.0</v>
      </c>
      <c r="E141" s="30" t="s">
        <v>516</v>
      </c>
      <c r="F141" s="132">
        <v>1.0</v>
      </c>
      <c r="G141" s="30" t="s">
        <v>459</v>
      </c>
      <c r="H141" s="133">
        <v>95.0</v>
      </c>
      <c r="I141" s="30">
        <v>0.56049</v>
      </c>
      <c r="J141" s="30">
        <v>1.0</v>
      </c>
      <c r="K141" s="30">
        <v>100.0</v>
      </c>
      <c r="L141" s="148">
        <f>IFERROR(__xludf.DUMMYFUNCTION("QUERY(OptionPositionsLog, ""SELECT E WHERE B = '"" &amp; $B141  &amp; ""' ORDER BY A DESC LIMIT 1"")"),0.0)</f>
        <v>0</v>
      </c>
      <c r="M141" s="30"/>
      <c r="N141" s="140">
        <f t="shared" si="1"/>
        <v>0</v>
      </c>
      <c r="O141" s="140">
        <f t="shared" si="2"/>
        <v>-0.56049</v>
      </c>
      <c r="P141" s="149">
        <f t="shared" si="3"/>
        <v>-56.049</v>
      </c>
      <c r="Q141" s="138">
        <f t="shared" si="4"/>
        <v>-100</v>
      </c>
      <c r="R141" s="150">
        <f t="shared" si="5"/>
        <v>0</v>
      </c>
      <c r="S141" s="140">
        <f t="shared" si="6"/>
        <v>0</v>
      </c>
      <c r="T141" s="140">
        <f>IFERROR(__xludf.DUMMYFUNCTION("IF(ISBLANK($M141), QUERY(OptionPositionsLog!$A$2:$K796, ""SELECT F WHERE B = '"" &amp; $B141  &amp; ""' ORDER BY A DESC LIMIT 1""), 0)"),0.0)</f>
        <v>0</v>
      </c>
      <c r="U141" s="140">
        <f>IFERROR(__xludf.DUMMYFUNCTION("IF(ISBLANK($M141), QUERY(OptionPositionsLog!$A$2:$K796, ""SELECT G WHERE B = '"" &amp; $B141  &amp; ""' ORDER BY A DESC LIMIT 1"")*F141, 0)"),0.00969168)</f>
        <v>0.00969168</v>
      </c>
      <c r="V141" s="140">
        <f>IFERROR(__xludf.DUMMYFUNCTION("IF(ISBLANK($M141), QUERY(OptionPositionsLog!$A$2:$K796, ""SELECT H WHERE B = '"" &amp; $B141  &amp; ""' ORDER BY A DESC LIMIT 1"")*F141, 0)"),-0.00201667)</f>
        <v>-0.00201667</v>
      </c>
      <c r="W141" s="140">
        <f>IFERROR(__xludf.DUMMYFUNCTION("IF(ISBLANK($M141), QUERY(OptionPositionsLog!$A$2:$K796, ""SELECT I WHERE B = '"" &amp; $B141  &amp; ""' ORDER BY A DESC LIMIT 1""), 0)"),0.00363877)</f>
        <v>0.00363877</v>
      </c>
      <c r="X141" s="140">
        <f>IFERROR(__xludf.DUMMYFUNCTION("IF(ISBLANK($M141), QUERY(OptionPositionsLog!$A$2:$K796, ""SELECT J WHERE B = '"" &amp; $B141  &amp; ""' ORDER BY A DESC LIMIT 1""), 0)"),0.00815506)</f>
        <v>0.00815506</v>
      </c>
      <c r="Y141" s="140">
        <f>IFERROR(__xludf.DUMMYFUNCTION("IF(ISBLANK($M141), QUERY(OptionPositionsLog!$A$2:$K796, ""SELECT D WHERE B = '"" &amp; $B141  &amp; ""' ORDER BY A DESC LIMIT 1"")*100, """")"),33.0)</f>
        <v>33</v>
      </c>
      <c r="Z141" s="148">
        <f>IFERROR(__xludf.DUMMYFUNCTION("QUERY(OptionPositionsLog, ""SELECT K WHERE B = '"" &amp; $B141  &amp; ""' ORDER BY K DESC LIMIT 1"")"),39.57)</f>
        <v>39.57</v>
      </c>
      <c r="AA141" s="154">
        <f t="shared" si="11"/>
        <v>-94040.81633</v>
      </c>
      <c r="AB141" s="155">
        <f t="shared" si="8"/>
        <v>940.4081633</v>
      </c>
      <c r="AC141" s="153">
        <f t="shared" si="9"/>
        <v>0</v>
      </c>
      <c r="AD141" s="31"/>
    </row>
    <row r="142" ht="22.5" customHeight="1">
      <c r="A142" s="129" t="s">
        <v>381</v>
      </c>
      <c r="B142" s="130" t="s">
        <v>597</v>
      </c>
      <c r="C142" s="103">
        <v>46080.0</v>
      </c>
      <c r="D142" s="131">
        <v>46101.0</v>
      </c>
      <c r="E142" s="30" t="s">
        <v>516</v>
      </c>
      <c r="F142" s="132">
        <v>1.0</v>
      </c>
      <c r="G142" s="30" t="s">
        <v>459</v>
      </c>
      <c r="H142" s="133">
        <v>65.0</v>
      </c>
      <c r="I142" s="30">
        <v>2.86049</v>
      </c>
      <c r="J142" s="30">
        <v>1.0</v>
      </c>
      <c r="K142" s="30">
        <v>100.0</v>
      </c>
      <c r="L142" s="148">
        <f>IFERROR(__xludf.DUMMYFUNCTION("QUERY(OptionPositionsLog, ""SELECT E WHERE B = '"" &amp; $B142  &amp; ""' ORDER BY A DESC LIMIT 1"")"),4.01)</f>
        <v>4.01</v>
      </c>
      <c r="M142" s="30"/>
      <c r="N142" s="140">
        <f t="shared" si="1"/>
        <v>401</v>
      </c>
      <c r="O142" s="140">
        <f t="shared" si="2"/>
        <v>1.14951</v>
      </c>
      <c r="P142" s="149">
        <f t="shared" si="3"/>
        <v>114.951</v>
      </c>
      <c r="Q142" s="138">
        <f t="shared" si="4"/>
        <v>40</v>
      </c>
      <c r="R142" s="150">
        <f t="shared" si="5"/>
        <v>0</v>
      </c>
      <c r="S142" s="140">
        <f t="shared" si="6"/>
        <v>0</v>
      </c>
      <c r="T142" s="140">
        <f>IFERROR(__xludf.DUMMYFUNCTION("IF(ISBLANK($M142), QUERY(OptionPositionsLog!$A$2:$K796, ""SELECT F WHERE B = '"" &amp; $B142  &amp; ""' ORDER BY A DESC LIMIT 1""), 0)"),4.01)</f>
        <v>4.01</v>
      </c>
      <c r="U142" s="140">
        <f>IFERROR(__xludf.DUMMYFUNCTION("IF(ISBLANK($M142), QUERY(OptionPositionsLog!$A$2:$K796, ""SELECT G WHERE B = '"" &amp; $B142  &amp; ""' ORDER BY A DESC LIMIT 1"")*F142, 0)"),0.49663011)</f>
        <v>0.49663011</v>
      </c>
      <c r="V142" s="140">
        <f>IFERROR(__xludf.DUMMYFUNCTION("IF(ISBLANK($M142), QUERY(OptionPositionsLog!$A$2:$K796, ""SELECT H WHERE B = '"" &amp; $B142  &amp; ""' ORDER BY A DESC LIMIT 1"")*F142, 0)"),-0.23233429)</f>
        <v>-0.23233429</v>
      </c>
      <c r="W142" s="140">
        <f>IFERROR(__xludf.DUMMYFUNCTION("IF(ISBLANK($M142), QUERY(OptionPositionsLog!$A$2:$K796, ""SELECT I WHERE B = '"" &amp; $B142  &amp; ""' ORDER BY A DESC LIMIT 1""), 0)"),0.03488158)</f>
        <v>0.03488158</v>
      </c>
      <c r="X142" s="140">
        <f>IFERROR(__xludf.DUMMYFUNCTION("IF(ISBLANK($M142), QUERY(OptionPositionsLog!$A$2:$K796, ""SELECT J WHERE B = '"" &amp; $B142  &amp; ""' ORDER BY A DESC LIMIT 1""), 0)"),0.04223199)</f>
        <v>0.04223199</v>
      </c>
      <c r="Y142" s="140">
        <f>IFERROR(__xludf.DUMMYFUNCTION("IF(ISBLANK($M142), QUERY(OptionPositionsLog!$A$2:$K796, ""SELECT D WHERE B = '"" &amp; $B142  &amp; ""' ORDER BY A DESC LIMIT 1"")*100, """")"),109.00000000000001)</f>
        <v>109</v>
      </c>
      <c r="Z142" s="148">
        <f>IFERROR(__xludf.DUMMYFUNCTION("QUERY(OptionPositionsLog, ""SELECT K WHERE B = '"" &amp; $B142  &amp; ""' ORDER BY K DESC LIMIT 1"")"),1440.83)</f>
        <v>1440.83</v>
      </c>
      <c r="AA142" s="154">
        <f t="shared" si="11"/>
        <v>-219428.5714</v>
      </c>
      <c r="AB142" s="155">
        <f t="shared" si="8"/>
        <v>-5485.714286</v>
      </c>
      <c r="AC142" s="153">
        <f t="shared" si="9"/>
        <v>0</v>
      </c>
      <c r="AD142" s="31"/>
    </row>
    <row r="143" ht="22.5" customHeight="1">
      <c r="A143" s="129" t="s">
        <v>381</v>
      </c>
      <c r="B143" s="130" t="s">
        <v>598</v>
      </c>
      <c r="C143" s="103">
        <v>46080.0</v>
      </c>
      <c r="D143" s="131">
        <v>46101.0</v>
      </c>
      <c r="E143" s="30" t="s">
        <v>516</v>
      </c>
      <c r="F143" s="132">
        <v>-1.0</v>
      </c>
      <c r="G143" s="30" t="s">
        <v>459</v>
      </c>
      <c r="H143" s="133">
        <v>70.0</v>
      </c>
      <c r="I143" s="30">
        <v>1.82948</v>
      </c>
      <c r="J143" s="30">
        <v>1.0</v>
      </c>
      <c r="K143" s="30">
        <v>100.0</v>
      </c>
      <c r="L143" s="148">
        <f>IFERROR(__xludf.DUMMYFUNCTION("QUERY(OptionPositionsLog, ""SELECT E WHERE B = '"" &amp; $B143  &amp; ""' ORDER BY A DESC LIMIT 1"")"),2.4)</f>
        <v>2.4</v>
      </c>
      <c r="M143" s="30"/>
      <c r="N143" s="140">
        <f t="shared" si="1"/>
        <v>240</v>
      </c>
      <c r="O143" s="140">
        <f t="shared" si="2"/>
        <v>-0.57052</v>
      </c>
      <c r="P143" s="149">
        <f t="shared" si="3"/>
        <v>-57.052</v>
      </c>
      <c r="Q143" s="138">
        <f t="shared" si="4"/>
        <v>-31</v>
      </c>
      <c r="R143" s="150">
        <f t="shared" si="5"/>
        <v>0</v>
      </c>
      <c r="S143" s="140">
        <f t="shared" si="6"/>
        <v>0</v>
      </c>
      <c r="T143" s="140">
        <f>IFERROR(__xludf.DUMMYFUNCTION("IF(ISBLANK($M143), QUERY(OptionPositionsLog!$A$2:$K796, ""SELECT F WHERE B = '"" &amp; $B143  &amp; ""' ORDER BY A DESC LIMIT 1""), 0)"),2.4)</f>
        <v>2.4</v>
      </c>
      <c r="U143" s="140">
        <f>IFERROR(__xludf.DUMMYFUNCTION("IF(ISBLANK($M143), QUERY(OptionPositionsLog!$A$2:$K796, ""SELECT G WHERE B = '"" &amp; $B143  &amp; ""' ORDER BY A DESC LIMIT 1"")*F143, 0)"),-0.3430695)</f>
        <v>-0.3430695</v>
      </c>
      <c r="V143" s="140">
        <f>IFERROR(__xludf.DUMMYFUNCTION("IF(ISBLANK($M143), QUERY(OptionPositionsLog!$A$2:$K796, ""SELECT H WHERE B = '"" &amp; $B143  &amp; ""' ORDER BY A DESC LIMIT 1"")*F143, 0)"),0.21936194)</f>
        <v>0.21936194</v>
      </c>
      <c r="W143" s="140">
        <f>IFERROR(__xludf.DUMMYFUNCTION("IF(ISBLANK($M143), QUERY(OptionPositionsLog!$A$2:$K796, ""SELECT I WHERE B = '"" &amp; $B143  &amp; ""' ORDER BY A DESC LIMIT 1""), 0)"),0.03125914)</f>
        <v>0.03125914</v>
      </c>
      <c r="X143" s="140">
        <f>IFERROR(__xludf.DUMMYFUNCTION("IF(ISBLANK($M143), QUERY(OptionPositionsLog!$A$2:$K796, ""SELECT J WHERE B = '"" &amp; $B143  &amp; ""' ORDER BY A DESC LIMIT 1""), 0)"),0.03894866)</f>
        <v>0.03894866</v>
      </c>
      <c r="Y143" s="140">
        <f>IFERROR(__xludf.DUMMYFUNCTION("IF(ISBLANK($M143), QUERY(OptionPositionsLog!$A$2:$K796, ""SELECT D WHERE B = '"" &amp; $B143  &amp; ""' ORDER BY A DESC LIMIT 1"")*100, """")"),112.00000000000001)</f>
        <v>112</v>
      </c>
      <c r="Z143" s="148">
        <f>IFERROR(__xludf.DUMMYFUNCTION("QUERY(OptionPositionsLog, ""SELECT K WHERE B = '"" &amp; $B143  &amp; ""' ORDER BY K DESC LIMIT 1"")"),494.17)</f>
        <v>494.17</v>
      </c>
      <c r="AA143" s="154">
        <f t="shared" si="11"/>
        <v>-219428.5714</v>
      </c>
      <c r="AB143" s="155">
        <f t="shared" si="8"/>
        <v>7078.341014</v>
      </c>
      <c r="AC143" s="153">
        <f t="shared" si="9"/>
        <v>0</v>
      </c>
      <c r="AD143" s="31"/>
    </row>
    <row r="144" ht="22.5" customHeight="1">
      <c r="A144" s="129" t="s">
        <v>375</v>
      </c>
      <c r="B144" s="130" t="s">
        <v>599</v>
      </c>
      <c r="C144" s="103">
        <v>46080.0</v>
      </c>
      <c r="D144" s="131">
        <v>46101.0</v>
      </c>
      <c r="E144" s="131">
        <v>46092.0</v>
      </c>
      <c r="F144" s="132">
        <v>1.0</v>
      </c>
      <c r="G144" s="30" t="s">
        <v>459</v>
      </c>
      <c r="H144" s="133">
        <v>10.0</v>
      </c>
      <c r="I144" s="30">
        <v>0.30049</v>
      </c>
      <c r="J144" s="30">
        <v>1.0</v>
      </c>
      <c r="K144" s="30">
        <v>100.0</v>
      </c>
      <c r="L144" s="148">
        <f>IFERROR(__xludf.DUMMYFUNCTION("QUERY(OptionPositionsLog, ""SELECT E WHERE B = '"" &amp; $B144  &amp; ""' ORDER BY A DESC LIMIT 1"")"),0.75)</f>
        <v>0.75</v>
      </c>
      <c r="M144" s="30">
        <v>0.41</v>
      </c>
      <c r="N144" s="140">
        <f t="shared" si="1"/>
        <v>75</v>
      </c>
      <c r="O144" s="140">
        <f t="shared" si="2"/>
        <v>0</v>
      </c>
      <c r="P144" s="149">
        <f t="shared" si="3"/>
        <v>0</v>
      </c>
      <c r="Q144" s="138" t="str">
        <f t="shared" si="4"/>
        <v/>
      </c>
      <c r="R144" s="150">
        <f t="shared" si="5"/>
        <v>9.951</v>
      </c>
      <c r="S144" s="140">
        <f t="shared" si="6"/>
        <v>30</v>
      </c>
      <c r="T144" s="140">
        <f>IFERROR(__xludf.DUMMYFUNCTION("IF(ISBLANK($M144), QUERY(OptionPositionsLog!$A$2:$K796, ""SELECT F WHERE B = '"" &amp; $B144  &amp; ""' ORDER BY A DESC LIMIT 1""), 0)"),0.0)</f>
        <v>0</v>
      </c>
      <c r="U144" s="140">
        <f>IFERROR(__xludf.DUMMYFUNCTION("IF(ISBLANK($M144), QUERY(OptionPositionsLog!$A$2:$K796, ""SELECT G WHERE B = '"" &amp; $B144  &amp; ""' ORDER BY A DESC LIMIT 1"")*F144, 0)"),0.0)</f>
        <v>0</v>
      </c>
      <c r="V144" s="140">
        <f>IFERROR(__xludf.DUMMYFUNCTION("IF(ISBLANK($M144), QUERY(OptionPositionsLog!$A$2:$K796, ""SELECT H WHERE B = '"" &amp; $B144  &amp; ""' ORDER BY A DESC LIMIT 1"")*F144, 0)"),0.0)</f>
        <v>0</v>
      </c>
      <c r="W144" s="140">
        <f>IFERROR(__xludf.DUMMYFUNCTION("IF(ISBLANK($M144), QUERY(OptionPositionsLog!$A$2:$K796, ""SELECT I WHERE B = '"" &amp; $B144  &amp; ""' ORDER BY A DESC LIMIT 1""), 0)"),0.0)</f>
        <v>0</v>
      </c>
      <c r="X144" s="140">
        <f>IFERROR(__xludf.DUMMYFUNCTION("IF(ISBLANK($M144), QUERY(OptionPositionsLog!$A$2:$K796, ""SELECT J WHERE B = '"" &amp; $B144  &amp; ""' ORDER BY A DESC LIMIT 1""), 0)"),0.0)</f>
        <v>0</v>
      </c>
      <c r="Y144" s="140" t="str">
        <f>IFERROR(__xludf.DUMMYFUNCTION("IF(ISBLANK($M144), QUERY(OptionPositionsLog!$A$2:$K796, ""SELECT D WHERE B = '"" &amp; $B144  &amp; ""' ORDER BY A DESC LIMIT 1"")*100, """")"),"")</f>
        <v/>
      </c>
      <c r="Z144" s="148">
        <f>IFERROR(__xludf.DUMMYFUNCTION("QUERY(OptionPositionsLog, ""SELECT K WHERE B = '"" &amp; $B144  &amp; ""' ORDER BY K DESC LIMIT 1"")"),87.42)</f>
        <v>87.42</v>
      </c>
      <c r="AA144" s="154">
        <f t="shared" si="11"/>
        <v>57.14285714</v>
      </c>
      <c r="AB144" s="155" t="str">
        <f t="shared" si="8"/>
        <v/>
      </c>
      <c r="AC144" s="153">
        <f t="shared" si="9"/>
        <v>11.38297872</v>
      </c>
      <c r="AD144" s="31"/>
    </row>
    <row r="145" ht="22.5" customHeight="1">
      <c r="A145" s="129" t="s">
        <v>377</v>
      </c>
      <c r="B145" s="130" t="s">
        <v>600</v>
      </c>
      <c r="C145" s="103">
        <v>46080.0</v>
      </c>
      <c r="D145" s="131">
        <v>46129.0</v>
      </c>
      <c r="E145" s="30" t="s">
        <v>516</v>
      </c>
      <c r="F145" s="132">
        <v>1.0</v>
      </c>
      <c r="G145" s="30" t="s">
        <v>459</v>
      </c>
      <c r="H145" s="133">
        <v>17.5</v>
      </c>
      <c r="I145" s="30">
        <v>0.26999</v>
      </c>
      <c r="J145" s="30">
        <v>1.0</v>
      </c>
      <c r="K145" s="30">
        <v>100.0</v>
      </c>
      <c r="L145" s="148">
        <f>IFERROR(__xludf.DUMMYFUNCTION("QUERY(OptionPositionsLog, ""SELECT E WHERE B = '"" &amp; $B145  &amp; ""' ORDER BY A DESC LIMIT 1"")"),0.35)</f>
        <v>0.35</v>
      </c>
      <c r="M145" s="30"/>
      <c r="N145" s="140">
        <f t="shared" si="1"/>
        <v>35</v>
      </c>
      <c r="O145" s="140">
        <f t="shared" si="2"/>
        <v>0.08001</v>
      </c>
      <c r="P145" s="149">
        <f t="shared" si="3"/>
        <v>8.001</v>
      </c>
      <c r="Q145" s="138">
        <f t="shared" si="4"/>
        <v>30</v>
      </c>
      <c r="R145" s="150">
        <f t="shared" si="5"/>
        <v>0</v>
      </c>
      <c r="S145" s="140">
        <f t="shared" si="6"/>
        <v>0</v>
      </c>
      <c r="T145" s="140">
        <f>IFERROR(__xludf.DUMMYFUNCTION("IF(ISBLANK($M145), QUERY(OptionPositionsLog!$A$2:$K796, ""SELECT F WHERE B = '"" &amp; $B145  &amp; ""' ORDER BY A DESC LIMIT 1""), 0)"),0.35)</f>
        <v>0.35</v>
      </c>
      <c r="U145" s="140">
        <f>IFERROR(__xludf.DUMMYFUNCTION("IF(ISBLANK($M145), QUERY(OptionPositionsLog!$A$2:$K796, ""SELECT G WHERE B = '"" &amp; $B145  &amp; ""' ORDER BY A DESC LIMIT 1"")*F145, 0)"),0.13998355)</f>
        <v>0.13998355</v>
      </c>
      <c r="V145" s="140">
        <f>IFERROR(__xludf.DUMMYFUNCTION("IF(ISBLANK($M145), QUERY(OptionPositionsLog!$A$2:$K796, ""SELECT H WHERE B = '"" &amp; $B145  &amp; ""' ORDER BY A DESC LIMIT 1"")*F145, 0)"),-0.00897799)</f>
        <v>-0.00897799</v>
      </c>
      <c r="W145" s="140">
        <f>IFERROR(__xludf.DUMMYFUNCTION("IF(ISBLANK($M145), QUERY(OptionPositionsLog!$A$2:$K796, ""SELECT I WHERE B = '"" &amp; $B145  &amp; ""' ORDER BY A DESC LIMIT 1""), 0)"),0.06655633)</f>
        <v>0.06655633</v>
      </c>
      <c r="X145" s="140">
        <f>IFERROR(__xludf.DUMMYFUNCTION("IF(ISBLANK($M145), QUERY(OptionPositionsLog!$A$2:$K796, ""SELECT J WHERE B = '"" &amp; $B145  &amp; ""' ORDER BY A DESC LIMIT 1""), 0)"),0.00839931)</f>
        <v>0.00839931</v>
      </c>
      <c r="Y145" s="140">
        <f>IFERROR(__xludf.DUMMYFUNCTION("IF(ISBLANK($M145), QUERY(OptionPositionsLog!$A$2:$K796, ""SELECT D WHERE B = '"" &amp; $B145  &amp; ""' ORDER BY A DESC LIMIT 1"")*100, """")"),59.0)</f>
        <v>59</v>
      </c>
      <c r="Z145" s="148">
        <f>IFERROR(__xludf.DUMMYFUNCTION("QUERY(OptionPositionsLog, ""SELECT K WHERE B = '"" &amp; $B145  &amp; ""' ORDER BY K DESC LIMIT 1"")"),28.96)</f>
        <v>28.96</v>
      </c>
      <c r="AA145" s="154">
        <f t="shared" si="11"/>
        <v>-94040.81633</v>
      </c>
      <c r="AB145" s="155">
        <f t="shared" si="8"/>
        <v>-3134.693878</v>
      </c>
      <c r="AC145" s="153">
        <f t="shared" si="9"/>
        <v>0</v>
      </c>
      <c r="AD145" s="31"/>
    </row>
    <row r="146" ht="22.5" customHeight="1">
      <c r="A146" s="129" t="s">
        <v>379</v>
      </c>
      <c r="B146" s="130" t="s">
        <v>601</v>
      </c>
      <c r="C146" s="103">
        <v>46080.0</v>
      </c>
      <c r="D146" s="131">
        <v>46101.0</v>
      </c>
      <c r="E146" s="30" t="s">
        <v>516</v>
      </c>
      <c r="F146" s="132">
        <v>1.0</v>
      </c>
      <c r="G146" s="30" t="s">
        <v>459</v>
      </c>
      <c r="H146" s="133">
        <v>6.0</v>
      </c>
      <c r="I146" s="30">
        <v>0.19049</v>
      </c>
      <c r="J146" s="30">
        <v>1.0</v>
      </c>
      <c r="K146" s="30">
        <v>100.0</v>
      </c>
      <c r="L146" s="148">
        <f>IFERROR(__xludf.DUMMYFUNCTION("QUERY(OptionPositionsLog, ""SELECT E WHERE B = '"" &amp; $B146  &amp; ""' ORDER BY A DESC LIMIT 1"")"),0.1)</f>
        <v>0.1</v>
      </c>
      <c r="M146" s="30"/>
      <c r="N146" s="140">
        <f t="shared" si="1"/>
        <v>10</v>
      </c>
      <c r="O146" s="140">
        <f t="shared" si="2"/>
        <v>-0.09049</v>
      </c>
      <c r="P146" s="149">
        <f t="shared" si="3"/>
        <v>-9.049</v>
      </c>
      <c r="Q146" s="138">
        <f t="shared" si="4"/>
        <v>-48</v>
      </c>
      <c r="R146" s="150">
        <f t="shared" si="5"/>
        <v>0</v>
      </c>
      <c r="S146" s="140">
        <f t="shared" si="6"/>
        <v>0</v>
      </c>
      <c r="T146" s="140">
        <f>IFERROR(__xludf.DUMMYFUNCTION("IF(ISBLANK($M146), QUERY(OptionPositionsLog!$A$2:$K796, ""SELECT F WHERE B = '"" &amp; $B146  &amp; ""' ORDER BY A DESC LIMIT 1""), 0)"),0.1)</f>
        <v>0.1</v>
      </c>
      <c r="U146" s="140">
        <f>IFERROR(__xludf.DUMMYFUNCTION("IF(ISBLANK($M146), QUERY(OptionPositionsLog!$A$2:$K796, ""SELECT G WHERE B = '"" &amp; $B146  &amp; ""' ORDER BY A DESC LIMIT 1"")*F146, 0)"),0.24092672)</f>
        <v>0.24092672</v>
      </c>
      <c r="V146" s="140">
        <f>IFERROR(__xludf.DUMMYFUNCTION("IF(ISBLANK($M146), QUERY(OptionPositionsLog!$A$2:$K796, ""SELECT H WHERE B = '"" &amp; $B146  &amp; ""' ORDER BY A DESC LIMIT 1"")*F146, 0)"),-0.01217764)</f>
        <v>-0.01217764</v>
      </c>
      <c r="W146" s="140">
        <f>IFERROR(__xludf.DUMMYFUNCTION("IF(ISBLANK($M146), QUERY(OptionPositionsLog!$A$2:$K796, ""SELECT I WHERE B = '"" &amp; $B146  &amp; ""' ORDER BY A DESC LIMIT 1""), 0)"),0.40693841)</f>
        <v>0.40693841</v>
      </c>
      <c r="X146" s="140">
        <f>IFERROR(__xludf.DUMMYFUNCTION("IF(ISBLANK($M146), QUERY(OptionPositionsLog!$A$2:$K796, ""SELECT J WHERE B = '"" &amp; $B146  &amp; ""' ORDER BY A DESC LIMIT 1""), 0)"),0.00294618)</f>
        <v>0.00294618</v>
      </c>
      <c r="Y146" s="140">
        <f>IFERROR(__xludf.DUMMYFUNCTION("IF(ISBLANK($M146), QUERY(OptionPositionsLog!$A$2:$K796, ""SELECT D WHERE B = '"" &amp; $B146  &amp; ""' ORDER BY A DESC LIMIT 1"")*100, """")"),87.0)</f>
        <v>87</v>
      </c>
      <c r="Z146" s="148">
        <f>IFERROR(__xludf.DUMMYFUNCTION("QUERY(OptionPositionsLog, ""SELECT K WHERE B = '"" &amp; $B146  &amp; ""' ORDER BY K DESC LIMIT 1"")"),19.22)</f>
        <v>19.22</v>
      </c>
      <c r="AA146" s="154">
        <f t="shared" si="11"/>
        <v>-219428.5714</v>
      </c>
      <c r="AB146" s="155">
        <f t="shared" si="8"/>
        <v>4571.428571</v>
      </c>
      <c r="AC146" s="153">
        <f t="shared" si="9"/>
        <v>0</v>
      </c>
      <c r="AD146" s="31"/>
    </row>
    <row r="147" ht="22.5" customHeight="1">
      <c r="A147" s="129" t="s">
        <v>386</v>
      </c>
      <c r="B147" s="130" t="s">
        <v>602</v>
      </c>
      <c r="C147" s="131">
        <v>46083.0</v>
      </c>
      <c r="D147" s="131">
        <v>46101.0</v>
      </c>
      <c r="E147" s="30" t="s">
        <v>516</v>
      </c>
      <c r="F147" s="132">
        <v>1.0</v>
      </c>
      <c r="G147" s="30" t="s">
        <v>459</v>
      </c>
      <c r="H147" s="133">
        <v>80.0</v>
      </c>
      <c r="I147" s="30">
        <v>0.35048</v>
      </c>
      <c r="J147" s="30">
        <v>1.0</v>
      </c>
      <c r="K147" s="30">
        <v>100.0</v>
      </c>
      <c r="L147" s="148">
        <f>IFERROR(__xludf.DUMMYFUNCTION("QUERY(OptionPositionsLog, ""SELECT E WHERE B = '"" &amp; $B147  &amp; ""' ORDER BY A DESC LIMIT 1"")"),0.28)</f>
        <v>0.28</v>
      </c>
      <c r="M147" s="30"/>
      <c r="N147" s="140">
        <f t="shared" si="1"/>
        <v>28</v>
      </c>
      <c r="O147" s="140">
        <f t="shared" si="2"/>
        <v>-0.07048</v>
      </c>
      <c r="P147" s="149">
        <f t="shared" si="3"/>
        <v>-7.048</v>
      </c>
      <c r="Q147" s="138">
        <f t="shared" si="4"/>
        <v>-20</v>
      </c>
      <c r="R147" s="150">
        <f t="shared" si="5"/>
        <v>0</v>
      </c>
      <c r="S147" s="140">
        <f t="shared" si="6"/>
        <v>0</v>
      </c>
      <c r="T147" s="140">
        <f>IFERROR(__xludf.DUMMYFUNCTION("IF(ISBLANK($M147), QUERY(OptionPositionsLog!$A$2:$K796, ""SELECT F WHERE B = '"" &amp; $B147  &amp; ""' ORDER BY A DESC LIMIT 1""), 0)"),0.28)</f>
        <v>0.28</v>
      </c>
      <c r="U147" s="140">
        <f>IFERROR(__xludf.DUMMYFUNCTION("IF(ISBLANK($M147), QUERY(OptionPositionsLog!$A$2:$K796, ""SELECT G WHERE B = '"" &amp; $B147  &amp; ""' ORDER BY A DESC LIMIT 1"")*F147, 0)"),0.10187668)</f>
        <v>0.10187668</v>
      </c>
      <c r="V147" s="140">
        <f>IFERROR(__xludf.DUMMYFUNCTION("IF(ISBLANK($M147), QUERY(OptionPositionsLog!$A$2:$K796, ""SELECT H WHERE B = '"" &amp; $B147  &amp; ""' ORDER BY A DESC LIMIT 1"")*F147, 0)"),-0.0468774)</f>
        <v>-0.0468774</v>
      </c>
      <c r="W147" s="140">
        <f>IFERROR(__xludf.DUMMYFUNCTION("IF(ISBLANK($M147), QUERY(OptionPositionsLog!$A$2:$K796, ""SELECT I WHERE B = '"" &amp; $B147  &amp; ""' ORDER BY A DESC LIMIT 1""), 0)"),0.03440642)</f>
        <v>0.03440642</v>
      </c>
      <c r="X147" s="140">
        <f>IFERROR(__xludf.DUMMYFUNCTION("IF(ISBLANK($M147), QUERY(OptionPositionsLog!$A$2:$K796, ""SELECT J WHERE B = '"" &amp; $B147  &amp; ""' ORDER BY A DESC LIMIT 1""), 0)"),0.02205004)</f>
        <v>0.02205004</v>
      </c>
      <c r="Y147" s="140">
        <f>IFERROR(__xludf.DUMMYFUNCTION("IF(ISBLANK($M147), QUERY(OptionPositionsLog!$A$2:$K796, ""SELECT D WHERE B = '"" &amp; $B147  &amp; ""' ORDER BY A DESC LIMIT 1"")*100, """")"),43.0)</f>
        <v>43</v>
      </c>
      <c r="Z147" s="148">
        <f>IFERROR(__xludf.DUMMYFUNCTION("QUERY(OptionPositionsLog, ""SELECT K WHERE B = '"" &amp; $B147  &amp; ""' ORDER BY K DESC LIMIT 1"")"),62.31)</f>
        <v>62.31</v>
      </c>
      <c r="AA147" s="154">
        <f t="shared" si="11"/>
        <v>-256016.6667</v>
      </c>
      <c r="AB147" s="155">
        <f t="shared" si="8"/>
        <v>12800.83333</v>
      </c>
      <c r="AC147" s="153">
        <f t="shared" si="9"/>
        <v>0</v>
      </c>
      <c r="AD147" s="31"/>
    </row>
    <row r="148" ht="22.5" customHeight="1">
      <c r="A148" s="129" t="s">
        <v>152</v>
      </c>
      <c r="B148" s="130" t="s">
        <v>603</v>
      </c>
      <c r="C148" s="131">
        <v>46083.0</v>
      </c>
      <c r="D148" s="131">
        <v>46129.0</v>
      </c>
      <c r="E148" s="30" t="s">
        <v>516</v>
      </c>
      <c r="F148" s="132">
        <v>-1.0</v>
      </c>
      <c r="G148" s="30" t="s">
        <v>455</v>
      </c>
      <c r="H148" s="133">
        <v>450.0</v>
      </c>
      <c r="I148" s="30">
        <v>5.59299</v>
      </c>
      <c r="J148" s="30">
        <v>1.0</v>
      </c>
      <c r="K148" s="30">
        <v>100.0</v>
      </c>
      <c r="L148" s="148">
        <f>IFERROR(__xludf.DUMMYFUNCTION("QUERY(OptionPositionsLog, ""SELECT E WHERE B = '"" &amp; $B148  &amp; ""' ORDER BY A DESC LIMIT 1"")"),6.8)</f>
        <v>6.8</v>
      </c>
      <c r="M148" s="30"/>
      <c r="N148" s="140">
        <f t="shared" si="1"/>
        <v>680</v>
      </c>
      <c r="O148" s="140">
        <f t="shared" si="2"/>
        <v>-1.20701</v>
      </c>
      <c r="P148" s="149">
        <f t="shared" si="3"/>
        <v>-120.701</v>
      </c>
      <c r="Q148" s="138">
        <f t="shared" si="4"/>
        <v>-22</v>
      </c>
      <c r="R148" s="150">
        <f t="shared" si="5"/>
        <v>0</v>
      </c>
      <c r="S148" s="140">
        <f t="shared" si="6"/>
        <v>0</v>
      </c>
      <c r="T148" s="140">
        <f>IFERROR(__xludf.DUMMYFUNCTION("IF(ISBLANK($M148), QUERY(OptionPositionsLog!$A$2:$K796, ""SELECT F WHERE B = '"" &amp; $B148  &amp; ""' ORDER BY A DESC LIMIT 1""), 0)"),6.8)</f>
        <v>6.8</v>
      </c>
      <c r="U148" s="140">
        <f>IFERROR(__xludf.DUMMYFUNCTION("IF(ISBLANK($M148), QUERY(OptionPositionsLog!$A$2:$K796, ""SELECT G WHERE B = '"" &amp; $B148  &amp; ""' ORDER BY A DESC LIMIT 1"")*F148, 0)"),0.24006387)</f>
        <v>0.24006387</v>
      </c>
      <c r="V148" s="140">
        <f>IFERROR(__xludf.DUMMYFUNCTION("IF(ISBLANK($M148), QUERY(OptionPositionsLog!$A$2:$K796, ""SELECT H WHERE B = '"" &amp; $B148  &amp; ""' ORDER BY A DESC LIMIT 1"")*F148, 0)"),0.1671472)</f>
        <v>0.1671472</v>
      </c>
      <c r="W148" s="140">
        <f>IFERROR(__xludf.DUMMYFUNCTION("IF(ISBLANK($M148), QUERY(OptionPositionsLog!$A$2:$K796, ""SELECT I WHERE B = '"" &amp; $B148  &amp; ""' ORDER BY A DESC LIMIT 1""), 0)"),0.00690656)</f>
        <v>0.00690656</v>
      </c>
      <c r="X148" s="140">
        <f>IFERROR(__xludf.DUMMYFUNCTION("IF(ISBLANK($M148), QUERY(OptionPositionsLog!$A$2:$K796, ""SELECT J WHERE B = '"" &amp; $B148  &amp; ""' ORDER BY A DESC LIMIT 1""), 0)"),0.46095284)</f>
        <v>0.46095284</v>
      </c>
      <c r="Y148" s="140">
        <f>IFERROR(__xludf.DUMMYFUNCTION("IF(ISBLANK($M148), QUERY(OptionPositionsLog!$A$2:$K796, ""SELECT D WHERE B = '"" &amp; $B148  &amp; ""' ORDER BY A DESC LIMIT 1"")*100, """")"),30.0)</f>
        <v>30</v>
      </c>
      <c r="Z148" s="148">
        <f>IFERROR(__xludf.DUMMYFUNCTION("QUERY(OptionPositionsLog, ""SELECT K WHERE B = '"" &amp; $B148  &amp; ""' ORDER BY K DESC LIMIT 1"")"),4011.31)</f>
        <v>4011.31</v>
      </c>
      <c r="AA148" s="154">
        <f t="shared" si="11"/>
        <v>-100180.4348</v>
      </c>
      <c r="AB148" s="155">
        <f t="shared" si="8"/>
        <v>4553.656126</v>
      </c>
      <c r="AC148" s="153">
        <f t="shared" si="9"/>
        <v>0</v>
      </c>
      <c r="AD148" s="31"/>
    </row>
    <row r="149" ht="22.5" customHeight="1">
      <c r="A149" s="129" t="s">
        <v>152</v>
      </c>
      <c r="B149" s="130" t="s">
        <v>604</v>
      </c>
      <c r="C149" s="131">
        <v>46083.0</v>
      </c>
      <c r="D149" s="131">
        <v>46129.0</v>
      </c>
      <c r="E149" s="30" t="s">
        <v>516</v>
      </c>
      <c r="F149" s="132">
        <v>-1.0</v>
      </c>
      <c r="G149" s="30" t="s">
        <v>455</v>
      </c>
      <c r="H149" s="133">
        <v>460.0</v>
      </c>
      <c r="I149" s="30">
        <v>7.86299</v>
      </c>
      <c r="J149" s="30">
        <v>1.0</v>
      </c>
      <c r="K149" s="30">
        <v>100.0</v>
      </c>
      <c r="L149" s="148">
        <f>IFERROR(__xludf.DUMMYFUNCTION("QUERY(OptionPositionsLog, ""SELECT E WHERE B = '"" &amp; $B149  &amp; ""' ORDER BY A DESC LIMIT 1"")"),9.4)</f>
        <v>9.4</v>
      </c>
      <c r="M149" s="30"/>
      <c r="N149" s="140">
        <f t="shared" si="1"/>
        <v>940</v>
      </c>
      <c r="O149" s="140">
        <f t="shared" si="2"/>
        <v>-1.53701</v>
      </c>
      <c r="P149" s="149">
        <f t="shared" si="3"/>
        <v>-153.701</v>
      </c>
      <c r="Q149" s="138">
        <f t="shared" si="4"/>
        <v>-20</v>
      </c>
      <c r="R149" s="150">
        <f t="shared" si="5"/>
        <v>0</v>
      </c>
      <c r="S149" s="140">
        <f t="shared" si="6"/>
        <v>0</v>
      </c>
      <c r="T149" s="140">
        <f>IFERROR(__xludf.DUMMYFUNCTION("IF(ISBLANK($M149), QUERY(OptionPositionsLog!$A$2:$K796, ""SELECT F WHERE B = '"" &amp; $B149  &amp; ""' ORDER BY A DESC LIMIT 1""), 0)"),9.4)</f>
        <v>9.4</v>
      </c>
      <c r="U149" s="140">
        <f>IFERROR(__xludf.DUMMYFUNCTION("IF(ISBLANK($M149), QUERY(OptionPositionsLog!$A$2:$K796, ""SELECT G WHERE B = '"" &amp; $B149  &amp; ""' ORDER BY A DESC LIMIT 1"")*F149, 0)"),0.31639845)</f>
        <v>0.31639845</v>
      </c>
      <c r="V149" s="140">
        <f>IFERROR(__xludf.DUMMYFUNCTION("IF(ISBLANK($M149), QUERY(OptionPositionsLog!$A$2:$K796, ""SELECT H WHERE B = '"" &amp; $B149  &amp; ""' ORDER BY A DESC LIMIT 1"")*F149, 0)"),0.20373672)</f>
        <v>0.20373672</v>
      </c>
      <c r="W149" s="140">
        <f>IFERROR(__xludf.DUMMYFUNCTION("IF(ISBLANK($M149), QUERY(OptionPositionsLog!$A$2:$K796, ""SELECT I WHERE B = '"" &amp; $B149  &amp; ""' ORDER BY A DESC LIMIT 1""), 0)"),0.00805336)</f>
        <v>0.00805336</v>
      </c>
      <c r="X149" s="140">
        <f>IFERROR(__xludf.DUMMYFUNCTION("IF(ISBLANK($M149), QUERY(OptionPositionsLog!$A$2:$K796, ""SELECT J WHERE B = '"" &amp; $B149  &amp; ""' ORDER BY A DESC LIMIT 1""), 0)"),0.56699646)</f>
        <v>0.56699646</v>
      </c>
      <c r="Y149" s="140">
        <f>IFERROR(__xludf.DUMMYFUNCTION("IF(ISBLANK($M149), QUERY(OptionPositionsLog!$A$2:$K796, ""SELECT D WHERE B = '"" &amp; $B149  &amp; ""' ORDER BY A DESC LIMIT 1"")*100, """")"),28.999999999999996)</f>
        <v>29</v>
      </c>
      <c r="Z149" s="148">
        <f>IFERROR(__xludf.DUMMYFUNCTION("QUERY(OptionPositionsLog, ""SELECT K WHERE B = '"" &amp; $B149  &amp; ""' ORDER BY K DESC LIMIT 1"")"),3689.77)</f>
        <v>3689.77</v>
      </c>
      <c r="AA149" s="154">
        <f t="shared" si="11"/>
        <v>-100180.4348</v>
      </c>
      <c r="AB149" s="155">
        <f t="shared" si="8"/>
        <v>5009.021739</v>
      </c>
      <c r="AC149" s="153">
        <f t="shared" si="9"/>
        <v>0</v>
      </c>
      <c r="AD149" s="31"/>
    </row>
    <row r="150" ht="22.5" customHeight="1">
      <c r="A150" s="129" t="s">
        <v>152</v>
      </c>
      <c r="B150" s="130" t="s">
        <v>605</v>
      </c>
      <c r="C150" s="131">
        <v>46083.0</v>
      </c>
      <c r="D150" s="131">
        <v>46129.0</v>
      </c>
      <c r="E150" s="30" t="s">
        <v>516</v>
      </c>
      <c r="F150" s="132">
        <v>1.0</v>
      </c>
      <c r="G150" s="30" t="s">
        <v>455</v>
      </c>
      <c r="H150" s="133">
        <v>465.0</v>
      </c>
      <c r="I150" s="30">
        <v>9.27698</v>
      </c>
      <c r="J150" s="30">
        <v>1.0</v>
      </c>
      <c r="K150" s="30">
        <v>100.0</v>
      </c>
      <c r="L150" s="148">
        <f>IFERROR(__xludf.DUMMYFUNCTION("QUERY(OptionPositionsLog, ""SELECT E WHERE B = '"" &amp; $B150  &amp; ""' ORDER BY A DESC LIMIT 1"")"),11.52)</f>
        <v>11.52</v>
      </c>
      <c r="M150" s="30"/>
      <c r="N150" s="140">
        <f t="shared" si="1"/>
        <v>1152</v>
      </c>
      <c r="O150" s="140">
        <f t="shared" si="2"/>
        <v>2.24302</v>
      </c>
      <c r="P150" s="149">
        <f t="shared" si="3"/>
        <v>224.302</v>
      </c>
      <c r="Q150" s="138">
        <f t="shared" si="4"/>
        <v>24</v>
      </c>
      <c r="R150" s="150">
        <f t="shared" si="5"/>
        <v>0</v>
      </c>
      <c r="S150" s="140">
        <f t="shared" si="6"/>
        <v>0</v>
      </c>
      <c r="T150" s="140">
        <f>IFERROR(__xludf.DUMMYFUNCTION("IF(ISBLANK($M150), QUERY(OptionPositionsLog!$A$2:$K796, ""SELECT F WHERE B = '"" &amp; $B150  &amp; ""' ORDER BY A DESC LIMIT 1""), 0)"),11.52)</f>
        <v>11.52</v>
      </c>
      <c r="U150" s="140">
        <f>IFERROR(__xludf.DUMMYFUNCTION("IF(ISBLANK($M150), QUERY(OptionPositionsLog!$A$2:$K796, ""SELECT G WHERE B = '"" &amp; $B150  &amp; ""' ORDER BY A DESC LIMIT 1"")*F150, 0)"),-0.35744151)</f>
        <v>-0.35744151</v>
      </c>
      <c r="V150" s="140">
        <f>IFERROR(__xludf.DUMMYFUNCTION("IF(ISBLANK($M150), QUERY(OptionPositionsLog!$A$2:$K796, ""SELECT H WHERE B = '"" &amp; $B150  &amp; ""' ORDER BY A DESC LIMIT 1"")*F150, 0)"),-0.20447971)</f>
        <v>-0.20447971</v>
      </c>
      <c r="W150" s="140">
        <f>IFERROR(__xludf.DUMMYFUNCTION("IF(ISBLANK($M150), QUERY(OptionPositionsLog!$A$2:$K796, ""SELECT I WHERE B = '"" &amp; $B150  &amp; ""' ORDER BY A DESC LIMIT 1""), 0)"),0.0083923)</f>
        <v>0.0083923</v>
      </c>
      <c r="X150" s="140">
        <f>IFERROR(__xludf.DUMMYFUNCTION("IF(ISBLANK($M150), QUERY(OptionPositionsLog!$A$2:$K796, ""SELECT J WHERE B = '"" &amp; $B150  &amp; ""' ORDER BY A DESC LIMIT 1""), 0)"),0.57300547)</f>
        <v>0.57300547</v>
      </c>
      <c r="Y150" s="140">
        <f>IFERROR(__xludf.DUMMYFUNCTION("IF(ISBLANK($M150), QUERY(OptionPositionsLog!$A$2:$K796, ""SELECT D WHERE B = '"" &amp; $B150  &amp; ""' ORDER BY A DESC LIMIT 1"")*100, """")"),28.999999999999996)</f>
        <v>29</v>
      </c>
      <c r="Z150" s="148">
        <f>IFERROR(__xludf.DUMMYFUNCTION("QUERY(OptionPositionsLog, ""SELECT K WHERE B = '"" &amp; $B150  &amp; ""' ORDER BY K DESC LIMIT 1"")"),4847.38)</f>
        <v>4847.38</v>
      </c>
      <c r="AA150" s="154">
        <f t="shared" si="11"/>
        <v>-100180.4348</v>
      </c>
      <c r="AB150" s="155">
        <f t="shared" si="8"/>
        <v>-4174.184783</v>
      </c>
      <c r="AC150" s="153">
        <f t="shared" si="9"/>
        <v>0</v>
      </c>
      <c r="AD150" s="31"/>
    </row>
    <row r="151" ht="22.5" customHeight="1">
      <c r="A151" s="129" t="s">
        <v>162</v>
      </c>
      <c r="B151" s="130" t="s">
        <v>606</v>
      </c>
      <c r="C151" s="131">
        <v>46084.0</v>
      </c>
      <c r="D151" s="131">
        <v>46129.0</v>
      </c>
      <c r="E151" s="30" t="s">
        <v>516</v>
      </c>
      <c r="F151" s="132">
        <v>-1.0</v>
      </c>
      <c r="G151" s="30" t="s">
        <v>455</v>
      </c>
      <c r="H151" s="133">
        <v>620.0</v>
      </c>
      <c r="I151" s="30">
        <v>4.9925</v>
      </c>
      <c r="J151" s="30">
        <v>1.0</v>
      </c>
      <c r="K151" s="30">
        <v>100.0</v>
      </c>
      <c r="L151" s="148">
        <f>IFERROR(__xludf.DUMMYFUNCTION("QUERY(OptionPositionsLog, ""SELECT E WHERE B = '"" &amp; $B151  &amp; ""' ORDER BY A DESC LIMIT 1"")"),5.26)</f>
        <v>5.26</v>
      </c>
      <c r="M151" s="30"/>
      <c r="N151" s="140">
        <f t="shared" si="1"/>
        <v>526</v>
      </c>
      <c r="O151" s="140">
        <f t="shared" si="2"/>
        <v>-0.2675</v>
      </c>
      <c r="P151" s="149">
        <f t="shared" si="3"/>
        <v>-26.75</v>
      </c>
      <c r="Q151" s="138">
        <f t="shared" si="4"/>
        <v>-5</v>
      </c>
      <c r="R151" s="150">
        <f t="shared" si="5"/>
        <v>0</v>
      </c>
      <c r="S151" s="140">
        <f t="shared" si="6"/>
        <v>0</v>
      </c>
      <c r="T151" s="140">
        <f>IFERROR(__xludf.DUMMYFUNCTION("IF(ISBLANK($M151), QUERY(OptionPositionsLog!$A$2:$K796, ""SELECT F WHERE B = '"" &amp; $B151  &amp; ""' ORDER BY A DESC LIMIT 1""), 0)"),5.26)</f>
        <v>5.26</v>
      </c>
      <c r="U151" s="140">
        <f>IFERROR(__xludf.DUMMYFUNCTION("IF(ISBLANK($M151), QUERY(OptionPositionsLog!$A$2:$K796, ""SELECT G WHERE B = '"" &amp; $B151  &amp; ""' ORDER BY A DESC LIMIT 1"")*F151, 0)"),0.15153503)</f>
        <v>0.15153503</v>
      </c>
      <c r="V151" s="140">
        <f>IFERROR(__xludf.DUMMYFUNCTION("IF(ISBLANK($M151), QUERY(OptionPositionsLog!$A$2:$K796, ""SELECT H WHERE B = '"" &amp; $B151  &amp; ""' ORDER BY A DESC LIMIT 1"")*F151, 0)"),0.18553953)</f>
        <v>0.18553953</v>
      </c>
      <c r="W151" s="140">
        <f>IFERROR(__xludf.DUMMYFUNCTION("IF(ISBLANK($M151), QUERY(OptionPositionsLog!$A$2:$K796, ""SELECT I WHERE B = '"" &amp; $B151  &amp; ""' ORDER BY A DESC LIMIT 1""), 0)"),0.00367687)</f>
        <v>0.00367687</v>
      </c>
      <c r="X151" s="140">
        <f>IFERROR(__xludf.DUMMYFUNCTION("IF(ISBLANK($M151), QUERY(OptionPositionsLog!$A$2:$K796, ""SELECT J WHERE B = '"" &amp; $B151  &amp; ""' ORDER BY A DESC LIMIT 1""), 0)"),0.51305159)</f>
        <v>0.51305159</v>
      </c>
      <c r="Y151" s="140">
        <f>IFERROR(__xludf.DUMMYFUNCTION("IF(ISBLANK($M151), QUERY(OptionPositionsLog!$A$2:$K796, ""SELECT D WHERE B = '"" &amp; $B151  &amp; ""' ORDER BY A DESC LIMIT 1"")*100, """")"),28.999999999999996)</f>
        <v>29</v>
      </c>
      <c r="Z151" s="148">
        <f>IFERROR(__xludf.DUMMYFUNCTION("QUERY(OptionPositionsLog, ""SELECT K WHERE B = '"" &amp; $B151  &amp; ""' ORDER BY K DESC LIMIT 1"")"),4546.13)</f>
        <v>4546.13</v>
      </c>
      <c r="AA151" s="154">
        <f t="shared" si="11"/>
        <v>-102408.8889</v>
      </c>
      <c r="AB151" s="155">
        <f t="shared" si="8"/>
        <v>20481.77778</v>
      </c>
      <c r="AC151" s="153">
        <f t="shared" si="9"/>
        <v>0</v>
      </c>
      <c r="AD151" s="31"/>
    </row>
    <row r="152" ht="22.5" customHeight="1">
      <c r="A152" s="129" t="s">
        <v>162</v>
      </c>
      <c r="B152" s="130" t="s">
        <v>607</v>
      </c>
      <c r="C152" s="131">
        <v>46084.0</v>
      </c>
      <c r="D152" s="131">
        <v>46129.0</v>
      </c>
      <c r="E152" s="30" t="s">
        <v>516</v>
      </c>
      <c r="F152" s="132">
        <v>-1.0</v>
      </c>
      <c r="G152" s="30" t="s">
        <v>455</v>
      </c>
      <c r="H152" s="133">
        <v>660.0</v>
      </c>
      <c r="I152" s="30">
        <v>10.7025</v>
      </c>
      <c r="J152" s="30">
        <v>1.0</v>
      </c>
      <c r="K152" s="30">
        <v>100.0</v>
      </c>
      <c r="L152" s="148">
        <f>IFERROR(__xludf.DUMMYFUNCTION("QUERY(OptionPositionsLog, ""SELECT E WHERE B = '"" &amp; $B152  &amp; ""' ORDER BY A DESC LIMIT 1"")"),9.0)</f>
        <v>9</v>
      </c>
      <c r="M152" s="30"/>
      <c r="N152" s="140">
        <f t="shared" si="1"/>
        <v>900</v>
      </c>
      <c r="O152" s="140">
        <f t="shared" si="2"/>
        <v>1.7025</v>
      </c>
      <c r="P152" s="149">
        <f t="shared" si="3"/>
        <v>170.25</v>
      </c>
      <c r="Q152" s="138">
        <f t="shared" si="4"/>
        <v>16</v>
      </c>
      <c r="R152" s="150">
        <f t="shared" si="5"/>
        <v>0</v>
      </c>
      <c r="S152" s="140">
        <f t="shared" si="6"/>
        <v>0</v>
      </c>
      <c r="T152" s="140">
        <f>IFERROR(__xludf.DUMMYFUNCTION("IF(ISBLANK($M152), QUERY(OptionPositionsLog!$A$2:$K796, ""SELECT F WHERE B = '"" &amp; $B152  &amp; ""' ORDER BY A DESC LIMIT 1""), 0)"),9.0)</f>
        <v>9</v>
      </c>
      <c r="U152" s="140">
        <f>IFERROR(__xludf.DUMMYFUNCTION("IF(ISBLANK($M152), QUERY(OptionPositionsLog!$A$2:$K796, ""SELECT G WHERE B = '"" &amp; $B152  &amp; ""' ORDER BY A DESC LIMIT 1"")*F152, 0)"),0.32739101)</f>
        <v>0.32739101</v>
      </c>
      <c r="V152" s="140">
        <f>IFERROR(__xludf.DUMMYFUNCTION("IF(ISBLANK($M152), QUERY(OptionPositionsLog!$A$2:$K796, ""SELECT H WHERE B = '"" &amp; $B152  &amp; ""' ORDER BY A DESC LIMIT 1"")*F152, 0)"),0.65631164)</f>
        <v>0.65631164</v>
      </c>
      <c r="W152" s="140">
        <f>IFERROR(__xludf.DUMMYFUNCTION("IF(ISBLANK($M152), QUERY(OptionPositionsLog!$A$2:$K796, ""SELECT I WHERE B = '"" &amp; $B152  &amp; ""' ORDER BY A DESC LIMIT 1""), 0)"),0.00714364)</f>
        <v>0.00714364</v>
      </c>
      <c r="X152" s="140">
        <f>IFERROR(__xludf.DUMMYFUNCTION("IF(ISBLANK($M152), QUERY(OptionPositionsLog!$A$2:$K796, ""SELECT J WHERE B = '"" &amp; $B152  &amp; ""' ORDER BY A DESC LIMIT 1""), 0)"),0.79208697)</f>
        <v>0.79208697</v>
      </c>
      <c r="Y152" s="140">
        <f>IFERROR(__xludf.DUMMYFUNCTION("IF(ISBLANK($M152), QUERY(OptionPositionsLog!$A$2:$K796, ""SELECT D WHERE B = '"" &amp; $B152  &amp; ""' ORDER BY A DESC LIMIT 1"")*100, """")"),23.0)</f>
        <v>23</v>
      </c>
      <c r="Z152" s="148">
        <f>IFERROR(__xludf.DUMMYFUNCTION("QUERY(OptionPositionsLog, ""SELECT K WHERE B = '"" &amp; $B152  &amp; ""' ORDER BY K DESC LIMIT 1"")"),4970.01)</f>
        <v>4970.01</v>
      </c>
      <c r="AA152" s="154">
        <f t="shared" si="11"/>
        <v>-102408.8889</v>
      </c>
      <c r="AB152" s="155">
        <f t="shared" si="8"/>
        <v>-6400.555556</v>
      </c>
      <c r="AC152" s="153">
        <f t="shared" si="9"/>
        <v>0</v>
      </c>
      <c r="AD152" s="31"/>
    </row>
    <row r="153" ht="22.5" customHeight="1">
      <c r="A153" s="129" t="s">
        <v>162</v>
      </c>
      <c r="B153" s="130" t="s">
        <v>608</v>
      </c>
      <c r="C153" s="131">
        <v>46084.0</v>
      </c>
      <c r="D153" s="131">
        <v>46129.0</v>
      </c>
      <c r="E153" s="30" t="s">
        <v>516</v>
      </c>
      <c r="F153" s="132">
        <v>1.0</v>
      </c>
      <c r="G153" s="30" t="s">
        <v>455</v>
      </c>
      <c r="H153" s="133">
        <v>665.0</v>
      </c>
      <c r="I153" s="30">
        <v>11.8575</v>
      </c>
      <c r="J153" s="30">
        <v>1.0</v>
      </c>
      <c r="K153" s="30">
        <v>100.0</v>
      </c>
      <c r="L153" s="148">
        <f>IFERROR(__xludf.DUMMYFUNCTION("QUERY(OptionPositionsLog, ""SELECT E WHERE B = '"" &amp; $B153  &amp; ""' ORDER BY A DESC LIMIT 1"")"),10.35)</f>
        <v>10.35</v>
      </c>
      <c r="M153" s="30"/>
      <c r="N153" s="140">
        <f t="shared" si="1"/>
        <v>1035</v>
      </c>
      <c r="O153" s="140">
        <f t="shared" si="2"/>
        <v>-1.5075</v>
      </c>
      <c r="P153" s="149">
        <f t="shared" si="3"/>
        <v>-150.75</v>
      </c>
      <c r="Q153" s="138">
        <f t="shared" si="4"/>
        <v>-13</v>
      </c>
      <c r="R153" s="150">
        <f t="shared" si="5"/>
        <v>0</v>
      </c>
      <c r="S153" s="140">
        <f t="shared" si="6"/>
        <v>0</v>
      </c>
      <c r="T153" s="140">
        <f>IFERROR(__xludf.DUMMYFUNCTION("IF(ISBLANK($M153), QUERY(OptionPositionsLog!$A$2:$K796, ""SELECT F WHERE B = '"" &amp; $B153  &amp; ""' ORDER BY A DESC LIMIT 1""), 0)"),10.35)</f>
        <v>10.35</v>
      </c>
      <c r="U153" s="140">
        <f>IFERROR(__xludf.DUMMYFUNCTION("IF(ISBLANK($M153), QUERY(OptionPositionsLog!$A$2:$K796, ""SELECT G WHERE B = '"" &amp; $B153  &amp; ""' ORDER BY A DESC LIMIT 1"")*F153, 0)"),-0.35467142)</f>
        <v>-0.35467142</v>
      </c>
      <c r="V153" s="140">
        <f>IFERROR(__xludf.DUMMYFUNCTION("IF(ISBLANK($M153), QUERY(OptionPositionsLog!$A$2:$K796, ""SELECT H WHERE B = '"" &amp; $B153  &amp; ""' ORDER BY A DESC LIMIT 1"")*F153, 0)"),-0.19845086)</f>
        <v>-0.19845086</v>
      </c>
      <c r="W153" s="140">
        <f>IFERROR(__xludf.DUMMYFUNCTION("IF(ISBLANK($M153), QUERY(OptionPositionsLog!$A$2:$K796, ""SELECT I WHERE B = '"" &amp; $B153  &amp; ""' ORDER BY A DESC LIMIT 1""), 0)"),0.00807602)</f>
        <v>0.00807602</v>
      </c>
      <c r="X153" s="140">
        <f>IFERROR(__xludf.DUMMYFUNCTION("IF(ISBLANK($M153), QUERY(OptionPositionsLog!$A$2:$K796, ""SELECT J WHERE B = '"" &amp; $B153  &amp; ""' ORDER BY A DESC LIMIT 1""), 0)"),0.81377706)</f>
        <v>0.81377706</v>
      </c>
      <c r="Y153" s="140">
        <f>IFERROR(__xludf.DUMMYFUNCTION("IF(ISBLANK($M153), QUERY(OptionPositionsLog!$A$2:$K796, ""SELECT D WHERE B = '"" &amp; $B153  &amp; ""' ORDER BY A DESC LIMIT 1"")*100, """")"),21.0)</f>
        <v>21</v>
      </c>
      <c r="Z153" s="148">
        <f>IFERROR(__xludf.DUMMYFUNCTION("QUERY(OptionPositionsLog, ""SELECT K WHERE B = '"" &amp; $B153  &amp; ""' ORDER BY K DESC LIMIT 1"")"),5015.36)</f>
        <v>5015.36</v>
      </c>
      <c r="AA153" s="154">
        <f t="shared" si="11"/>
        <v>-102408.8889</v>
      </c>
      <c r="AB153" s="155">
        <f t="shared" si="8"/>
        <v>7877.606838</v>
      </c>
      <c r="AC153" s="153">
        <f t="shared" si="9"/>
        <v>0</v>
      </c>
      <c r="AD153" s="31"/>
    </row>
    <row r="154" ht="22.5" customHeight="1">
      <c r="A154" s="129" t="s">
        <v>394</v>
      </c>
      <c r="B154" s="130" t="s">
        <v>609</v>
      </c>
      <c r="C154" s="131">
        <v>46084.0</v>
      </c>
      <c r="D154" s="131">
        <v>46129.0</v>
      </c>
      <c r="E154" s="30" t="s">
        <v>516</v>
      </c>
      <c r="F154" s="132">
        <v>1.0</v>
      </c>
      <c r="G154" s="30" t="s">
        <v>459</v>
      </c>
      <c r="H154" s="133">
        <v>10.0</v>
      </c>
      <c r="I154" s="30">
        <v>0.34048</v>
      </c>
      <c r="J154" s="30">
        <v>1.0</v>
      </c>
      <c r="K154" s="30">
        <v>100.0</v>
      </c>
      <c r="L154" s="148">
        <f>IFERROR(__xludf.DUMMYFUNCTION("QUERY(OptionPositionsLog, ""SELECT E WHERE B = '"" &amp; $B154  &amp; ""' ORDER BY A DESC LIMIT 1"")"),0.24)</f>
        <v>0.24</v>
      </c>
      <c r="M154" s="30"/>
      <c r="N154" s="140">
        <f t="shared" si="1"/>
        <v>24</v>
      </c>
      <c r="O154" s="140">
        <f t="shared" si="2"/>
        <v>-0.10048</v>
      </c>
      <c r="P154" s="149">
        <f t="shared" si="3"/>
        <v>-10.048</v>
      </c>
      <c r="Q154" s="138">
        <f t="shared" si="4"/>
        <v>-30</v>
      </c>
      <c r="R154" s="150">
        <f t="shared" si="5"/>
        <v>0</v>
      </c>
      <c r="S154" s="140">
        <f t="shared" si="6"/>
        <v>0</v>
      </c>
      <c r="T154" s="140">
        <f>IFERROR(__xludf.DUMMYFUNCTION("IF(ISBLANK($M154), QUERY(OptionPositionsLog!$A$2:$K796, ""SELECT F WHERE B = '"" &amp; $B154  &amp; ""' ORDER BY A DESC LIMIT 1""), 0)"),0.24)</f>
        <v>0.24</v>
      </c>
      <c r="U154" s="140">
        <f>IFERROR(__xludf.DUMMYFUNCTION("IF(ISBLANK($M154), QUERY(OptionPositionsLog!$A$2:$K796, ""SELECT G WHERE B = '"" &amp; $B154  &amp; ""' ORDER BY A DESC LIMIT 1"")*F154, 0)"),0.0)</f>
        <v>0</v>
      </c>
      <c r="V154" s="140">
        <f>IFERROR(__xludf.DUMMYFUNCTION("IF(ISBLANK($M154), QUERY(OptionPositionsLog!$A$2:$K796, ""SELECT H WHERE B = '"" &amp; $B154  &amp; ""' ORDER BY A DESC LIMIT 1"")*F154, 0)"),-0.00887365)</f>
        <v>-0.00887365</v>
      </c>
      <c r="W154" s="140">
        <f>IFERROR(__xludf.DUMMYFUNCTION("IF(ISBLANK($M154), QUERY(OptionPositionsLog!$A$2:$K796, ""SELECT I WHERE B = '"" &amp; $B154  &amp; ""' ORDER BY A DESC LIMIT 1""), 0)"),0.10864542)</f>
        <v>0.10864542</v>
      </c>
      <c r="X154" s="140">
        <f>IFERROR(__xludf.DUMMYFUNCTION("IF(ISBLANK($M154), QUERY(OptionPositionsLog!$A$2:$K796, ""SELECT J WHERE B = '"" &amp; $B154  &amp; ""' ORDER BY A DESC LIMIT 1""), 0)"),0.00577186)</f>
        <v>0.00577186</v>
      </c>
      <c r="Y154" s="140">
        <f>IFERROR(__xludf.DUMMYFUNCTION("IF(ISBLANK($M154), QUERY(OptionPositionsLog!$A$2:$K796, ""SELECT D WHERE B = '"" &amp; $B154  &amp; ""' ORDER BY A DESC LIMIT 1"")*100, """")"),109.00000000000001)</f>
        <v>109</v>
      </c>
      <c r="Z154" s="148">
        <f>IFERROR(__xludf.DUMMYFUNCTION("QUERY(OptionPositionsLog, ""SELECT K WHERE B = '"" &amp; $B154  &amp; ""' ORDER BY K DESC LIMIT 1"")"),27.56)</f>
        <v>27.56</v>
      </c>
      <c r="AA154" s="154">
        <f t="shared" si="11"/>
        <v>-102408.8889</v>
      </c>
      <c r="AB154" s="155">
        <f t="shared" si="8"/>
        <v>3413.62963</v>
      </c>
      <c r="AC154" s="153">
        <f t="shared" si="9"/>
        <v>0</v>
      </c>
      <c r="AD154" s="31"/>
    </row>
    <row r="155" ht="22.5" customHeight="1">
      <c r="A155" s="129" t="s">
        <v>396</v>
      </c>
      <c r="B155" s="130" t="s">
        <v>610</v>
      </c>
      <c r="C155" s="131">
        <v>46084.0</v>
      </c>
      <c r="D155" s="131">
        <v>46129.0</v>
      </c>
      <c r="E155" s="30" t="s">
        <v>516</v>
      </c>
      <c r="F155" s="132">
        <v>1.0</v>
      </c>
      <c r="G155" s="30" t="s">
        <v>455</v>
      </c>
      <c r="H155" s="133">
        <v>20.0</v>
      </c>
      <c r="I155" s="30">
        <v>1.01048</v>
      </c>
      <c r="J155" s="30">
        <v>1.0</v>
      </c>
      <c r="K155" s="30">
        <v>100.0</v>
      </c>
      <c r="L155" s="148">
        <f>IFERROR(__xludf.DUMMYFUNCTION("QUERY(OptionPositionsLog, ""SELECT E WHERE B = '"" &amp; $B155  &amp; ""' ORDER BY A DESC LIMIT 1"")"),1.41)</f>
        <v>1.41</v>
      </c>
      <c r="M155" s="30"/>
      <c r="N155" s="140">
        <f t="shared" si="1"/>
        <v>141</v>
      </c>
      <c r="O155" s="140">
        <f t="shared" si="2"/>
        <v>0.39952</v>
      </c>
      <c r="P155" s="149">
        <f t="shared" si="3"/>
        <v>39.952</v>
      </c>
      <c r="Q155" s="138">
        <f t="shared" si="4"/>
        <v>40</v>
      </c>
      <c r="R155" s="150">
        <f t="shared" si="5"/>
        <v>0</v>
      </c>
      <c r="S155" s="140">
        <f t="shared" si="6"/>
        <v>0</v>
      </c>
      <c r="T155" s="140">
        <f>IFERROR(__xludf.DUMMYFUNCTION("IF(ISBLANK($M155), QUERY(OptionPositionsLog!$A$2:$K796, ""SELECT F WHERE B = '"" &amp; $B155  &amp; ""' ORDER BY A DESC LIMIT 1""), 0)"),1.41)</f>
        <v>1.41</v>
      </c>
      <c r="U155" s="140">
        <f>IFERROR(__xludf.DUMMYFUNCTION("IF(ISBLANK($M155), QUERY(OptionPositionsLog!$A$2:$K796, ""SELECT G WHERE B = '"" &amp; $B155  &amp; ""' ORDER BY A DESC LIMIT 1"")*F155, 0)"),-0.41974079)</f>
        <v>-0.41974079</v>
      </c>
      <c r="V155" s="140">
        <f>IFERROR(__xludf.DUMMYFUNCTION("IF(ISBLANK($M155), QUERY(OptionPositionsLog!$A$2:$K796, ""SELECT H WHERE B = '"" &amp; $B155  &amp; ""' ORDER BY A DESC LIMIT 1"")*F155, 0)"),-0.0200958)</f>
        <v>-0.0200958</v>
      </c>
      <c r="W155" s="140">
        <f>IFERROR(__xludf.DUMMYFUNCTION("IF(ISBLANK($M155), QUERY(OptionPositionsLog!$A$2:$K796, ""SELECT I WHERE B = '"" &amp; $B155  &amp; ""' ORDER BY A DESC LIMIT 1""), 0)"),0.09660399)</f>
        <v>0.09660399</v>
      </c>
      <c r="X155" s="140">
        <f>IFERROR(__xludf.DUMMYFUNCTION("IF(ISBLANK($M155), QUERY(OptionPositionsLog!$A$2:$K796, ""SELECT J WHERE B = '"" &amp; $B155  &amp; ""' ORDER BY A DESC LIMIT 1""), 0)"),0.02567308)</f>
        <v>0.02567308</v>
      </c>
      <c r="Y155" s="140">
        <f>IFERROR(__xludf.DUMMYFUNCTION("IF(ISBLANK($M155), QUERY(OptionPositionsLog!$A$2:$K796, ""SELECT D WHERE B = '"" &amp; $B155  &amp; ""' ORDER BY A DESC LIMIT 1"")*100, """")"),62.0)</f>
        <v>62</v>
      </c>
      <c r="Z155" s="148">
        <f>IFERROR(__xludf.DUMMYFUNCTION("QUERY(OptionPositionsLog, ""SELECT K WHERE B = '"" &amp; $B155  &amp; ""' ORDER BY K DESC LIMIT 1"")"),124.89)</f>
        <v>124.89</v>
      </c>
      <c r="AA155" s="154">
        <f t="shared" si="11"/>
        <v>-102408.8889</v>
      </c>
      <c r="AB155" s="155">
        <f t="shared" si="8"/>
        <v>-2560.222222</v>
      </c>
      <c r="AC155" s="153">
        <f t="shared" si="9"/>
        <v>0</v>
      </c>
      <c r="AD155" s="31"/>
    </row>
    <row r="156" ht="22.5" customHeight="1">
      <c r="A156" s="129" t="s">
        <v>392</v>
      </c>
      <c r="B156" s="130" t="s">
        <v>611</v>
      </c>
      <c r="C156" s="131">
        <v>46084.0</v>
      </c>
      <c r="D156" s="131">
        <v>46129.0</v>
      </c>
      <c r="E156" s="30" t="s">
        <v>516</v>
      </c>
      <c r="F156" s="132">
        <v>1.0</v>
      </c>
      <c r="G156" s="30" t="s">
        <v>459</v>
      </c>
      <c r="H156" s="133">
        <v>52.5</v>
      </c>
      <c r="I156" s="30">
        <v>0.26248</v>
      </c>
      <c r="J156" s="30">
        <v>1.0</v>
      </c>
      <c r="K156" s="30">
        <v>100.0</v>
      </c>
      <c r="L156" s="148">
        <f>IFERROR(__xludf.DUMMYFUNCTION("QUERY(OptionPositionsLog, ""SELECT E WHERE B = '"" &amp; $B156  &amp; ""' ORDER BY A DESC LIMIT 1"")"),0.0)</f>
        <v>0</v>
      </c>
      <c r="M156" s="30"/>
      <c r="N156" s="140">
        <f t="shared" si="1"/>
        <v>0</v>
      </c>
      <c r="O156" s="140">
        <f t="shared" si="2"/>
        <v>-0.26248</v>
      </c>
      <c r="P156" s="149">
        <f t="shared" si="3"/>
        <v>-26.248</v>
      </c>
      <c r="Q156" s="138">
        <f t="shared" si="4"/>
        <v>-100</v>
      </c>
      <c r="R156" s="150">
        <f t="shared" si="5"/>
        <v>0</v>
      </c>
      <c r="S156" s="140">
        <f t="shared" si="6"/>
        <v>0</v>
      </c>
      <c r="T156" s="140">
        <f>IFERROR(__xludf.DUMMYFUNCTION("IF(ISBLANK($M156), QUERY(OptionPositionsLog!$A$2:$K796, ""SELECT F WHERE B = '"" &amp; $B156  &amp; ""' ORDER BY A DESC LIMIT 1""), 0)"),0.0)</f>
        <v>0</v>
      </c>
      <c r="U156" s="140">
        <f>IFERROR(__xludf.DUMMYFUNCTION("IF(ISBLANK($M156), QUERY(OptionPositionsLog!$A$2:$K796, ""SELECT G WHERE B = '"" &amp; $B156  &amp; ""' ORDER BY A DESC LIMIT 1"")*F156, 0)"),0.04898861)</f>
        <v>0.04898861</v>
      </c>
      <c r="V156" s="140">
        <f>IFERROR(__xludf.DUMMYFUNCTION("IF(ISBLANK($M156), QUERY(OptionPositionsLog!$A$2:$K796, ""SELECT H WHERE B = '"" &amp; $B156  &amp; ""' ORDER BY A DESC LIMIT 1"")*F156, 0)"),-0.00628672)</f>
        <v>-0.00628672</v>
      </c>
      <c r="W156" s="140">
        <f>IFERROR(__xludf.DUMMYFUNCTION("IF(ISBLANK($M156), QUERY(OptionPositionsLog!$A$2:$K796, ""SELECT I WHERE B = '"" &amp; $B156  &amp; ""' ORDER BY A DESC LIMIT 1""), 0)"),0.02359582)</f>
        <v>0.02359582</v>
      </c>
      <c r="X156" s="140">
        <f>IFERROR(__xludf.DUMMYFUNCTION("IF(ISBLANK($M156), QUERY(OptionPositionsLog!$A$2:$K796, ""SELECT J WHERE B = '"" &amp; $B156  &amp; ""' ORDER BY A DESC LIMIT 1""), 0)"),0.01581078)</f>
        <v>0.01581078</v>
      </c>
      <c r="Y156" s="140">
        <f>IFERROR(__xludf.DUMMYFUNCTION("IF(ISBLANK($M156), QUERY(OptionPositionsLog!$A$2:$K796, ""SELECT D WHERE B = '"" &amp; $B156  &amp; ""' ORDER BY A DESC LIMIT 1"")*100, """")"),28.000000000000004)</f>
        <v>28</v>
      </c>
      <c r="Z156" s="148">
        <f>IFERROR(__xludf.DUMMYFUNCTION("QUERY(OptionPositionsLog, ""SELECT K WHERE B = '"" &amp; $B156  &amp; ""' ORDER BY K DESC LIMIT 1"")"),16.56)</f>
        <v>16.56</v>
      </c>
      <c r="AA156" s="154">
        <f t="shared" si="11"/>
        <v>-102408.8889</v>
      </c>
      <c r="AB156" s="155">
        <f t="shared" si="8"/>
        <v>1024.088889</v>
      </c>
      <c r="AC156" s="153">
        <f t="shared" si="9"/>
        <v>0</v>
      </c>
      <c r="AD156" s="31"/>
    </row>
    <row r="157" ht="22.5" customHeight="1">
      <c r="A157" s="129" t="s">
        <v>392</v>
      </c>
      <c r="B157" s="130" t="s">
        <v>612</v>
      </c>
      <c r="C157" s="131">
        <v>46084.0</v>
      </c>
      <c r="D157" s="131">
        <v>46129.0</v>
      </c>
      <c r="E157" s="30" t="s">
        <v>516</v>
      </c>
      <c r="F157" s="132">
        <v>1.0</v>
      </c>
      <c r="G157" s="30" t="s">
        <v>455</v>
      </c>
      <c r="H157" s="133">
        <v>42.5</v>
      </c>
      <c r="I157" s="30">
        <v>0.45248</v>
      </c>
      <c r="J157" s="30">
        <v>1.0</v>
      </c>
      <c r="K157" s="30">
        <v>100.0</v>
      </c>
      <c r="L157" s="148">
        <f>IFERROR(__xludf.DUMMYFUNCTION("QUERY(OptionPositionsLog, ""SELECT E WHERE B = '"" &amp; $B157  &amp; ""' ORDER BY A DESC LIMIT 1"")"),0.8)</f>
        <v>0.8</v>
      </c>
      <c r="M157" s="30"/>
      <c r="N157" s="140">
        <f t="shared" si="1"/>
        <v>80</v>
      </c>
      <c r="O157" s="140">
        <f t="shared" si="2"/>
        <v>0.34752</v>
      </c>
      <c r="P157" s="149">
        <f t="shared" si="3"/>
        <v>34.752</v>
      </c>
      <c r="Q157" s="138">
        <f t="shared" si="4"/>
        <v>77</v>
      </c>
      <c r="R157" s="150">
        <f t="shared" si="5"/>
        <v>0</v>
      </c>
      <c r="S157" s="140">
        <f t="shared" si="6"/>
        <v>0</v>
      </c>
      <c r="T157" s="140">
        <f>IFERROR(__xludf.DUMMYFUNCTION("IF(ISBLANK($M157), QUERY(OptionPositionsLog!$A$2:$K796, ""SELECT F WHERE B = '"" &amp; $B157  &amp; ""' ORDER BY A DESC LIMIT 1""), 0)"),0.8)</f>
        <v>0.8</v>
      </c>
      <c r="U157" s="140">
        <f>IFERROR(__xludf.DUMMYFUNCTION("IF(ISBLANK($M157), QUERY(OptionPositionsLog!$A$2:$K796, ""SELECT G WHERE B = '"" &amp; $B157  &amp; ""' ORDER BY A DESC LIMIT 1"")*F157, 0)"),-0.32279404)</f>
        <v>-0.32279404</v>
      </c>
      <c r="V157" s="140">
        <f>IFERROR(__xludf.DUMMYFUNCTION("IF(ISBLANK($M157), QUERY(OptionPositionsLog!$A$2:$K796, ""SELECT H WHERE B = '"" &amp; $B157  &amp; ""' ORDER BY A DESC LIMIT 1"")*F157, 0)"),-0.01758339)</f>
        <v>-0.01758339</v>
      </c>
      <c r="W157" s="140">
        <f>IFERROR(__xludf.DUMMYFUNCTION("IF(ISBLANK($M157), QUERY(OptionPositionsLog!$A$2:$K796, ""SELECT I WHERE B = '"" &amp; $B157  &amp; ""' ORDER BY A DESC LIMIT 1""), 0)"),0.09085838)</f>
        <v>0.09085838</v>
      </c>
      <c r="X157" s="140">
        <f>IFERROR(__xludf.DUMMYFUNCTION("IF(ISBLANK($M157), QUERY(OptionPositionsLog!$A$2:$K796, ""SELECT J WHERE B = '"" &amp; $B157  &amp; ""' ORDER BY A DESC LIMIT 1""), 0)"),0.05231209)</f>
        <v>0.05231209</v>
      </c>
      <c r="Y157" s="140">
        <f>IFERROR(__xludf.DUMMYFUNCTION("IF(ISBLANK($M157), QUERY(OptionPositionsLog!$A$2:$K796, ""SELECT D WHERE B = '"" &amp; $B157  &amp; ""' ORDER BY A DESC LIMIT 1"")*100, """")"),28.000000000000004)</f>
        <v>28</v>
      </c>
      <c r="Z157" s="148">
        <f>IFERROR(__xludf.DUMMYFUNCTION("QUERY(OptionPositionsLog, ""SELECT K WHERE B = '"" &amp; $B157  &amp; ""' ORDER BY K DESC LIMIT 1"")"),77.77)</f>
        <v>77.77</v>
      </c>
      <c r="AA157" s="154">
        <f t="shared" si="11"/>
        <v>-102408.8889</v>
      </c>
      <c r="AB157" s="155">
        <f t="shared" si="8"/>
        <v>-1329.98557</v>
      </c>
      <c r="AC157" s="153">
        <f t="shared" si="9"/>
        <v>0</v>
      </c>
      <c r="AD157" s="31"/>
    </row>
    <row r="158" ht="22.5" customHeight="1">
      <c r="A158" s="129" t="s">
        <v>286</v>
      </c>
      <c r="B158" s="130" t="s">
        <v>613</v>
      </c>
      <c r="C158" s="131">
        <v>46085.0</v>
      </c>
      <c r="D158" s="131">
        <v>46129.0</v>
      </c>
      <c r="E158" s="30" t="s">
        <v>516</v>
      </c>
      <c r="F158" s="132">
        <v>1.0</v>
      </c>
      <c r="G158" s="30" t="s">
        <v>459</v>
      </c>
      <c r="H158" s="133">
        <v>31.0</v>
      </c>
      <c r="I158" s="30">
        <v>0.27048</v>
      </c>
      <c r="J158" s="30">
        <v>1.0</v>
      </c>
      <c r="K158" s="30">
        <v>100.0</v>
      </c>
      <c r="L158" s="148">
        <f>IFERROR(__xludf.DUMMYFUNCTION("QUERY(OptionPositionsLog, ""SELECT E WHERE B = '"" &amp; $B158  &amp; ""' ORDER BY A DESC LIMIT 1"")"),0.11)</f>
        <v>0.11</v>
      </c>
      <c r="M158" s="30"/>
      <c r="N158" s="140">
        <f t="shared" si="1"/>
        <v>11</v>
      </c>
      <c r="O158" s="140">
        <f t="shared" si="2"/>
        <v>-0.16048</v>
      </c>
      <c r="P158" s="149">
        <f t="shared" si="3"/>
        <v>-16.048</v>
      </c>
      <c r="Q158" s="138">
        <f t="shared" si="4"/>
        <v>-59</v>
      </c>
      <c r="R158" s="150">
        <f t="shared" si="5"/>
        <v>0</v>
      </c>
      <c r="S158" s="140">
        <f t="shared" si="6"/>
        <v>0</v>
      </c>
      <c r="T158" s="140">
        <f>IFERROR(__xludf.DUMMYFUNCTION("IF(ISBLANK($M158), QUERY(OptionPositionsLog!$A$2:$K796, ""SELECT F WHERE B = '"" &amp; $B158  &amp; ""' ORDER BY A DESC LIMIT 1""), 0)"),0.11)</f>
        <v>0.11</v>
      </c>
      <c r="U158" s="140">
        <f>IFERROR(__xludf.DUMMYFUNCTION("IF(ISBLANK($M158), QUERY(OptionPositionsLog!$A$2:$K796, ""SELECT G WHERE B = '"" &amp; $B158  &amp; ""' ORDER BY A DESC LIMIT 1"")*F158, 0)"),0.10325278)</f>
        <v>0.10325278</v>
      </c>
      <c r="V158" s="140">
        <f>IFERROR(__xludf.DUMMYFUNCTION("IF(ISBLANK($M158), QUERY(OptionPositionsLog!$A$2:$K796, ""SELECT H WHERE B = '"" &amp; $B158  &amp; ""' ORDER BY A DESC LIMIT 1"")*F158, 0)"),-0.00618844)</f>
        <v>-0.00618844</v>
      </c>
      <c r="W158" s="140">
        <f>IFERROR(__xludf.DUMMYFUNCTION("IF(ISBLANK($M158), QUERY(OptionPositionsLog!$A$2:$K796, ""SELECT I WHERE B = '"" &amp; $B158  &amp; ""' ORDER BY A DESC LIMIT 1""), 0)"),0.07689092)</f>
        <v>0.07689092</v>
      </c>
      <c r="X158" s="140">
        <f>IFERROR(__xludf.DUMMYFUNCTION("IF(ISBLANK($M158), QUERY(OptionPositionsLog!$A$2:$K796, ""SELECT J WHERE B = '"" &amp; $B158  &amp; ""' ORDER BY A DESC LIMIT 1""), 0)"),0.01743411)</f>
        <v>0.01743411</v>
      </c>
      <c r="Y158" s="140">
        <f>IFERROR(__xludf.DUMMYFUNCTION("IF(ISBLANK($M158), QUERY(OptionPositionsLog!$A$2:$K796, ""SELECT D WHERE B = '"" &amp; $B158  &amp; ""' ORDER BY A DESC LIMIT 1"")*100, """")"),27.0)</f>
        <v>27</v>
      </c>
      <c r="Z158" s="148">
        <f>IFERROR(__xludf.DUMMYFUNCTION("QUERY(OptionPositionsLog, ""SELECT K WHERE B = '"" &amp; $B158  &amp; ""' ORDER BY K DESC LIMIT 1"")"),22.16)</f>
        <v>22.16</v>
      </c>
      <c r="AA158" s="154">
        <f t="shared" si="11"/>
        <v>-104738.6364</v>
      </c>
      <c r="AB158" s="155">
        <f t="shared" si="8"/>
        <v>1775.231125</v>
      </c>
      <c r="AC158" s="153">
        <f t="shared" si="9"/>
        <v>0</v>
      </c>
      <c r="AD158" s="31"/>
    </row>
    <row r="159" ht="22.5" customHeight="1">
      <c r="A159" s="129" t="s">
        <v>318</v>
      </c>
      <c r="B159" s="130" t="s">
        <v>614</v>
      </c>
      <c r="C159" s="131">
        <v>46085.0</v>
      </c>
      <c r="D159" s="131">
        <v>46129.0</v>
      </c>
      <c r="E159" s="30" t="s">
        <v>516</v>
      </c>
      <c r="F159" s="132">
        <v>1.0</v>
      </c>
      <c r="G159" s="30" t="s">
        <v>459</v>
      </c>
      <c r="H159" s="133">
        <v>55.0</v>
      </c>
      <c r="I159" s="30">
        <v>0.3605</v>
      </c>
      <c r="J159" s="30">
        <v>1.0</v>
      </c>
      <c r="K159" s="30">
        <v>100.0</v>
      </c>
      <c r="L159" s="148">
        <f>IFERROR(__xludf.DUMMYFUNCTION("QUERY(OptionPositionsLog, ""SELECT E WHERE B = '"" &amp; $B159  &amp; ""' ORDER BY A DESC LIMIT 1"")"),0.22)</f>
        <v>0.22</v>
      </c>
      <c r="M159" s="30"/>
      <c r="N159" s="140">
        <f t="shared" si="1"/>
        <v>22</v>
      </c>
      <c r="O159" s="140">
        <f t="shared" si="2"/>
        <v>-0.1405</v>
      </c>
      <c r="P159" s="149">
        <f t="shared" si="3"/>
        <v>-14.05</v>
      </c>
      <c r="Q159" s="138">
        <f t="shared" si="4"/>
        <v>-39</v>
      </c>
      <c r="R159" s="150">
        <f t="shared" si="5"/>
        <v>0</v>
      </c>
      <c r="S159" s="140">
        <f t="shared" si="6"/>
        <v>0</v>
      </c>
      <c r="T159" s="140">
        <f>IFERROR(__xludf.DUMMYFUNCTION("IF(ISBLANK($M159), QUERY(OptionPositionsLog!$A$2:$K796, ""SELECT F WHERE B = '"" &amp; $B159  &amp; ""' ORDER BY A DESC LIMIT 1""), 0)"),0.22)</f>
        <v>0.22</v>
      </c>
      <c r="U159" s="140">
        <f>IFERROR(__xludf.DUMMYFUNCTION("IF(ISBLANK($M159), QUERY(OptionPositionsLog!$A$2:$K796, ""SELECT G WHERE B = '"" &amp; $B159  &amp; ""' ORDER BY A DESC LIMIT 1"")*F159, 0)"),0.13350187)</f>
        <v>0.13350187</v>
      </c>
      <c r="V159" s="140">
        <f>IFERROR(__xludf.DUMMYFUNCTION("IF(ISBLANK($M159), QUERY(OptionPositionsLog!$A$2:$K796, ""SELECT H WHERE B = '"" &amp; $B159  &amp; ""' ORDER BY A DESC LIMIT 1"")*F159, 0)"),-0.01167875)</f>
        <v>-0.01167875</v>
      </c>
      <c r="W159" s="140">
        <f>IFERROR(__xludf.DUMMYFUNCTION("IF(ISBLANK($M159), QUERY(OptionPositionsLog!$A$2:$K796, ""SELECT I WHERE B = '"" &amp; $B159  &amp; ""' ORDER BY A DESC LIMIT 1""), 0)"),0.06199145)</f>
        <v>0.06199145</v>
      </c>
      <c r="X159" s="140">
        <f>IFERROR(__xludf.DUMMYFUNCTION("IF(ISBLANK($M159), QUERY(OptionPositionsLog!$A$2:$K796, ""SELECT J WHERE B = '"" &amp; $B159  &amp; ""' ORDER BY A DESC LIMIT 1""), 0)"),0.03502232)</f>
        <v>0.03502232</v>
      </c>
      <c r="Y159" s="140">
        <f>IFERROR(__xludf.DUMMYFUNCTION("IF(ISBLANK($M159), QUERY(OptionPositionsLog!$A$2:$K796, ""SELECT D WHERE B = '"" &amp; $B159  &amp; ""' ORDER BY A DESC LIMIT 1"")*100, """")"),23.0)</f>
        <v>23</v>
      </c>
      <c r="Z159" s="148">
        <f>IFERROR(__xludf.DUMMYFUNCTION("QUERY(OptionPositionsLog, ""SELECT K WHERE B = '"" &amp; $B159  &amp; ""' ORDER BY K DESC LIMIT 1"")"),31.36)</f>
        <v>31.36</v>
      </c>
      <c r="AA159" s="154">
        <f t="shared" si="11"/>
        <v>-104738.6364</v>
      </c>
      <c r="AB159" s="155">
        <f t="shared" si="8"/>
        <v>2685.606061</v>
      </c>
      <c r="AC159" s="153">
        <f t="shared" si="9"/>
        <v>0</v>
      </c>
      <c r="AD159" s="31"/>
    </row>
    <row r="160" ht="22.5" customHeight="1">
      <c r="A160" s="129" t="s">
        <v>408</v>
      </c>
      <c r="B160" s="130" t="s">
        <v>615</v>
      </c>
      <c r="C160" s="131">
        <v>46087.0</v>
      </c>
      <c r="D160" s="131">
        <v>46191.0</v>
      </c>
      <c r="E160" s="30" t="s">
        <v>516</v>
      </c>
      <c r="F160" s="132">
        <v>-1.0</v>
      </c>
      <c r="G160" s="30" t="s">
        <v>459</v>
      </c>
      <c r="H160" s="133">
        <v>40.0</v>
      </c>
      <c r="I160" s="30">
        <v>1.17299</v>
      </c>
      <c r="J160" s="30">
        <v>1.0</v>
      </c>
      <c r="K160" s="30">
        <v>100.0</v>
      </c>
      <c r="L160" s="148">
        <f>IFERROR(__xludf.DUMMYFUNCTION("QUERY(OptionPositionsLog, ""SELECT E WHERE B = '"" &amp; $B160  &amp; ""' ORDER BY A DESC LIMIT 1"")"),1.56)</f>
        <v>1.56</v>
      </c>
      <c r="M160" s="30"/>
      <c r="N160" s="140">
        <f t="shared" si="1"/>
        <v>156</v>
      </c>
      <c r="O160" s="140">
        <f t="shared" si="2"/>
        <v>-0.38701</v>
      </c>
      <c r="P160" s="149">
        <f t="shared" si="3"/>
        <v>-38.701</v>
      </c>
      <c r="Q160" s="138">
        <f t="shared" si="4"/>
        <v>-33</v>
      </c>
      <c r="R160" s="150">
        <f t="shared" si="5"/>
        <v>0</v>
      </c>
      <c r="S160" s="140">
        <f t="shared" si="6"/>
        <v>0</v>
      </c>
      <c r="T160" s="140">
        <f>IFERROR(__xludf.DUMMYFUNCTION("IF(ISBLANK($M160), QUERY(OptionPositionsLog!$A$2:$K796, ""SELECT F WHERE B = '"" &amp; $B160  &amp; ""' ORDER BY A DESC LIMIT 1""), 0)"),1.56)</f>
        <v>1.56</v>
      </c>
      <c r="U160" s="140">
        <f>IFERROR(__xludf.DUMMYFUNCTION("IF(ISBLANK($M160), QUERY(OptionPositionsLog!$A$2:$K796, ""SELECT G WHERE B = '"" &amp; $B160  &amp; ""' ORDER BY A DESC LIMIT 1"")*F160, 0)"),-0.40375031)</f>
        <v>-0.40375031</v>
      </c>
      <c r="V160" s="140">
        <f>IFERROR(__xludf.DUMMYFUNCTION("IF(ISBLANK($M160), QUERY(OptionPositionsLog!$A$2:$K796, ""SELECT H WHERE B = '"" &amp; $B160  &amp; ""' ORDER BY A DESC LIMIT 1"")*F160, 0)"),0.01338261)</f>
        <v>0.01338261</v>
      </c>
      <c r="W160" s="140">
        <f>IFERROR(__xludf.DUMMYFUNCTION("IF(ISBLANK($M160), QUERY(OptionPositionsLog!$A$2:$K796, ""SELECT I WHERE B = '"" &amp; $B160  &amp; ""' ORDER BY A DESC LIMIT 1""), 0)"),0.06476192)</f>
        <v>0.06476192</v>
      </c>
      <c r="X160" s="140">
        <f>IFERROR(__xludf.DUMMYFUNCTION("IF(ISBLANK($M160), QUERY(OptionPositionsLog!$A$2:$K796, ""SELECT J WHERE B = '"" &amp; $B160  &amp; ""' ORDER BY A DESC LIMIT 1""), 0)"),0.07487596)</f>
        <v>0.07487596</v>
      </c>
      <c r="Y160" s="140">
        <f>IFERROR(__xludf.DUMMYFUNCTION("IF(ISBLANK($M160), QUERY(OptionPositionsLog!$A$2:$K796, ""SELECT D WHERE B = '"" &amp; $B160  &amp; ""' ORDER BY A DESC LIMIT 1"")*100, """")"),31.0)</f>
        <v>31</v>
      </c>
      <c r="Z160" s="148">
        <f>IFERROR(__xludf.DUMMYFUNCTION("QUERY(OptionPositionsLog, ""SELECT K WHERE B = '"" &amp; $B160  &amp; ""' ORDER BY K DESC LIMIT 1"")"),136.44)</f>
        <v>136.44</v>
      </c>
      <c r="AA160" s="154">
        <f t="shared" si="11"/>
        <v>-44314.42308</v>
      </c>
      <c r="AB160" s="155">
        <f t="shared" si="8"/>
        <v>1342.861305</v>
      </c>
      <c r="AC160" s="153">
        <f t="shared" si="9"/>
        <v>0</v>
      </c>
      <c r="AD160" s="31"/>
    </row>
    <row r="161" ht="22.5" customHeight="1">
      <c r="A161" s="129" t="s">
        <v>408</v>
      </c>
      <c r="B161" s="130" t="s">
        <v>616</v>
      </c>
      <c r="C161" s="131">
        <v>46087.0</v>
      </c>
      <c r="D161" s="131">
        <v>46191.0</v>
      </c>
      <c r="E161" s="30" t="s">
        <v>516</v>
      </c>
      <c r="F161" s="132">
        <v>1.0</v>
      </c>
      <c r="G161" s="30" t="s">
        <v>459</v>
      </c>
      <c r="H161" s="133">
        <v>37.0</v>
      </c>
      <c r="I161" s="30">
        <v>2.31698</v>
      </c>
      <c r="J161" s="30">
        <v>1.0</v>
      </c>
      <c r="K161" s="30">
        <v>100.0</v>
      </c>
      <c r="L161" s="148">
        <f>IFERROR(__xludf.DUMMYFUNCTION("QUERY(OptionPositionsLog, ""SELECT E WHERE B = '"" &amp; $B161  &amp; ""' ORDER BY A DESC LIMIT 1"")"),3.15)</f>
        <v>3.15</v>
      </c>
      <c r="M161" s="30"/>
      <c r="N161" s="140">
        <f t="shared" si="1"/>
        <v>315</v>
      </c>
      <c r="O161" s="140">
        <f t="shared" si="2"/>
        <v>0.83302</v>
      </c>
      <c r="P161" s="149">
        <f t="shared" si="3"/>
        <v>83.302</v>
      </c>
      <c r="Q161" s="138">
        <f t="shared" si="4"/>
        <v>36</v>
      </c>
      <c r="R161" s="150">
        <f t="shared" si="5"/>
        <v>0</v>
      </c>
      <c r="S161" s="140">
        <f t="shared" si="6"/>
        <v>0</v>
      </c>
      <c r="T161" s="140">
        <f>IFERROR(__xludf.DUMMYFUNCTION("IF(ISBLANK($M161), QUERY(OptionPositionsLog!$A$2:$K796, ""SELECT F WHERE B = '"" &amp; $B161  &amp; ""' ORDER BY A DESC LIMIT 1""), 0)"),2.62)</f>
        <v>2.62</v>
      </c>
      <c r="U161" s="140">
        <f>IFERROR(__xludf.DUMMYFUNCTION("IF(ISBLANK($M161), QUERY(OptionPositionsLog!$A$2:$K796, ""SELECT G WHERE B = '"" &amp; $B161  &amp; ""' ORDER BY A DESC LIMIT 1"")*F161, 0)"),0.59504943)</f>
        <v>0.59504943</v>
      </c>
      <c r="V161" s="140">
        <f>IFERROR(__xludf.DUMMYFUNCTION("IF(ISBLANK($M161), QUERY(OptionPositionsLog!$A$2:$K796, ""SELECT H WHERE B = '"" &amp; $B161  &amp; ""' ORDER BY A DESC LIMIT 1"")*F161, 0)"),-0.01418645)</f>
        <v>-0.01418645</v>
      </c>
      <c r="W161" s="140">
        <f>IFERROR(__xludf.DUMMYFUNCTION("IF(ISBLANK($M161), QUERY(OptionPositionsLog!$A$2:$K796, ""SELECT I WHERE B = '"" &amp; $B161  &amp; ""' ORDER BY A DESC LIMIT 1""), 0)"),0.06211547)</f>
        <v>0.06211547</v>
      </c>
      <c r="X161" s="140">
        <f>IFERROR(__xludf.DUMMYFUNCTION("IF(ISBLANK($M161), QUERY(OptionPositionsLog!$A$2:$K796, ""SELECT J WHERE B = '"" &amp; $B161  &amp; ""' ORDER BY A DESC LIMIT 1""), 0)"),0.07528607)</f>
        <v>0.07528607</v>
      </c>
      <c r="Y161" s="140">
        <f>IFERROR(__xludf.DUMMYFUNCTION("IF(ISBLANK($M161), QUERY(OptionPositionsLog!$A$2:$K796, ""SELECT D WHERE B = '"" &amp; $B161  &amp; ""' ORDER BY A DESC LIMIT 1"")*100, """")"),33.0)</f>
        <v>33</v>
      </c>
      <c r="Z161" s="148">
        <f>IFERROR(__xludf.DUMMYFUNCTION("QUERY(OptionPositionsLog, ""SELECT K WHERE B = '"" &amp; $B161  &amp; ""' ORDER BY K DESC LIMIT 1"")"),262.19)</f>
        <v>262.19</v>
      </c>
      <c r="AA161" s="154">
        <f t="shared" si="11"/>
        <v>-44314.42308</v>
      </c>
      <c r="AB161" s="155">
        <f t="shared" si="8"/>
        <v>-1230.956197</v>
      </c>
      <c r="AC161" s="153">
        <f t="shared" si="9"/>
        <v>0</v>
      </c>
      <c r="AD161" s="31"/>
    </row>
    <row r="162" ht="22.5" customHeight="1">
      <c r="A162" s="129" t="s">
        <v>406</v>
      </c>
      <c r="B162" s="130" t="s">
        <v>617</v>
      </c>
      <c r="C162" s="131">
        <v>46087.0</v>
      </c>
      <c r="D162" s="131">
        <v>46157.0</v>
      </c>
      <c r="E162" s="30" t="s">
        <v>516</v>
      </c>
      <c r="F162" s="132">
        <v>1.0</v>
      </c>
      <c r="G162" s="30" t="s">
        <v>459</v>
      </c>
      <c r="H162" s="133">
        <v>37.0</v>
      </c>
      <c r="I162" s="30">
        <v>1.36798</v>
      </c>
      <c r="J162" s="30">
        <v>1.0</v>
      </c>
      <c r="K162" s="30">
        <v>100.0</v>
      </c>
      <c r="L162" s="148">
        <f>IFERROR(__xludf.DUMMYFUNCTION("QUERY(OptionPositionsLog, ""SELECT E WHERE B = '"" &amp; $B162  &amp; ""' ORDER BY A DESC LIMIT 1"")"),1.65)</f>
        <v>1.65</v>
      </c>
      <c r="M162" s="30"/>
      <c r="N162" s="140">
        <f t="shared" si="1"/>
        <v>165</v>
      </c>
      <c r="O162" s="140">
        <f t="shared" si="2"/>
        <v>0.28202</v>
      </c>
      <c r="P162" s="149">
        <f t="shared" si="3"/>
        <v>28.202</v>
      </c>
      <c r="Q162" s="138">
        <f t="shared" si="4"/>
        <v>21</v>
      </c>
      <c r="R162" s="150">
        <f t="shared" si="5"/>
        <v>0</v>
      </c>
      <c r="S162" s="140">
        <f t="shared" si="6"/>
        <v>0</v>
      </c>
      <c r="T162" s="140">
        <f>IFERROR(__xludf.DUMMYFUNCTION("IF(ISBLANK($M162), QUERY(OptionPositionsLog!$A$2:$K796, ""SELECT F WHERE B = '"" &amp; $B162  &amp; ""' ORDER BY A DESC LIMIT 1""), 0)"),1.65)</f>
        <v>1.65</v>
      </c>
      <c r="U162" s="140">
        <f>IFERROR(__xludf.DUMMYFUNCTION("IF(ISBLANK($M162), QUERY(OptionPositionsLog!$A$2:$K796, ""SELECT G WHERE B = '"" &amp; $B162  &amp; ""' ORDER BY A DESC LIMIT 1"")*F162, 0)"),0.5076949)</f>
        <v>0.5076949</v>
      </c>
      <c r="V162" s="140">
        <f>IFERROR(__xludf.DUMMYFUNCTION("IF(ISBLANK($M162), QUERY(OptionPositionsLog!$A$2:$K796, ""SELECT H WHERE B = '"" &amp; $B162  &amp; ""' ORDER BY A DESC LIMIT 1"")*F162, 0)"),-0.0137734)</f>
        <v>-0.0137734</v>
      </c>
      <c r="W162" s="140">
        <f>IFERROR(__xludf.DUMMYFUNCTION("IF(ISBLANK($M162), QUERY(OptionPositionsLog!$A$2:$K796, ""SELECT I WHERE B = '"" &amp; $B162  &amp; ""' ORDER BY A DESC LIMIT 1""), 0)"),0.10171805)</f>
        <v>0.10171805</v>
      </c>
      <c r="X162" s="140">
        <f>IFERROR(__xludf.DUMMYFUNCTION("IF(ISBLANK($M162), QUERY(OptionPositionsLog!$A$2:$K796, ""SELECT J WHERE B = '"" &amp; $B162  &amp; ""' ORDER BY A DESC LIMIT 1""), 0)"),0.06222494)</f>
        <v>0.06222494</v>
      </c>
      <c r="Y162" s="140">
        <f>IFERROR(__xludf.DUMMYFUNCTION("IF(ISBLANK($M162), QUERY(OptionPositionsLog!$A$2:$K796, ""SELECT D WHERE B = '"" &amp; $B162  &amp; ""' ORDER BY A DESC LIMIT 1"")*100, """")"),25.0)</f>
        <v>25</v>
      </c>
      <c r="Z162" s="148">
        <f>IFERROR(__xludf.DUMMYFUNCTION("QUERY(OptionPositionsLog, ""SELECT K WHERE B = '"" &amp; $B162  &amp; ""' ORDER BY K DESC LIMIT 1"")"),120.38)</f>
        <v>120.38</v>
      </c>
      <c r="AA162" s="154">
        <f t="shared" si="11"/>
        <v>-65838.57143</v>
      </c>
      <c r="AB162" s="155">
        <f t="shared" si="8"/>
        <v>-3135.170068</v>
      </c>
      <c r="AC162" s="153">
        <f t="shared" si="9"/>
        <v>0</v>
      </c>
      <c r="AD162" s="31"/>
    </row>
    <row r="163" ht="22.5" customHeight="1">
      <c r="A163" s="129" t="s">
        <v>403</v>
      </c>
      <c r="B163" s="130" t="s">
        <v>618</v>
      </c>
      <c r="C163" s="131">
        <v>46087.0</v>
      </c>
      <c r="D163" s="131">
        <v>46129.0</v>
      </c>
      <c r="E163" s="30" t="s">
        <v>516</v>
      </c>
      <c r="F163" s="132">
        <v>1.0</v>
      </c>
      <c r="G163" s="30" t="s">
        <v>459</v>
      </c>
      <c r="H163" s="133">
        <v>29.0</v>
      </c>
      <c r="I163" s="30">
        <v>0.58048</v>
      </c>
      <c r="J163" s="30">
        <v>1.0</v>
      </c>
      <c r="K163" s="30">
        <v>100.0</v>
      </c>
      <c r="L163" s="148">
        <f>IFERROR(__xludf.DUMMYFUNCTION("QUERY(OptionPositionsLog, ""SELECT E WHERE B = '"" &amp; $B163  &amp; ""' ORDER BY A DESC LIMIT 1"")"),0.7)</f>
        <v>0.7</v>
      </c>
      <c r="M163" s="30"/>
      <c r="N163" s="140">
        <f t="shared" si="1"/>
        <v>70</v>
      </c>
      <c r="O163" s="140">
        <f t="shared" si="2"/>
        <v>0.11952</v>
      </c>
      <c r="P163" s="149">
        <f t="shared" si="3"/>
        <v>11.952</v>
      </c>
      <c r="Q163" s="138">
        <f t="shared" si="4"/>
        <v>21</v>
      </c>
      <c r="R163" s="150">
        <f t="shared" si="5"/>
        <v>0</v>
      </c>
      <c r="S163" s="140">
        <f t="shared" si="6"/>
        <v>0</v>
      </c>
      <c r="T163" s="140">
        <f>IFERROR(__xludf.DUMMYFUNCTION("IF(ISBLANK($M163), QUERY(OptionPositionsLog!$A$2:$K796, ""SELECT F WHERE B = '"" &amp; $B163  &amp; ""' ORDER BY A DESC LIMIT 1""), 0)"),0.7)</f>
        <v>0.7</v>
      </c>
      <c r="U163" s="140">
        <f>IFERROR(__xludf.DUMMYFUNCTION("IF(ISBLANK($M163), QUERY(OptionPositionsLog!$A$2:$K796, ""SELECT G WHERE B = '"" &amp; $B163  &amp; ""' ORDER BY A DESC LIMIT 1"")*F163, 0)"),0.3290272)</f>
        <v>0.3290272</v>
      </c>
      <c r="V163" s="140">
        <f>IFERROR(__xludf.DUMMYFUNCTION("IF(ISBLANK($M163), QUERY(OptionPositionsLog!$A$2:$K796, ""SELECT H WHERE B = '"" &amp; $B163  &amp; ""' ORDER BY A DESC LIMIT 1"")*F163, 0)"),-0.01573581)</f>
        <v>-0.01573581</v>
      </c>
      <c r="W163" s="140">
        <f>IFERROR(__xludf.DUMMYFUNCTION("IF(ISBLANK($M163), QUERY(OptionPositionsLog!$A$2:$K796, ""SELECT I WHERE B = '"" &amp; $B163  &amp; ""' ORDER BY A DESC LIMIT 1""), 0)"),0.12551094)</f>
        <v>0.12551094</v>
      </c>
      <c r="X163" s="140">
        <f>IFERROR(__xludf.DUMMYFUNCTION("IF(ISBLANK($M163), QUERY(OptionPositionsLog!$A$2:$K796, ""SELECT J WHERE B = '"" &amp; $B163  &amp; ""' ORDER BY A DESC LIMIT 1""), 0)"),0.03061073)</f>
        <v>0.03061073</v>
      </c>
      <c r="Y163" s="140">
        <f>IFERROR(__xludf.DUMMYFUNCTION("IF(ISBLANK($M163), QUERY(OptionPositionsLog!$A$2:$K796, ""SELECT D WHERE B = '"" &amp; $B163  &amp; ""' ORDER BY A DESC LIMIT 1"")*100, """")"),37.0)</f>
        <v>37</v>
      </c>
      <c r="Z163" s="148">
        <f>IFERROR(__xludf.DUMMYFUNCTION("QUERY(OptionPositionsLog, ""SELECT K WHERE B = '"" &amp; $B163  &amp; ""' ORDER BY K DESC LIMIT 1"")"),56.92)</f>
        <v>56.92</v>
      </c>
      <c r="AA163" s="154">
        <f t="shared" si="11"/>
        <v>-109730.9524</v>
      </c>
      <c r="AB163" s="155">
        <f t="shared" si="8"/>
        <v>-5225.283447</v>
      </c>
      <c r="AC163" s="153">
        <f t="shared" si="9"/>
        <v>0</v>
      </c>
      <c r="AD163" s="31"/>
    </row>
    <row r="164" ht="22.5" customHeight="1">
      <c r="A164" s="129" t="s">
        <v>374</v>
      </c>
      <c r="B164" s="130" t="s">
        <v>619</v>
      </c>
      <c r="C164" s="131">
        <v>46087.0</v>
      </c>
      <c r="D164" s="131">
        <v>46191.0</v>
      </c>
      <c r="E164" s="30" t="s">
        <v>516</v>
      </c>
      <c r="F164" s="132">
        <v>-1.0</v>
      </c>
      <c r="G164" s="30" t="s">
        <v>455</v>
      </c>
      <c r="H164" s="133">
        <v>80.0</v>
      </c>
      <c r="I164" s="30">
        <v>4.19299</v>
      </c>
      <c r="J164" s="30">
        <v>1.0</v>
      </c>
      <c r="K164" s="30">
        <v>100.0</v>
      </c>
      <c r="L164" s="148">
        <f>IFERROR(__xludf.DUMMYFUNCTION("QUERY(OptionPositionsLog, ""SELECT E WHERE B = '"" &amp; $B164  &amp; ""' ORDER BY A DESC LIMIT 1"")"),4.0)</f>
        <v>4</v>
      </c>
      <c r="M164" s="30"/>
      <c r="N164" s="140">
        <f t="shared" si="1"/>
        <v>400</v>
      </c>
      <c r="O164" s="140">
        <f t="shared" si="2"/>
        <v>0.19299</v>
      </c>
      <c r="P164" s="149">
        <f t="shared" si="3"/>
        <v>19.299</v>
      </c>
      <c r="Q164" s="138">
        <f t="shared" si="4"/>
        <v>5</v>
      </c>
      <c r="R164" s="150">
        <f t="shared" si="5"/>
        <v>0</v>
      </c>
      <c r="S164" s="140">
        <f t="shared" si="6"/>
        <v>0</v>
      </c>
      <c r="T164" s="140">
        <f>IFERROR(__xludf.DUMMYFUNCTION("IF(ISBLANK($M164), QUERY(OptionPositionsLog!$A$2:$K796, ""SELECT F WHERE B = '"" &amp; $B164  &amp; ""' ORDER BY A DESC LIMIT 1""), 0)"),4.0)</f>
        <v>4</v>
      </c>
      <c r="U164" s="140">
        <f>IFERROR(__xludf.DUMMYFUNCTION("IF(ISBLANK($M164), QUERY(OptionPositionsLog!$A$2:$K796, ""SELECT G WHERE B = '"" &amp; $B164  &amp; ""' ORDER BY A DESC LIMIT 1"")*F164, 0)"),0.16353568)</f>
        <v>0.16353568</v>
      </c>
      <c r="V164" s="140">
        <f>IFERROR(__xludf.DUMMYFUNCTION("IF(ISBLANK($M164), QUERY(OptionPositionsLog!$A$2:$K796, ""SELECT H WHERE B = '"" &amp; $B164  &amp; ""' ORDER BY A DESC LIMIT 1"")*F164, 0)"),0.0457371)</f>
        <v>0.0457371</v>
      </c>
      <c r="W164" s="140">
        <f>IFERROR(__xludf.DUMMYFUNCTION("IF(ISBLANK($M164), QUERY(OptionPositionsLog!$A$2:$K796, ""SELECT I WHERE B = '"" &amp; $B164  &amp; ""' ORDER BY A DESC LIMIT 1""), 0)"),0.00643852)</f>
        <v>0.00643852</v>
      </c>
      <c r="X164" s="140">
        <f>IFERROR(__xludf.DUMMYFUNCTION("IF(ISBLANK($M164), QUERY(OptionPositionsLog!$A$2:$K796, ""SELECT J WHERE B = '"" &amp; $B164  &amp; ""' ORDER BY A DESC LIMIT 1""), 0)"),0.1442669)</f>
        <v>0.1442669</v>
      </c>
      <c r="Y164" s="140">
        <f>IFERROR(__xludf.DUMMYFUNCTION("IF(ISBLANK($M164), QUERY(OptionPositionsLog!$A$2:$K796, ""SELECT D WHERE B = '"" &amp; $B164  &amp; ""' ORDER BY A DESC LIMIT 1"")*100, """")"),70.0)</f>
        <v>70</v>
      </c>
      <c r="Z164" s="148">
        <f>IFERROR(__xludf.DUMMYFUNCTION("QUERY(OptionPositionsLog, ""SELECT K WHERE B = '"" &amp; $B164  &amp; ""' ORDER BY K DESC LIMIT 1"")"),340.96)</f>
        <v>340.96</v>
      </c>
      <c r="AA164" s="154">
        <f t="shared" si="11"/>
        <v>-44314.42308</v>
      </c>
      <c r="AB164" s="155">
        <f t="shared" si="8"/>
        <v>-8862.884615</v>
      </c>
      <c r="AC164" s="153">
        <f t="shared" si="9"/>
        <v>0</v>
      </c>
      <c r="AD164" s="31"/>
    </row>
    <row r="165" ht="22.5" customHeight="1">
      <c r="A165" s="129" t="s">
        <v>374</v>
      </c>
      <c r="B165" s="130" t="s">
        <v>620</v>
      </c>
      <c r="C165" s="131">
        <v>46087.0</v>
      </c>
      <c r="D165" s="131">
        <v>46191.0</v>
      </c>
      <c r="E165" s="30" t="s">
        <v>516</v>
      </c>
      <c r="F165" s="132">
        <v>1.0</v>
      </c>
      <c r="G165" s="30" t="s">
        <v>455</v>
      </c>
      <c r="H165" s="133">
        <v>90.0</v>
      </c>
      <c r="I165" s="30">
        <v>7.69698</v>
      </c>
      <c r="J165" s="30">
        <v>1.0</v>
      </c>
      <c r="K165" s="30">
        <v>100.0</v>
      </c>
      <c r="L165" s="148">
        <f>IFERROR(__xludf.DUMMYFUNCTION("QUERY(OptionPositionsLog, ""SELECT E WHERE B = '"" &amp; $B165  &amp; ""' ORDER BY A DESC LIMIT 1"")"),7.6)</f>
        <v>7.6</v>
      </c>
      <c r="M165" s="30"/>
      <c r="N165" s="140">
        <f t="shared" si="1"/>
        <v>760</v>
      </c>
      <c r="O165" s="140">
        <f t="shared" si="2"/>
        <v>-0.09698</v>
      </c>
      <c r="P165" s="149">
        <f t="shared" si="3"/>
        <v>-9.698</v>
      </c>
      <c r="Q165" s="138">
        <f t="shared" si="4"/>
        <v>-1</v>
      </c>
      <c r="R165" s="150">
        <f t="shared" si="5"/>
        <v>0</v>
      </c>
      <c r="S165" s="140">
        <f t="shared" si="6"/>
        <v>0</v>
      </c>
      <c r="T165" s="140">
        <f>IFERROR(__xludf.DUMMYFUNCTION("IF(ISBLANK($M165), QUERY(OptionPositionsLog!$A$2:$K796, ""SELECT F WHERE B = '"" &amp; $B165  &amp; ""' ORDER BY A DESC LIMIT 1""), 0)"),7.6)</f>
        <v>7.6</v>
      </c>
      <c r="U165" s="140">
        <f>IFERROR(__xludf.DUMMYFUNCTION("IF(ISBLANK($M165), QUERY(OptionPositionsLog!$A$2:$K796, ""SELECT G WHERE B = '"" &amp; $B165  &amp; ""' ORDER BY A DESC LIMIT 1"")*F165, 0)"),-0.25924866)</f>
        <v>-0.25924866</v>
      </c>
      <c r="V165" s="140">
        <f>IFERROR(__xludf.DUMMYFUNCTION("IF(ISBLANK($M165), QUERY(OptionPositionsLog!$A$2:$K796, ""SELECT H WHERE B = '"" &amp; $B165  &amp; ""' ORDER BY A DESC LIMIT 1"")*F165, 0)"),-0.06144634)</f>
        <v>-0.06144634</v>
      </c>
      <c r="W165" s="140">
        <f>IFERROR(__xludf.DUMMYFUNCTION("IF(ISBLANK($M165), QUERY(OptionPositionsLog!$A$2:$K796, ""SELECT I WHERE B = '"" &amp; $B165  &amp; ""' ORDER BY A DESC LIMIT 1""), 0)"),0.00820775)</f>
        <v>0.00820775</v>
      </c>
      <c r="X165" s="140">
        <f>IFERROR(__xludf.DUMMYFUNCTION("IF(ISBLANK($M165), QUERY(OptionPositionsLog!$A$2:$K796, ""SELECT J WHERE B = '"" &amp; $B165  &amp; ""' ORDER BY A DESC LIMIT 1""), 0)"),0.17450184)</f>
        <v>0.17450184</v>
      </c>
      <c r="Y165" s="140">
        <f>IFERROR(__xludf.DUMMYFUNCTION("IF(ISBLANK($M165), QUERY(OptionPositionsLog!$A$2:$K796, ""SELECT D WHERE B = '"" &amp; $B165  &amp; ""' ORDER BY A DESC LIMIT 1"")*100, """")"),72.0)</f>
        <v>72</v>
      </c>
      <c r="Z165" s="148">
        <f>IFERROR(__xludf.DUMMYFUNCTION("QUERY(OptionPositionsLog, ""SELECT K WHERE B = '"" &amp; $B165  &amp; ""' ORDER BY K DESC LIMIT 1"")"),505.61)</f>
        <v>505.61</v>
      </c>
      <c r="AA165" s="154">
        <f t="shared" si="11"/>
        <v>-44314.42308</v>
      </c>
      <c r="AB165" s="155">
        <f t="shared" si="8"/>
        <v>44314.42308</v>
      </c>
      <c r="AC165" s="153">
        <f t="shared" si="9"/>
        <v>0</v>
      </c>
      <c r="AD165" s="31"/>
    </row>
    <row r="166" ht="22.5" customHeight="1">
      <c r="A166" s="129" t="s">
        <v>221</v>
      </c>
      <c r="B166" s="130" t="s">
        <v>621</v>
      </c>
      <c r="C166" s="26">
        <v>46090.0</v>
      </c>
      <c r="D166" s="131">
        <v>46129.0</v>
      </c>
      <c r="E166" s="30" t="s">
        <v>516</v>
      </c>
      <c r="F166" s="132">
        <v>-1.0</v>
      </c>
      <c r="G166" s="30" t="s">
        <v>455</v>
      </c>
      <c r="H166" s="133">
        <v>5200.0</v>
      </c>
      <c r="I166" s="30">
        <v>109.25</v>
      </c>
      <c r="J166" s="30">
        <v>1.0</v>
      </c>
      <c r="K166" s="30">
        <v>10.0</v>
      </c>
      <c r="L166" s="148">
        <f>IFERROR(__xludf.DUMMYFUNCTION("QUERY(OptionPositionsLog, ""SELECT E WHERE B = '"" &amp; $B166  &amp; ""' ORDER BY A DESC LIMIT 1"")"),40.7)</f>
        <v>40.7</v>
      </c>
      <c r="M166" s="30"/>
      <c r="N166" s="140">
        <f t="shared" si="1"/>
        <v>407</v>
      </c>
      <c r="O166" s="140">
        <f t="shared" si="2"/>
        <v>68.55</v>
      </c>
      <c r="P166" s="149">
        <f t="shared" si="3"/>
        <v>685.5</v>
      </c>
      <c r="Q166" s="138">
        <f t="shared" si="4"/>
        <v>63</v>
      </c>
      <c r="R166" s="150">
        <f t="shared" si="5"/>
        <v>0</v>
      </c>
      <c r="S166" s="140">
        <f t="shared" si="6"/>
        <v>0</v>
      </c>
      <c r="T166" s="140">
        <f>IFERROR(__xludf.DUMMYFUNCTION("IF(ISBLANK($M166), QUERY(OptionPositionsLog!$A$2:$K796, ""SELECT F WHERE B = '"" &amp; $B166  &amp; ""' ORDER BY A DESC LIMIT 1""), 0)"),40.7)</f>
        <v>40.7</v>
      </c>
      <c r="U166" s="140">
        <f>IFERROR(__xludf.DUMMYFUNCTION("IF(ISBLANK($M166), QUERY(OptionPositionsLog!$A$2:$K796, ""SELECT G WHERE B = '"" &amp; $B166  &amp; ""' ORDER BY A DESC LIMIT 1"")*F166, 0)"),0.12828404)</f>
        <v>0.12828404</v>
      </c>
      <c r="V166" s="140">
        <f>IFERROR(__xludf.DUMMYFUNCTION("IF(ISBLANK($M166), QUERY(OptionPositionsLog!$A$2:$K796, ""SELECT H WHERE B = '"" &amp; $B166  &amp; ""' ORDER BY A DESC LIMIT 1"")*F166, 0)"),1.64917208)</f>
        <v>1.64917208</v>
      </c>
      <c r="W166" s="140">
        <f>IFERROR(__xludf.DUMMYFUNCTION("IF(ISBLANK($M166), QUERY(OptionPositionsLog!$A$2:$K796, ""SELECT I WHERE B = '"" &amp; $B166  &amp; ""' ORDER BY A DESC LIMIT 1""), 0)"),3.4789E-4)</f>
        <v>0.00034789</v>
      </c>
      <c r="X166" s="140">
        <f>IFERROR(__xludf.DUMMYFUNCTION("IF(ISBLANK($M166), QUERY(OptionPositionsLog!$A$2:$K796, ""SELECT J WHERE B = '"" &amp; $B166  &amp; ""' ORDER BY A DESC LIMIT 1""), 0)"),3.90719327)</f>
        <v>3.90719327</v>
      </c>
      <c r="Y166" s="140">
        <f>IFERROR(__xludf.DUMMYFUNCTION("IF(ISBLANK($M166), QUERY(OptionPositionsLog!$A$2:$K796, ""SELECT D WHERE B = '"" &amp; $B166  &amp; ""' ORDER BY A DESC LIMIT 1"")*100, """")"),32.0)</f>
        <v>32</v>
      </c>
      <c r="Z166" s="148">
        <f>IFERROR(__xludf.DUMMYFUNCTION("QUERY(OptionPositionsLog, ""SELECT K WHERE B = '"" &amp; $B166  &amp; ""' ORDER BY K DESC LIMIT 1"")"),3624.15)</f>
        <v>3624.15</v>
      </c>
      <c r="AA166" s="154">
        <f t="shared" si="11"/>
        <v>-118179.4872</v>
      </c>
      <c r="AB166" s="155">
        <f t="shared" si="8"/>
        <v>-1875.864876</v>
      </c>
      <c r="AC166" s="153">
        <f t="shared" si="9"/>
        <v>0</v>
      </c>
      <c r="AD166" s="31"/>
    </row>
    <row r="167" ht="22.5" customHeight="1">
      <c r="A167" s="129" t="s">
        <v>221</v>
      </c>
      <c r="B167" s="130" t="s">
        <v>622</v>
      </c>
      <c r="C167" s="26">
        <v>46090.0</v>
      </c>
      <c r="D167" s="131">
        <v>46129.0</v>
      </c>
      <c r="E167" s="30" t="s">
        <v>516</v>
      </c>
      <c r="F167" s="132">
        <v>1.0</v>
      </c>
      <c r="G167" s="30" t="s">
        <v>459</v>
      </c>
      <c r="H167" s="133">
        <v>5850.0</v>
      </c>
      <c r="I167" s="30">
        <v>66.05</v>
      </c>
      <c r="J167" s="30">
        <v>1.0</v>
      </c>
      <c r="K167" s="30">
        <v>10.0</v>
      </c>
      <c r="L167" s="148">
        <f>IFERROR(__xludf.DUMMYFUNCTION("QUERY(OptionPositionsLog, ""SELECT E WHERE B = '"" &amp; $B167  &amp; ""' ORDER BY A DESC LIMIT 1"")"),148.2)</f>
        <v>148.2</v>
      </c>
      <c r="M167" s="30"/>
      <c r="N167" s="140">
        <f t="shared" si="1"/>
        <v>1482</v>
      </c>
      <c r="O167" s="140">
        <f t="shared" si="2"/>
        <v>82.15</v>
      </c>
      <c r="P167" s="149">
        <f t="shared" si="3"/>
        <v>821.5</v>
      </c>
      <c r="Q167" s="138">
        <f t="shared" si="4"/>
        <v>124</v>
      </c>
      <c r="R167" s="150">
        <f t="shared" si="5"/>
        <v>0</v>
      </c>
      <c r="S167" s="140">
        <f t="shared" si="6"/>
        <v>0</v>
      </c>
      <c r="T167" s="140">
        <f>IFERROR(__xludf.DUMMYFUNCTION("IF(ISBLANK($M167), QUERY(OptionPositionsLog!$A$2:$K796, ""SELECT F WHERE B = '"" &amp; $B167  &amp; ""' ORDER BY A DESC LIMIT 1""), 0)"),148.2)</f>
        <v>148.2</v>
      </c>
      <c r="U167" s="140">
        <f>IFERROR(__xludf.DUMMYFUNCTION("IF(ISBLANK($M167), QUERY(OptionPositionsLog!$A$2:$K796, ""SELECT G WHERE B = '"" &amp; $B167  &amp; ""' ORDER BY A DESC LIMIT 1"")*F167, 0)"),0.32522674)</f>
        <v>0.32522674</v>
      </c>
      <c r="V167" s="140">
        <f>IFERROR(__xludf.DUMMYFUNCTION("IF(ISBLANK($M167), QUERY(OptionPositionsLog!$A$2:$K796, ""SELECT H WHERE B = '"" &amp; $B167  &amp; ""' ORDER BY A DESC LIMIT 1"")*F167, 0)"),20.10638651)</f>
        <v>20.10638651</v>
      </c>
      <c r="W167" s="140">
        <f>IFERROR(__xludf.DUMMYFUNCTION("IF(ISBLANK($M167), QUERY(OptionPositionsLog!$A$2:$K796, ""SELECT I WHERE B = '"" &amp; $B167  &amp; ""' ORDER BY A DESC LIMIT 1""), 0)"),8.9272E-4)</f>
        <v>0.00089272</v>
      </c>
      <c r="X167" s="140">
        <f>IFERROR(__xludf.DUMMYFUNCTION("IF(ISBLANK($M167), QUERY(OptionPositionsLog!$A$2:$K796, ""SELECT J WHERE B = '"" &amp; $B167  &amp; ""' ORDER BY A DESC LIMIT 1""), 0)"),6.6541099)</f>
        <v>6.6541099</v>
      </c>
      <c r="Y167" s="140">
        <f>IFERROR(__xludf.DUMMYFUNCTION("IF(ISBLANK($M167), QUERY(OptionPositionsLog!$A$2:$K796, ""SELECT D WHERE B = '"" &amp; $B167  &amp; ""' ORDER BY A DESC LIMIT 1"")*100, """")"),22.0)</f>
        <v>22</v>
      </c>
      <c r="Z167" s="148">
        <f>IFERROR(__xludf.DUMMYFUNCTION("QUERY(OptionPositionsLog, ""SELECT K WHERE B = '"" &amp; $B167  &amp; ""' ORDER BY K DESC LIMIT 1"")"),79.82)</f>
        <v>79.82</v>
      </c>
      <c r="AA167" s="154">
        <f t="shared" si="11"/>
        <v>-118179.4872</v>
      </c>
      <c r="AB167" s="155">
        <f t="shared" si="8"/>
        <v>-953.0603805</v>
      </c>
      <c r="AC167" s="153">
        <f t="shared" si="9"/>
        <v>0</v>
      </c>
      <c r="AD167" s="31"/>
    </row>
    <row r="168" ht="22.5" customHeight="1">
      <c r="A168" s="129" t="s">
        <v>221</v>
      </c>
      <c r="B168" s="130" t="s">
        <v>623</v>
      </c>
      <c r="C168" s="26">
        <v>46090.0</v>
      </c>
      <c r="D168" s="131">
        <v>46129.0</v>
      </c>
      <c r="E168" s="30" t="s">
        <v>516</v>
      </c>
      <c r="F168" s="132">
        <v>1.0</v>
      </c>
      <c r="G168" s="30" t="s">
        <v>455</v>
      </c>
      <c r="H168" s="133">
        <v>5250.0</v>
      </c>
      <c r="I168" s="30">
        <v>118.35</v>
      </c>
      <c r="J168" s="30">
        <v>1.0</v>
      </c>
      <c r="K168" s="30">
        <v>10.0</v>
      </c>
      <c r="L168" s="148">
        <f>IFERROR(__xludf.DUMMYFUNCTION("QUERY(OptionPositionsLog, ""SELECT E WHERE B = '"" &amp; $B168  &amp; ""' ORDER BY A DESC LIMIT 1"")"),47.3)</f>
        <v>47.3</v>
      </c>
      <c r="M168" s="30"/>
      <c r="N168" s="140">
        <f t="shared" si="1"/>
        <v>473</v>
      </c>
      <c r="O168" s="140">
        <f t="shared" si="2"/>
        <v>-71.05</v>
      </c>
      <c r="P168" s="149">
        <f t="shared" si="3"/>
        <v>-710.5</v>
      </c>
      <c r="Q168" s="138">
        <f t="shared" si="4"/>
        <v>-60</v>
      </c>
      <c r="R168" s="150">
        <f t="shared" si="5"/>
        <v>0</v>
      </c>
      <c r="S168" s="140">
        <f t="shared" si="6"/>
        <v>0</v>
      </c>
      <c r="T168" s="140">
        <f>IFERROR(__xludf.DUMMYFUNCTION("IF(ISBLANK($M168), QUERY(OptionPositionsLog!$A$2:$K796, ""SELECT F WHERE B = '"" &amp; $B168  &amp; ""' ORDER BY A DESC LIMIT 1""), 0)"),47.3)</f>
        <v>47.3</v>
      </c>
      <c r="U168" s="140">
        <f>IFERROR(__xludf.DUMMYFUNCTION("IF(ISBLANK($M168), QUERY(OptionPositionsLog!$A$2:$K796, ""SELECT G WHERE B = '"" &amp; $B168  &amp; ""' ORDER BY A DESC LIMIT 1"")*F168, 0)"),-0.22482672)</f>
        <v>-0.22482672</v>
      </c>
      <c r="V168" s="140">
        <f>IFERROR(__xludf.DUMMYFUNCTION("IF(ISBLANK($M168), QUERY(OptionPositionsLog!$A$2:$K796, ""SELECT H WHERE B = '"" &amp; $B168  &amp; ""' ORDER BY A DESC LIMIT 1"")*F168, 0)"),-15.36113094)</f>
        <v>-15.36113094</v>
      </c>
      <c r="W168" s="140">
        <f>IFERROR(__xludf.DUMMYFUNCTION("IF(ISBLANK($M168), QUERY(OptionPositionsLog!$A$2:$K796, ""SELECT I WHERE B = '"" &amp; $B168  &amp; ""' ORDER BY A DESC LIMIT 1""), 0)"),5.1081E-4)</f>
        <v>0.00051081</v>
      </c>
      <c r="X168" s="140">
        <f>IFERROR(__xludf.DUMMYFUNCTION("IF(ISBLANK($M168), QUERY(OptionPositionsLog!$A$2:$K796, ""SELECT J WHERE B = '"" &amp; $B168  &amp; ""' ORDER BY A DESC LIMIT 1""), 0)"),5.55357957)</f>
        <v>5.55357957</v>
      </c>
      <c r="Y168" s="140">
        <f>IFERROR(__xludf.DUMMYFUNCTION("IF(ISBLANK($M168), QUERY(OptionPositionsLog!$A$2:$K796, ""SELECT D WHERE B = '"" &amp; $B168  &amp; ""' ORDER BY A DESC LIMIT 1"")*100, """")"),31.0)</f>
        <v>31</v>
      </c>
      <c r="Z168" s="148">
        <f>IFERROR(__xludf.DUMMYFUNCTION("QUERY(OptionPositionsLog, ""SELECT K WHERE B = '"" &amp; $B168  &amp; ""' ORDER BY K DESC LIMIT 1"")"),4212.97)</f>
        <v>4212.97</v>
      </c>
      <c r="AA168" s="154">
        <f t="shared" si="11"/>
        <v>-118179.4872</v>
      </c>
      <c r="AB168" s="155">
        <f t="shared" si="8"/>
        <v>1969.65812</v>
      </c>
      <c r="AC168" s="153">
        <f t="shared" si="9"/>
        <v>0</v>
      </c>
      <c r="AD168" s="31"/>
    </row>
    <row r="169" ht="22.5" customHeight="1">
      <c r="A169" s="129" t="s">
        <v>221</v>
      </c>
      <c r="B169" s="130" t="s">
        <v>524</v>
      </c>
      <c r="C169" s="26">
        <v>46090.0</v>
      </c>
      <c r="D169" s="131">
        <v>46101.0</v>
      </c>
      <c r="E169" s="30" t="s">
        <v>516</v>
      </c>
      <c r="F169" s="132">
        <v>1.0</v>
      </c>
      <c r="G169" s="30" t="s">
        <v>459</v>
      </c>
      <c r="H169" s="133">
        <v>6275.0</v>
      </c>
      <c r="I169" s="30">
        <v>25.35</v>
      </c>
      <c r="J169" s="30">
        <v>1.0</v>
      </c>
      <c r="K169" s="30">
        <v>10.0</v>
      </c>
      <c r="L169" s="148">
        <f>IFERROR(__xludf.DUMMYFUNCTION("QUERY(OptionPositionsLog, ""SELECT E WHERE B = '"" &amp; $B169  &amp; ""' ORDER BY A DESC LIMIT 1"")"),1.8)</f>
        <v>1.8</v>
      </c>
      <c r="M169" s="30"/>
      <c r="N169" s="140">
        <f t="shared" si="1"/>
        <v>18</v>
      </c>
      <c r="O169" s="140">
        <f t="shared" si="2"/>
        <v>-23.55</v>
      </c>
      <c r="P169" s="149">
        <f t="shared" si="3"/>
        <v>-235.5</v>
      </c>
      <c r="Q169" s="138">
        <f t="shared" si="4"/>
        <v>-93</v>
      </c>
      <c r="R169" s="150">
        <f t="shared" si="5"/>
        <v>0</v>
      </c>
      <c r="S169" s="140">
        <f t="shared" si="6"/>
        <v>0</v>
      </c>
      <c r="T169" s="140">
        <f>IFERROR(__xludf.DUMMYFUNCTION("IF(ISBLANK($M169), QUERY(OptionPositionsLog!$A$2:$K796, ""SELECT F WHERE B = '"" &amp; $B169  &amp; ""' ORDER BY A DESC LIMIT 1""), 0)"),1.8)</f>
        <v>1.8</v>
      </c>
      <c r="U169" s="140">
        <f>IFERROR(__xludf.DUMMYFUNCTION("IF(ISBLANK($M169), QUERY(OptionPositionsLog!$A$2:$K796, ""SELECT G WHERE B = '"" &amp; $B169  &amp; ""' ORDER BY A DESC LIMIT 1"")*F169, 0)"),0.00672025)</f>
        <v>0.00672025</v>
      </c>
      <c r="V169" s="140">
        <f>IFERROR(__xludf.DUMMYFUNCTION("IF(ISBLANK($M169), QUERY(OptionPositionsLog!$A$2:$K796, ""SELECT H WHERE B = '"" &amp; $B169  &amp; ""' ORDER BY A DESC LIMIT 1"")*F169, 0)"),-0.1805147)</f>
        <v>-0.1805147</v>
      </c>
      <c r="W169" s="140">
        <f>IFERROR(__xludf.DUMMYFUNCTION("IF(ISBLANK($M169), QUERY(OptionPositionsLog!$A$2:$K796, ""SELECT I WHERE B = '"" &amp; $B169  &amp; ""' ORDER BY A DESC LIMIT 1""), 0)"),8.015E-5)</f>
        <v>0.00008015</v>
      </c>
      <c r="X169" s="140">
        <f>IFERROR(__xludf.DUMMYFUNCTION("IF(ISBLANK($M169), QUERY(OptionPositionsLog!$A$2:$K796, ""SELECT J WHERE B = '"" &amp; $B169  &amp; ""' ORDER BY A DESC LIMIT 1""), 0)"),0.20786389)</f>
        <v>0.20786389</v>
      </c>
      <c r="Y169" s="140">
        <f>IFERROR(__xludf.DUMMYFUNCTION("IF(ISBLANK($M169), QUERY(OptionPositionsLog!$A$2:$K796, ""SELECT D WHERE B = '"" &amp; $B169  &amp; ""' ORDER BY A DESC LIMIT 1"")*100, """")"),22.0)</f>
        <v>22</v>
      </c>
      <c r="Z169" s="148">
        <f>IFERROR(__xludf.DUMMYFUNCTION("QUERY(OptionPositionsLog, ""SELECT K WHERE B = '"" &amp; $B169  &amp; ""' ORDER BY K DESC LIMIT 1"")"),69.87)</f>
        <v>69.87</v>
      </c>
      <c r="AA169" s="154">
        <f t="shared" si="11"/>
        <v>-419000</v>
      </c>
      <c r="AB169" s="155">
        <f t="shared" si="8"/>
        <v>4505.376344</v>
      </c>
      <c r="AC169" s="153">
        <f t="shared" si="9"/>
        <v>0</v>
      </c>
      <c r="AD169" s="31"/>
    </row>
    <row r="170" ht="22.5" customHeight="1">
      <c r="A170" s="129" t="s">
        <v>221</v>
      </c>
      <c r="B170" s="130" t="s">
        <v>624</v>
      </c>
      <c r="C170" s="26">
        <v>46090.0</v>
      </c>
      <c r="D170" s="131">
        <v>46129.0</v>
      </c>
      <c r="E170" s="30" t="s">
        <v>516</v>
      </c>
      <c r="F170" s="132">
        <v>-1.0</v>
      </c>
      <c r="G170" s="30" t="s">
        <v>459</v>
      </c>
      <c r="H170" s="133">
        <v>5925.0</v>
      </c>
      <c r="I170" s="30">
        <v>44.45</v>
      </c>
      <c r="J170" s="30">
        <v>1.0</v>
      </c>
      <c r="K170" s="30">
        <v>10.0</v>
      </c>
      <c r="L170" s="148">
        <f>IFERROR(__xludf.DUMMYFUNCTION("QUERY(OptionPositionsLog, ""SELECT E WHERE B = '"" &amp; $B170  &amp; ""' ORDER BY A DESC LIMIT 1"")"),108.9)</f>
        <v>108.9</v>
      </c>
      <c r="M170" s="30"/>
      <c r="N170" s="140">
        <f t="shared" si="1"/>
        <v>1089</v>
      </c>
      <c r="O170" s="140">
        <f t="shared" si="2"/>
        <v>-64.45</v>
      </c>
      <c r="P170" s="149">
        <f t="shared" si="3"/>
        <v>-644.5</v>
      </c>
      <c r="Q170" s="138">
        <f t="shared" si="4"/>
        <v>-145</v>
      </c>
      <c r="R170" s="150">
        <f t="shared" si="5"/>
        <v>0</v>
      </c>
      <c r="S170" s="140">
        <f t="shared" si="6"/>
        <v>0</v>
      </c>
      <c r="T170" s="140">
        <f>IFERROR(__xludf.DUMMYFUNCTION("IF(ISBLANK($M170), QUERY(OptionPositionsLog!$A$2:$K796, ""SELECT F WHERE B = '"" &amp; $B170  &amp; ""' ORDER BY A DESC LIMIT 1""), 0)"),108.9)</f>
        <v>108.9</v>
      </c>
      <c r="U170" s="140">
        <f>IFERROR(__xludf.DUMMYFUNCTION("IF(ISBLANK($M170), QUERY(OptionPositionsLog!$A$2:$K796, ""SELECT G WHERE B = '"" &amp; $B170  &amp; ""' ORDER BY A DESC LIMIT 1"")*F170, 0)"),-0.25357638)</f>
        <v>-0.25357638</v>
      </c>
      <c r="V170" s="140">
        <f>IFERROR(__xludf.DUMMYFUNCTION("IF(ISBLANK($M170), QUERY(OptionPositionsLog!$A$2:$K796, ""SELECT H WHERE B = '"" &amp; $B170  &amp; ""' ORDER BY A DESC LIMIT 1"")*F170, 0)"),-15.76060828)</f>
        <v>-15.76060828</v>
      </c>
      <c r="W170" s="140">
        <f>IFERROR(__xludf.DUMMYFUNCTION("IF(ISBLANK($M170), QUERY(OptionPositionsLog!$A$2:$K796, ""SELECT I WHERE B = '"" &amp; $B170  &amp; ""' ORDER BY A DESC LIMIT 1""), 0)"),8.3012E-4)</f>
        <v>0.00083012</v>
      </c>
      <c r="X170" s="140">
        <f>IFERROR(__xludf.DUMMYFUNCTION("IF(ISBLANK($M170), QUERY(OptionPositionsLog!$A$2:$K796, ""SELECT J WHERE B = '"" &amp; $B170  &amp; ""' ORDER BY A DESC LIMIT 1""), 0)"),5.95247195)</f>
        <v>5.95247195</v>
      </c>
      <c r="Y170" s="140">
        <f>IFERROR(__xludf.DUMMYFUNCTION("IF(ISBLANK($M170), QUERY(OptionPositionsLog!$A$2:$K796, ""SELECT D WHERE B = '"" &amp; $B170  &amp; ""' ORDER BY A DESC LIMIT 1"")*100, """")"),20.0)</f>
        <v>20</v>
      </c>
      <c r="Z170" s="148">
        <f>IFERROR(__xludf.DUMMYFUNCTION("QUERY(OptionPositionsLog, ""SELECT K WHERE B = '"" &amp; $B170  &amp; ""' ORDER BY K DESC LIMIT 1"")"),68.0)</f>
        <v>68</v>
      </c>
      <c r="AA170" s="154">
        <f t="shared" si="11"/>
        <v>-118179.4872</v>
      </c>
      <c r="AB170" s="155">
        <f t="shared" si="8"/>
        <v>815.0309461</v>
      </c>
      <c r="AC170" s="153">
        <f t="shared" si="9"/>
        <v>0</v>
      </c>
      <c r="AD170" s="31"/>
    </row>
    <row r="171" ht="22.5" customHeight="1">
      <c r="A171" s="129" t="s">
        <v>221</v>
      </c>
      <c r="B171" s="130" t="s">
        <v>625</v>
      </c>
      <c r="C171" s="26">
        <v>46090.0</v>
      </c>
      <c r="D171" s="131">
        <v>46129.0</v>
      </c>
      <c r="E171" s="30" t="s">
        <v>516</v>
      </c>
      <c r="F171" s="132">
        <v>-1.0</v>
      </c>
      <c r="G171" s="30" t="s">
        <v>455</v>
      </c>
      <c r="H171" s="133">
        <v>5075.0</v>
      </c>
      <c r="I171" s="30">
        <v>84.55</v>
      </c>
      <c r="J171" s="30">
        <v>1.0</v>
      </c>
      <c r="K171" s="30">
        <v>10.0</v>
      </c>
      <c r="L171" s="148">
        <f>IFERROR(__xludf.DUMMYFUNCTION("QUERY(OptionPositionsLog, ""SELECT E WHERE B = '"" &amp; $B171  &amp; ""' ORDER BY A DESC LIMIT 1"")"),31.3)</f>
        <v>31.3</v>
      </c>
      <c r="M171" s="30"/>
      <c r="N171" s="140">
        <f t="shared" si="1"/>
        <v>313</v>
      </c>
      <c r="O171" s="140">
        <f t="shared" si="2"/>
        <v>53.25</v>
      </c>
      <c r="P171" s="149">
        <f t="shared" si="3"/>
        <v>532.5</v>
      </c>
      <c r="Q171" s="138">
        <f t="shared" si="4"/>
        <v>63</v>
      </c>
      <c r="R171" s="150">
        <f t="shared" si="5"/>
        <v>0</v>
      </c>
      <c r="S171" s="140">
        <f t="shared" si="6"/>
        <v>0</v>
      </c>
      <c r="T171" s="140">
        <f>IFERROR(__xludf.DUMMYFUNCTION("IF(ISBLANK($M171), QUERY(OptionPositionsLog!$A$2:$K796, ""SELECT F WHERE B = '"" &amp; $B171  &amp; ""' ORDER BY A DESC LIMIT 1""), 0)"),31.3)</f>
        <v>31.3</v>
      </c>
      <c r="U171" s="140">
        <f>IFERROR(__xludf.DUMMYFUNCTION("IF(ISBLANK($M171), QUERY(OptionPositionsLog!$A$2:$K796, ""SELECT G WHERE B = '"" &amp; $B171  &amp; ""' ORDER BY A DESC LIMIT 1"")*F171, 0)"),0.16016709)</f>
        <v>0.16016709</v>
      </c>
      <c r="V171" s="140">
        <f>IFERROR(__xludf.DUMMYFUNCTION("IF(ISBLANK($M171), QUERY(OptionPositionsLog!$A$2:$K796, ""SELECT H WHERE B = '"" &amp; $B171  &amp; ""' ORDER BY A DESC LIMIT 1"")*F171, 0)"),11.48851298)</f>
        <v>11.48851298</v>
      </c>
      <c r="W171" s="140">
        <f>IFERROR(__xludf.DUMMYFUNCTION("IF(ISBLANK($M171), QUERY(OptionPositionsLog!$A$2:$K796, ""SELECT I WHERE B = '"" &amp; $B171  &amp; ""' ORDER BY A DESC LIMIT 1""), 0)"),3.7795E-4)</f>
        <v>0.00037795</v>
      </c>
      <c r="X171" s="140">
        <f>IFERROR(__xludf.DUMMYFUNCTION("IF(ISBLANK($M171), QUERY(OptionPositionsLog!$A$2:$K796, ""SELECT J WHERE B = '"" &amp; $B171  &amp; ""' ORDER BY A DESC LIMIT 1""), 0)"),4.53072813)</f>
        <v>4.53072813</v>
      </c>
      <c r="Y171" s="140">
        <f>IFERROR(__xludf.DUMMYFUNCTION("IF(ISBLANK($M171), QUERY(OptionPositionsLog!$A$2:$K796, ""SELECT D WHERE B = '"" &amp; $B171  &amp; ""' ORDER BY A DESC LIMIT 1"")*100, """")"),34.0)</f>
        <v>34</v>
      </c>
      <c r="Z171" s="148">
        <f>IFERROR(__xludf.DUMMYFUNCTION("QUERY(OptionPositionsLog, ""SELECT K WHERE B = '"" &amp; $B171  &amp; ""' ORDER BY K DESC LIMIT 1"")"),3625.95)</f>
        <v>3625.95</v>
      </c>
      <c r="AA171" s="154">
        <f t="shared" si="11"/>
        <v>-118179.4872</v>
      </c>
      <c r="AB171" s="155">
        <f t="shared" si="8"/>
        <v>-1875.864876</v>
      </c>
      <c r="AC171" s="153">
        <f t="shared" si="9"/>
        <v>0</v>
      </c>
      <c r="AD171" s="31"/>
    </row>
    <row r="172" ht="22.5" customHeight="1">
      <c r="A172" s="129" t="s">
        <v>203</v>
      </c>
      <c r="B172" s="130" t="s">
        <v>626</v>
      </c>
      <c r="C172" s="145">
        <v>46090.0</v>
      </c>
      <c r="D172" s="131">
        <v>46129.0</v>
      </c>
      <c r="E172" s="30" t="s">
        <v>516</v>
      </c>
      <c r="F172" s="132">
        <v>-1.0</v>
      </c>
      <c r="G172" s="30" t="s">
        <v>455</v>
      </c>
      <c r="H172" s="133">
        <v>90.0</v>
      </c>
      <c r="I172" s="30">
        <v>0.94299</v>
      </c>
      <c r="J172" s="30">
        <v>1.0</v>
      </c>
      <c r="K172" s="30">
        <v>100.0</v>
      </c>
      <c r="L172" s="148">
        <f>IFERROR(__xludf.DUMMYFUNCTION("QUERY(OptionPositionsLog, ""SELECT E WHERE B = '"" &amp; $B172  &amp; ""' ORDER BY A DESC LIMIT 1"")"),0.74)</f>
        <v>0.74</v>
      </c>
      <c r="M172" s="30"/>
      <c r="N172" s="140">
        <f t="shared" si="1"/>
        <v>74</v>
      </c>
      <c r="O172" s="140">
        <f t="shared" si="2"/>
        <v>0.20299</v>
      </c>
      <c r="P172" s="149">
        <f t="shared" si="3"/>
        <v>20.299</v>
      </c>
      <c r="Q172" s="138">
        <f t="shared" si="4"/>
        <v>22</v>
      </c>
      <c r="R172" s="150">
        <f t="shared" si="5"/>
        <v>0</v>
      </c>
      <c r="S172" s="140">
        <f t="shared" si="6"/>
        <v>0</v>
      </c>
      <c r="T172" s="140">
        <f>IFERROR(__xludf.DUMMYFUNCTION("IF(ISBLANK($M172), QUERY(OptionPositionsLog!$A$2:$K796, ""SELECT F WHERE B = '"" &amp; $B172  &amp; ""' ORDER BY A DESC LIMIT 1""), 0)"),0.74)</f>
        <v>0.74</v>
      </c>
      <c r="U172" s="140">
        <f>IFERROR(__xludf.DUMMYFUNCTION("IF(ISBLANK($M172), QUERY(OptionPositionsLog!$A$2:$K796, ""SELECT G WHERE B = '"" &amp; $B172  &amp; ""' ORDER BY A DESC LIMIT 1"")*F172, 0)"),0.12192464)</f>
        <v>0.12192464</v>
      </c>
      <c r="V172" s="140">
        <f>IFERROR(__xludf.DUMMYFUNCTION("IF(ISBLANK($M172), QUERY(OptionPositionsLog!$A$2:$K796, ""SELECT H WHERE B = '"" &amp; $B172  &amp; ""' ORDER BY A DESC LIMIT 1"")*F172, 0)"),0.02843691)</f>
        <v>0.02843691</v>
      </c>
      <c r="W172" s="140">
        <f>IFERROR(__xludf.DUMMYFUNCTION("IF(ISBLANK($M172), QUERY(OptionPositionsLog!$A$2:$K796, ""SELECT I WHERE B = '"" &amp; $B172  &amp; ""' ORDER BY A DESC LIMIT 1""), 0)"),0.01822151)</f>
        <v>0.01822151</v>
      </c>
      <c r="X172" s="140">
        <f>IFERROR(__xludf.DUMMYFUNCTION("IF(ISBLANK($M172), QUERY(OptionPositionsLog!$A$2:$K796, ""SELECT J WHERE B = '"" &amp; $B172  &amp; ""' ORDER BY A DESC LIMIT 1""), 0)"),0.06452924)</f>
        <v>0.06452924</v>
      </c>
      <c r="Y172" s="140">
        <f>IFERROR(__xludf.DUMMYFUNCTION("IF(ISBLANK($M172), QUERY(OptionPositionsLog!$A$2:$K796, ""SELECT D WHERE B = '"" &amp; $B172  &amp; ""' ORDER BY A DESC LIMIT 1"")*100, """")"),34.0)</f>
        <v>34</v>
      </c>
      <c r="Z172" s="148">
        <f>IFERROR(__xludf.DUMMYFUNCTION("QUERY(OptionPositionsLog, ""SELECT K WHERE B = '"" &amp; $B172  &amp; ""' ORDER BY K DESC LIMIT 1"")"),60.29)</f>
        <v>60.29</v>
      </c>
      <c r="AA172" s="154">
        <f t="shared" si="11"/>
        <v>-118179.4872</v>
      </c>
      <c r="AB172" s="155">
        <f t="shared" si="8"/>
        <v>-5371.794872</v>
      </c>
      <c r="AC172" s="153">
        <f t="shared" si="9"/>
        <v>0</v>
      </c>
      <c r="AD172" s="31"/>
    </row>
    <row r="173" ht="22.5" customHeight="1">
      <c r="A173" s="129" t="s">
        <v>203</v>
      </c>
      <c r="B173" s="130" t="s">
        <v>627</v>
      </c>
      <c r="C173" s="145">
        <v>46090.0</v>
      </c>
      <c r="D173" s="131">
        <v>46129.0</v>
      </c>
      <c r="E173" s="30" t="s">
        <v>516</v>
      </c>
      <c r="F173" s="132">
        <v>1.0</v>
      </c>
      <c r="G173" s="30" t="s">
        <v>455</v>
      </c>
      <c r="H173" s="133">
        <v>95.0</v>
      </c>
      <c r="I173" s="30">
        <v>1.87698</v>
      </c>
      <c r="J173" s="30">
        <v>1.0</v>
      </c>
      <c r="K173" s="30">
        <v>100.0</v>
      </c>
      <c r="L173" s="148">
        <f>IFERROR(__xludf.DUMMYFUNCTION("QUERY(OptionPositionsLog, ""SELECT E WHERE B = '"" &amp; $B173  &amp; ""' ORDER BY A DESC LIMIT 1"")"),1.54)</f>
        <v>1.54</v>
      </c>
      <c r="M173" s="30"/>
      <c r="N173" s="140">
        <f t="shared" si="1"/>
        <v>154</v>
      </c>
      <c r="O173" s="140">
        <f t="shared" si="2"/>
        <v>-0.33698</v>
      </c>
      <c r="P173" s="149">
        <f t="shared" si="3"/>
        <v>-33.698</v>
      </c>
      <c r="Q173" s="138">
        <f t="shared" si="4"/>
        <v>-18</v>
      </c>
      <c r="R173" s="150">
        <f t="shared" si="5"/>
        <v>0</v>
      </c>
      <c r="S173" s="140">
        <f t="shared" si="6"/>
        <v>0</v>
      </c>
      <c r="T173" s="140">
        <f>IFERROR(__xludf.DUMMYFUNCTION("IF(ISBLANK($M173), QUERY(OptionPositionsLog!$A$2:$K796, ""SELECT F WHERE B = '"" &amp; $B173  &amp; ""' ORDER BY A DESC LIMIT 1""), 0)"),1.54)</f>
        <v>1.54</v>
      </c>
      <c r="U173" s="140">
        <f>IFERROR(__xludf.DUMMYFUNCTION("IF(ISBLANK($M173), QUERY(OptionPositionsLog!$A$2:$K796, ""SELECT G WHERE B = '"" &amp; $B173  &amp; ""' ORDER BY A DESC LIMIT 1"")*F173, 0)"),-0.2372593)</f>
        <v>-0.2372593</v>
      </c>
      <c r="V173" s="140">
        <f>IFERROR(__xludf.DUMMYFUNCTION("IF(ISBLANK($M173), QUERY(OptionPositionsLog!$A$2:$K796, ""SELECT H WHERE B = '"" &amp; $B173  &amp; ""' ORDER BY A DESC LIMIT 1"")*F173, 0)"),-0.03993039)</f>
        <v>-0.03993039</v>
      </c>
      <c r="W173" s="140">
        <f>IFERROR(__xludf.DUMMYFUNCTION("IF(ISBLANK($M173), QUERY(OptionPositionsLog!$A$2:$K796, ""SELECT I WHERE B = '"" &amp; $B173  &amp; ""' ORDER BY A DESC LIMIT 1""), 0)"),0.0300542)</f>
        <v>0.0300542</v>
      </c>
      <c r="X173" s="140">
        <f>IFERROR(__xludf.DUMMYFUNCTION("IF(ISBLANK($M173), QUERY(OptionPositionsLog!$A$2:$K796, ""SELECT J WHERE B = '"" &amp; $B173  &amp; ""' ORDER BY A DESC LIMIT 1""), 0)"),0.09685859)</f>
        <v>0.09685859</v>
      </c>
      <c r="Y173" s="140">
        <f>IFERROR(__xludf.DUMMYFUNCTION("IF(ISBLANK($M173), QUERY(OptionPositionsLog!$A$2:$K796, ""SELECT D WHERE B = '"" &amp; $B173  &amp; ""' ORDER BY A DESC LIMIT 1"")*100, """")"),32.0)</f>
        <v>32</v>
      </c>
      <c r="Z173" s="148">
        <f>IFERROR(__xludf.DUMMYFUNCTION("QUERY(OptionPositionsLog, ""SELECT K WHERE B = '"" &amp; $B173  &amp; ""' ORDER BY K DESC LIMIT 1"")"),637.03)</f>
        <v>637.03</v>
      </c>
      <c r="AA173" s="154">
        <f t="shared" si="11"/>
        <v>-118179.4872</v>
      </c>
      <c r="AB173" s="155">
        <f t="shared" si="8"/>
        <v>6565.527066</v>
      </c>
      <c r="AC173" s="153">
        <f t="shared" si="9"/>
        <v>0</v>
      </c>
      <c r="AD173" s="31"/>
    </row>
    <row r="174" ht="22.5" customHeight="1">
      <c r="A174" s="129" t="s">
        <v>423</v>
      </c>
      <c r="B174" s="130" t="s">
        <v>628</v>
      </c>
      <c r="C174" s="131">
        <v>46091.0</v>
      </c>
      <c r="D174" s="131">
        <v>46129.0</v>
      </c>
      <c r="E174" s="30" t="s">
        <v>516</v>
      </c>
      <c r="F174" s="132">
        <v>1.0</v>
      </c>
      <c r="G174" s="30" t="s">
        <v>459</v>
      </c>
      <c r="H174" s="133">
        <v>10.0</v>
      </c>
      <c r="I174" s="30">
        <v>0.15048</v>
      </c>
      <c r="J174" s="30">
        <v>1.0</v>
      </c>
      <c r="K174" s="30">
        <v>100.0</v>
      </c>
      <c r="L174" s="148">
        <f>IFERROR(__xludf.DUMMYFUNCTION("QUERY(OptionPositionsLog, ""SELECT E WHERE B = '"" &amp; $B174  &amp; ""' ORDER BY A DESC LIMIT 1"")"),0.13)</f>
        <v>0.13</v>
      </c>
      <c r="M174" s="30"/>
      <c r="N174" s="140">
        <f t="shared" si="1"/>
        <v>13</v>
      </c>
      <c r="O174" s="140">
        <f t="shared" si="2"/>
        <v>-0.02048</v>
      </c>
      <c r="P174" s="149">
        <f t="shared" si="3"/>
        <v>-2.048</v>
      </c>
      <c r="Q174" s="138">
        <f t="shared" si="4"/>
        <v>-14</v>
      </c>
      <c r="R174" s="150">
        <f t="shared" si="5"/>
        <v>0</v>
      </c>
      <c r="S174" s="140">
        <f t="shared" si="6"/>
        <v>0</v>
      </c>
      <c r="T174" s="140">
        <f>IFERROR(__xludf.DUMMYFUNCTION("IF(ISBLANK($M174), QUERY(OptionPositionsLog!$A$2:$K796, ""SELECT F WHERE B = '"" &amp; $B174  &amp; ""' ORDER BY A DESC LIMIT 1""), 0)"),0.13)</f>
        <v>0.13</v>
      </c>
      <c r="U174" s="140">
        <f>IFERROR(__xludf.DUMMYFUNCTION("IF(ISBLANK($M174), QUERY(OptionPositionsLog!$A$2:$K796, ""SELECT G WHERE B = '"" &amp; $B174  &amp; ""' ORDER BY A DESC LIMIT 1"")*F174, 0)"),0.16366158)</f>
        <v>0.16366158</v>
      </c>
      <c r="V174" s="140">
        <f>IFERROR(__xludf.DUMMYFUNCTION("IF(ISBLANK($M174), QUERY(OptionPositionsLog!$A$2:$K796, ""SELECT H WHERE B = '"" &amp; $B174  &amp; ""' ORDER BY A DESC LIMIT 1"")*F174, 0)"),-0.00790561)</f>
        <v>-0.00790561</v>
      </c>
      <c r="W174" s="140">
        <f>IFERROR(__xludf.DUMMYFUNCTION("IF(ISBLANK($M174), QUERY(OptionPositionsLog!$A$2:$K796, ""SELECT I WHERE B = '"" &amp; $B174  &amp; ""' ORDER BY A DESC LIMIT 1""), 0)"),0.10827335)</f>
        <v>0.10827335</v>
      </c>
      <c r="X174" s="140">
        <f>IFERROR(__xludf.DUMMYFUNCTION("IF(ISBLANK($M174), QUERY(OptionPositionsLog!$A$2:$K796, ""SELECT J WHERE B = '"" &amp; $B174  &amp; ""' ORDER BY A DESC LIMIT 1""), 0)"),0.00584783)</f>
        <v>0.00584783</v>
      </c>
      <c r="Y174" s="140">
        <f>IFERROR(__xludf.DUMMYFUNCTION("IF(ISBLANK($M174), QUERY(OptionPositionsLog!$A$2:$K796, ""SELECT D WHERE B = '"" &amp; $B174  &amp; ""' ORDER BY A DESC LIMIT 1"")*100, """")"),95.0)</f>
        <v>95</v>
      </c>
      <c r="Z174" s="148">
        <f>IFERROR(__xludf.DUMMYFUNCTION("QUERY(OptionPositionsLog, ""SELECT K WHERE B = '"" &amp; $B174  &amp; ""' ORDER BY K DESC LIMIT 1"")"),12.92)</f>
        <v>12.92</v>
      </c>
      <c r="AA174" s="154">
        <f t="shared" si="11"/>
        <v>-121292.1053</v>
      </c>
      <c r="AB174" s="155">
        <f t="shared" si="8"/>
        <v>8663.721805</v>
      </c>
      <c r="AC174" s="153">
        <f t="shared" si="9"/>
        <v>0</v>
      </c>
      <c r="AD174" s="31"/>
    </row>
    <row r="175">
      <c r="E175" s="156"/>
      <c r="H175" s="157"/>
      <c r="R175" s="158"/>
      <c r="AC175" s="159"/>
    </row>
    <row r="176">
      <c r="E176" s="156"/>
      <c r="H176" s="157"/>
      <c r="R176" s="158"/>
      <c r="AC176" s="159"/>
    </row>
    <row r="177">
      <c r="E177" s="156"/>
      <c r="H177" s="157"/>
      <c r="R177" s="158"/>
      <c r="AC177" s="159"/>
    </row>
    <row r="178">
      <c r="E178" s="156"/>
      <c r="H178" s="157"/>
      <c r="R178" s="158"/>
      <c r="AC178" s="159"/>
    </row>
    <row r="179">
      <c r="E179" s="156"/>
      <c r="H179" s="157"/>
      <c r="R179" s="158"/>
      <c r="AC179" s="159"/>
    </row>
    <row r="180">
      <c r="E180" s="156"/>
      <c r="H180" s="157"/>
      <c r="R180" s="158"/>
      <c r="AC180" s="159"/>
    </row>
    <row r="181">
      <c r="E181" s="156"/>
      <c r="H181" s="157"/>
      <c r="R181" s="158"/>
      <c r="AC181" s="159"/>
    </row>
    <row r="182">
      <c r="E182" s="156"/>
      <c r="H182" s="157"/>
      <c r="R182" s="158"/>
      <c r="AC182" s="159"/>
    </row>
    <row r="183">
      <c r="E183" s="156"/>
      <c r="H183" s="157"/>
      <c r="R183" s="158"/>
      <c r="AC183" s="159"/>
    </row>
    <row r="184">
      <c r="E184" s="156"/>
      <c r="H184" s="157"/>
      <c r="R184" s="158"/>
      <c r="AC184" s="159"/>
    </row>
    <row r="185">
      <c r="E185" s="156"/>
      <c r="H185" s="157"/>
      <c r="R185" s="158"/>
      <c r="AC185" s="159"/>
    </row>
    <row r="186">
      <c r="E186" s="156"/>
      <c r="H186" s="157"/>
      <c r="R186" s="158"/>
      <c r="AC186" s="159"/>
    </row>
    <row r="187">
      <c r="E187" s="156"/>
      <c r="H187" s="157"/>
      <c r="R187" s="158"/>
      <c r="AC187" s="159"/>
    </row>
    <row r="188">
      <c r="E188" s="156"/>
      <c r="H188" s="157"/>
      <c r="R188" s="158"/>
      <c r="AC188" s="159"/>
    </row>
    <row r="189">
      <c r="E189" s="156"/>
      <c r="H189" s="157"/>
      <c r="R189" s="158"/>
      <c r="AC189" s="159"/>
    </row>
    <row r="190">
      <c r="E190" s="156"/>
      <c r="H190" s="157"/>
      <c r="R190" s="158"/>
      <c r="AC190" s="159"/>
    </row>
    <row r="191">
      <c r="E191" s="156"/>
      <c r="H191" s="157"/>
      <c r="R191" s="158"/>
      <c r="AC191" s="159"/>
    </row>
    <row r="192">
      <c r="E192" s="156"/>
      <c r="H192" s="157"/>
      <c r="R192" s="158"/>
      <c r="AC192" s="159"/>
    </row>
    <row r="193">
      <c r="E193" s="156"/>
      <c r="H193" s="157"/>
      <c r="R193" s="158"/>
      <c r="AC193" s="159"/>
    </row>
    <row r="194">
      <c r="E194" s="156"/>
      <c r="H194" s="157"/>
      <c r="R194" s="158"/>
      <c r="AC194" s="159"/>
    </row>
    <row r="195">
      <c r="E195" s="156"/>
      <c r="H195" s="157"/>
      <c r="R195" s="158"/>
      <c r="AC195" s="159"/>
    </row>
    <row r="196">
      <c r="E196" s="156"/>
      <c r="H196" s="157"/>
      <c r="R196" s="158"/>
      <c r="AC196" s="159"/>
    </row>
    <row r="197">
      <c r="E197" s="156"/>
      <c r="H197" s="157"/>
      <c r="R197" s="158"/>
      <c r="AC197" s="159"/>
    </row>
    <row r="198">
      <c r="E198" s="156"/>
      <c r="H198" s="157"/>
      <c r="R198" s="158"/>
      <c r="AC198" s="159"/>
    </row>
    <row r="199">
      <c r="E199" s="156"/>
      <c r="H199" s="157"/>
      <c r="R199" s="158"/>
      <c r="AC199" s="159"/>
    </row>
    <row r="200">
      <c r="E200" s="156"/>
      <c r="H200" s="157"/>
      <c r="R200" s="158"/>
      <c r="AC200" s="159"/>
    </row>
    <row r="201">
      <c r="E201" s="156"/>
      <c r="H201" s="157"/>
      <c r="R201" s="158"/>
      <c r="AC201" s="159"/>
    </row>
    <row r="202">
      <c r="E202" s="156"/>
      <c r="H202" s="157"/>
      <c r="R202" s="158"/>
      <c r="AC202" s="159"/>
    </row>
    <row r="203">
      <c r="E203" s="156"/>
      <c r="H203" s="157"/>
      <c r="R203" s="158"/>
      <c r="AC203" s="159"/>
    </row>
    <row r="204">
      <c r="E204" s="156"/>
      <c r="H204" s="157"/>
      <c r="R204" s="158"/>
      <c r="AC204" s="159"/>
    </row>
    <row r="205">
      <c r="E205" s="156"/>
      <c r="H205" s="157"/>
      <c r="R205" s="158"/>
      <c r="AC205" s="159"/>
    </row>
    <row r="206">
      <c r="E206" s="156"/>
      <c r="H206" s="157"/>
      <c r="R206" s="158"/>
      <c r="AC206" s="159"/>
    </row>
    <row r="207">
      <c r="E207" s="156"/>
      <c r="H207" s="157"/>
      <c r="R207" s="158"/>
      <c r="AC207" s="159"/>
    </row>
    <row r="208">
      <c r="E208" s="156"/>
      <c r="H208" s="157"/>
      <c r="R208" s="158"/>
      <c r="AC208" s="159"/>
    </row>
    <row r="209">
      <c r="E209" s="156"/>
      <c r="H209" s="157"/>
      <c r="R209" s="158"/>
      <c r="AC209" s="159"/>
    </row>
    <row r="210">
      <c r="E210" s="156"/>
      <c r="H210" s="157"/>
      <c r="R210" s="158"/>
      <c r="AC210" s="159"/>
    </row>
    <row r="211">
      <c r="E211" s="156"/>
      <c r="H211" s="157"/>
      <c r="R211" s="158"/>
      <c r="AC211" s="159"/>
    </row>
    <row r="212">
      <c r="E212" s="156"/>
      <c r="H212" s="157"/>
      <c r="R212" s="158"/>
      <c r="AC212" s="159"/>
    </row>
    <row r="213">
      <c r="E213" s="156"/>
      <c r="H213" s="157"/>
      <c r="R213" s="158"/>
      <c r="AC213" s="159"/>
    </row>
    <row r="214">
      <c r="E214" s="156"/>
      <c r="H214" s="157"/>
      <c r="R214" s="158"/>
      <c r="AC214" s="159"/>
    </row>
    <row r="215">
      <c r="E215" s="156"/>
      <c r="H215" s="157"/>
      <c r="R215" s="158"/>
      <c r="AC215" s="159"/>
    </row>
    <row r="216">
      <c r="E216" s="156"/>
      <c r="H216" s="157"/>
      <c r="R216" s="158"/>
      <c r="AC216" s="159"/>
    </row>
    <row r="217">
      <c r="E217" s="156"/>
      <c r="H217" s="157"/>
      <c r="R217" s="158"/>
      <c r="AC217" s="159"/>
    </row>
    <row r="218">
      <c r="E218" s="156"/>
      <c r="H218" s="157"/>
      <c r="R218" s="158"/>
      <c r="AC218" s="159"/>
    </row>
    <row r="219">
      <c r="E219" s="156"/>
      <c r="H219" s="157"/>
      <c r="R219" s="158"/>
      <c r="AC219" s="159"/>
    </row>
    <row r="220">
      <c r="E220" s="156"/>
      <c r="H220" s="157"/>
      <c r="R220" s="158"/>
      <c r="AC220" s="159"/>
    </row>
    <row r="221">
      <c r="E221" s="156"/>
      <c r="H221" s="157"/>
      <c r="R221" s="158"/>
      <c r="AC221" s="159"/>
    </row>
    <row r="222">
      <c r="E222" s="156"/>
      <c r="H222" s="157"/>
      <c r="R222" s="158"/>
      <c r="AC222" s="159"/>
    </row>
    <row r="223">
      <c r="E223" s="156"/>
      <c r="H223" s="157"/>
      <c r="R223" s="158"/>
      <c r="AC223" s="159"/>
    </row>
    <row r="224">
      <c r="E224" s="156"/>
      <c r="H224" s="157"/>
      <c r="R224" s="158"/>
      <c r="AC224" s="159"/>
    </row>
    <row r="225">
      <c r="E225" s="156"/>
      <c r="H225" s="157"/>
      <c r="R225" s="158"/>
      <c r="AC225" s="159"/>
    </row>
    <row r="226">
      <c r="E226" s="156"/>
      <c r="H226" s="157"/>
      <c r="R226" s="158"/>
      <c r="AC226" s="159"/>
    </row>
    <row r="227">
      <c r="E227" s="156"/>
      <c r="H227" s="157"/>
      <c r="R227" s="158"/>
      <c r="AC227" s="159"/>
    </row>
    <row r="228">
      <c r="E228" s="156"/>
      <c r="H228" s="157"/>
      <c r="R228" s="158"/>
      <c r="AC228" s="159"/>
    </row>
    <row r="229">
      <c r="E229" s="156"/>
      <c r="H229" s="157"/>
      <c r="R229" s="158"/>
      <c r="AC229" s="159"/>
    </row>
    <row r="230">
      <c r="E230" s="156"/>
      <c r="H230" s="157"/>
      <c r="R230" s="158"/>
      <c r="AC230" s="159"/>
    </row>
    <row r="231">
      <c r="E231" s="156"/>
      <c r="H231" s="157"/>
      <c r="R231" s="158"/>
      <c r="AC231" s="159"/>
    </row>
    <row r="232">
      <c r="E232" s="156"/>
      <c r="H232" s="157"/>
      <c r="R232" s="158"/>
      <c r="AC232" s="159"/>
    </row>
    <row r="233">
      <c r="E233" s="156"/>
      <c r="H233" s="157"/>
      <c r="R233" s="158"/>
      <c r="AC233" s="159"/>
    </row>
    <row r="234">
      <c r="E234" s="156"/>
      <c r="H234" s="157"/>
      <c r="R234" s="158"/>
      <c r="AC234" s="159"/>
    </row>
    <row r="235">
      <c r="E235" s="156"/>
      <c r="H235" s="157"/>
      <c r="R235" s="158"/>
      <c r="AC235" s="159"/>
    </row>
    <row r="236">
      <c r="E236" s="156"/>
      <c r="H236" s="157"/>
      <c r="R236" s="158"/>
      <c r="AC236" s="159"/>
    </row>
    <row r="237">
      <c r="E237" s="156"/>
      <c r="H237" s="157"/>
      <c r="R237" s="158"/>
      <c r="AC237" s="159"/>
    </row>
    <row r="238">
      <c r="E238" s="156"/>
      <c r="H238" s="157"/>
      <c r="R238" s="158"/>
      <c r="AC238" s="159"/>
    </row>
    <row r="239">
      <c r="E239" s="156"/>
      <c r="H239" s="157"/>
      <c r="R239" s="158"/>
      <c r="AC239" s="159"/>
    </row>
    <row r="240">
      <c r="E240" s="156"/>
      <c r="H240" s="157"/>
      <c r="R240" s="158"/>
      <c r="AC240" s="159"/>
    </row>
    <row r="241">
      <c r="E241" s="156"/>
      <c r="H241" s="157"/>
      <c r="R241" s="158"/>
      <c r="AC241" s="159"/>
    </row>
    <row r="242">
      <c r="E242" s="156"/>
      <c r="H242" s="157"/>
      <c r="R242" s="158"/>
      <c r="AC242" s="159"/>
    </row>
    <row r="243">
      <c r="E243" s="156"/>
      <c r="H243" s="157"/>
      <c r="R243" s="158"/>
      <c r="AC243" s="159"/>
    </row>
    <row r="244">
      <c r="E244" s="156"/>
      <c r="H244" s="157"/>
      <c r="R244" s="158"/>
      <c r="AC244" s="159"/>
    </row>
    <row r="245">
      <c r="E245" s="156"/>
      <c r="H245" s="157"/>
      <c r="R245" s="158"/>
      <c r="AC245" s="159"/>
    </row>
    <row r="246">
      <c r="E246" s="156"/>
      <c r="H246" s="157"/>
      <c r="R246" s="158"/>
      <c r="AC246" s="159"/>
    </row>
    <row r="247">
      <c r="E247" s="156"/>
      <c r="H247" s="157"/>
      <c r="R247" s="158"/>
      <c r="AC247" s="159"/>
    </row>
    <row r="248">
      <c r="E248" s="156"/>
      <c r="H248" s="157"/>
      <c r="R248" s="158"/>
      <c r="AC248" s="159"/>
    </row>
    <row r="249">
      <c r="E249" s="156"/>
      <c r="H249" s="157"/>
      <c r="R249" s="158"/>
      <c r="AC249" s="159"/>
    </row>
    <row r="250">
      <c r="E250" s="156"/>
      <c r="H250" s="157"/>
      <c r="R250" s="158"/>
      <c r="AC250" s="159"/>
    </row>
    <row r="251">
      <c r="E251" s="156"/>
      <c r="H251" s="157"/>
      <c r="R251" s="158"/>
      <c r="AC251" s="159"/>
    </row>
    <row r="252">
      <c r="E252" s="156"/>
      <c r="H252" s="157"/>
      <c r="R252" s="158"/>
      <c r="AC252" s="159"/>
    </row>
    <row r="253">
      <c r="E253" s="156"/>
      <c r="H253" s="157"/>
      <c r="R253" s="158"/>
      <c r="AC253" s="159"/>
    </row>
    <row r="254">
      <c r="E254" s="156"/>
      <c r="H254" s="157"/>
      <c r="R254" s="158"/>
      <c r="AC254" s="159"/>
    </row>
    <row r="255">
      <c r="E255" s="156"/>
      <c r="H255" s="157"/>
      <c r="R255" s="158"/>
      <c r="AC255" s="159"/>
    </row>
    <row r="256">
      <c r="E256" s="156"/>
      <c r="H256" s="157"/>
      <c r="R256" s="158"/>
      <c r="AC256" s="159"/>
    </row>
    <row r="257">
      <c r="E257" s="156"/>
      <c r="H257" s="157"/>
      <c r="R257" s="158"/>
      <c r="AC257" s="159"/>
    </row>
    <row r="258">
      <c r="E258" s="156"/>
      <c r="H258" s="157"/>
      <c r="R258" s="158"/>
      <c r="AC258" s="159"/>
    </row>
    <row r="259">
      <c r="E259" s="156"/>
      <c r="H259" s="157"/>
      <c r="R259" s="158"/>
      <c r="AC259" s="159"/>
    </row>
    <row r="260">
      <c r="E260" s="156"/>
      <c r="H260" s="157"/>
      <c r="R260" s="158"/>
      <c r="AC260" s="159"/>
    </row>
    <row r="261">
      <c r="E261" s="156"/>
      <c r="H261" s="157"/>
      <c r="R261" s="158"/>
      <c r="AC261" s="159"/>
    </row>
    <row r="262">
      <c r="E262" s="156"/>
      <c r="H262" s="157"/>
      <c r="R262" s="158"/>
      <c r="AC262" s="159"/>
    </row>
    <row r="263">
      <c r="E263" s="156"/>
      <c r="H263" s="157"/>
      <c r="R263" s="158"/>
      <c r="AC263" s="159"/>
    </row>
    <row r="264">
      <c r="E264" s="156"/>
      <c r="H264" s="157"/>
      <c r="R264" s="158"/>
      <c r="AC264" s="159"/>
    </row>
    <row r="265">
      <c r="E265" s="156"/>
      <c r="H265" s="157"/>
      <c r="R265" s="158"/>
      <c r="AC265" s="159"/>
    </row>
    <row r="266">
      <c r="E266" s="156"/>
      <c r="H266" s="157"/>
      <c r="R266" s="158"/>
      <c r="AC266" s="159"/>
    </row>
    <row r="267">
      <c r="E267" s="156"/>
      <c r="H267" s="157"/>
      <c r="R267" s="158"/>
      <c r="AC267" s="159"/>
    </row>
    <row r="268">
      <c r="E268" s="156"/>
      <c r="H268" s="157"/>
      <c r="R268" s="158"/>
      <c r="AC268" s="159"/>
    </row>
    <row r="269">
      <c r="E269" s="156"/>
      <c r="H269" s="157"/>
      <c r="R269" s="158"/>
      <c r="AC269" s="159"/>
    </row>
    <row r="270">
      <c r="E270" s="156"/>
      <c r="H270" s="157"/>
      <c r="R270" s="158"/>
      <c r="AC270" s="159"/>
    </row>
    <row r="271">
      <c r="E271" s="156"/>
      <c r="H271" s="157"/>
      <c r="R271" s="158"/>
      <c r="AC271" s="159"/>
    </row>
    <row r="272">
      <c r="E272" s="156"/>
      <c r="H272" s="157"/>
      <c r="R272" s="158"/>
      <c r="AC272" s="159"/>
    </row>
    <row r="273">
      <c r="E273" s="156"/>
      <c r="H273" s="157"/>
      <c r="R273" s="158"/>
      <c r="AC273" s="159"/>
    </row>
    <row r="274">
      <c r="E274" s="156"/>
      <c r="H274" s="157"/>
      <c r="R274" s="158"/>
      <c r="AC274" s="159"/>
    </row>
    <row r="275">
      <c r="E275" s="156"/>
      <c r="H275" s="157"/>
      <c r="R275" s="158"/>
      <c r="AC275" s="159"/>
    </row>
    <row r="276">
      <c r="E276" s="156"/>
      <c r="H276" s="157"/>
      <c r="R276" s="158"/>
      <c r="AC276" s="159"/>
    </row>
    <row r="277">
      <c r="E277" s="156"/>
      <c r="H277" s="157"/>
      <c r="R277" s="158"/>
      <c r="AC277" s="159"/>
    </row>
    <row r="278">
      <c r="E278" s="156"/>
      <c r="H278" s="157"/>
      <c r="R278" s="158"/>
      <c r="AC278" s="159"/>
    </row>
    <row r="279">
      <c r="E279" s="156"/>
      <c r="H279" s="157"/>
      <c r="R279" s="158"/>
      <c r="AC279" s="159"/>
    </row>
    <row r="280">
      <c r="E280" s="156"/>
      <c r="H280" s="157"/>
      <c r="R280" s="158"/>
      <c r="AC280" s="159"/>
    </row>
    <row r="281">
      <c r="E281" s="156"/>
      <c r="H281" s="157"/>
      <c r="R281" s="158"/>
      <c r="AC281" s="159"/>
    </row>
    <row r="282">
      <c r="E282" s="156"/>
      <c r="H282" s="157"/>
      <c r="R282" s="158"/>
      <c r="AC282" s="159"/>
    </row>
    <row r="283">
      <c r="E283" s="156"/>
      <c r="H283" s="157"/>
      <c r="R283" s="158"/>
      <c r="AC283" s="159"/>
    </row>
    <row r="284">
      <c r="E284" s="156"/>
      <c r="H284" s="157"/>
      <c r="R284" s="158"/>
      <c r="AC284" s="159"/>
    </row>
    <row r="285">
      <c r="E285" s="156"/>
      <c r="H285" s="157"/>
      <c r="R285" s="158"/>
      <c r="AC285" s="159"/>
    </row>
    <row r="286">
      <c r="E286" s="156"/>
      <c r="H286" s="157"/>
      <c r="R286" s="158"/>
      <c r="AC286" s="159"/>
    </row>
    <row r="287">
      <c r="E287" s="156"/>
      <c r="H287" s="157"/>
      <c r="R287" s="158"/>
      <c r="AC287" s="159"/>
    </row>
    <row r="288">
      <c r="E288" s="156"/>
      <c r="H288" s="157"/>
      <c r="R288" s="158"/>
      <c r="AC288" s="159"/>
    </row>
    <row r="289">
      <c r="E289" s="156"/>
      <c r="H289" s="157"/>
      <c r="R289" s="158"/>
      <c r="AC289" s="159"/>
    </row>
    <row r="290">
      <c r="E290" s="156"/>
      <c r="H290" s="157"/>
      <c r="R290" s="158"/>
      <c r="AC290" s="159"/>
    </row>
    <row r="291">
      <c r="E291" s="156"/>
      <c r="H291" s="157"/>
      <c r="R291" s="158"/>
      <c r="AC291" s="159"/>
    </row>
    <row r="292">
      <c r="E292" s="156"/>
      <c r="H292" s="157"/>
      <c r="R292" s="158"/>
      <c r="AC292" s="159"/>
    </row>
    <row r="293">
      <c r="E293" s="156"/>
      <c r="H293" s="157"/>
      <c r="R293" s="158"/>
      <c r="AC293" s="159"/>
    </row>
    <row r="294">
      <c r="E294" s="156"/>
      <c r="H294" s="157"/>
      <c r="R294" s="158"/>
      <c r="AC294" s="159"/>
    </row>
    <row r="295">
      <c r="E295" s="156"/>
      <c r="H295" s="157"/>
      <c r="R295" s="158"/>
      <c r="AC295" s="159"/>
    </row>
    <row r="296">
      <c r="E296" s="156"/>
      <c r="H296" s="157"/>
      <c r="R296" s="158"/>
      <c r="AC296" s="159"/>
    </row>
    <row r="297">
      <c r="E297" s="156"/>
      <c r="H297" s="157"/>
      <c r="R297" s="158"/>
      <c r="AC297" s="159"/>
    </row>
    <row r="298">
      <c r="E298" s="156"/>
      <c r="H298" s="157"/>
      <c r="R298" s="158"/>
      <c r="AC298" s="159"/>
    </row>
    <row r="299">
      <c r="E299" s="156"/>
      <c r="H299" s="157"/>
      <c r="R299" s="158"/>
      <c r="AC299" s="159"/>
    </row>
    <row r="300">
      <c r="E300" s="156"/>
      <c r="H300" s="157"/>
      <c r="R300" s="158"/>
      <c r="AC300" s="159"/>
    </row>
    <row r="301">
      <c r="E301" s="156"/>
      <c r="H301" s="157"/>
      <c r="R301" s="158"/>
      <c r="AC301" s="159"/>
    </row>
    <row r="302">
      <c r="E302" s="156"/>
      <c r="H302" s="157"/>
      <c r="R302" s="158"/>
      <c r="AC302" s="159"/>
    </row>
    <row r="303">
      <c r="E303" s="156"/>
      <c r="H303" s="157"/>
      <c r="R303" s="158"/>
      <c r="AC303" s="159"/>
    </row>
    <row r="304">
      <c r="E304" s="156"/>
      <c r="H304" s="157"/>
      <c r="R304" s="158"/>
      <c r="AC304" s="159"/>
    </row>
    <row r="305">
      <c r="E305" s="156"/>
      <c r="H305" s="157"/>
      <c r="R305" s="158"/>
      <c r="AC305" s="159"/>
    </row>
    <row r="306">
      <c r="E306" s="156"/>
      <c r="H306" s="157"/>
      <c r="R306" s="158"/>
      <c r="AC306" s="159"/>
    </row>
    <row r="307">
      <c r="E307" s="156"/>
      <c r="H307" s="157"/>
      <c r="R307" s="158"/>
      <c r="AC307" s="159"/>
    </row>
    <row r="308">
      <c r="E308" s="156"/>
      <c r="H308" s="157"/>
      <c r="R308" s="158"/>
      <c r="AC308" s="159"/>
    </row>
    <row r="309">
      <c r="E309" s="156"/>
      <c r="H309" s="157"/>
      <c r="R309" s="158"/>
      <c r="AC309" s="159"/>
    </row>
    <row r="310">
      <c r="E310" s="156"/>
      <c r="H310" s="157"/>
      <c r="R310" s="158"/>
      <c r="AC310" s="159"/>
    </row>
    <row r="311">
      <c r="E311" s="156"/>
      <c r="H311" s="157"/>
      <c r="R311" s="158"/>
      <c r="AC311" s="159"/>
    </row>
    <row r="312">
      <c r="E312" s="156"/>
      <c r="H312" s="157"/>
      <c r="R312" s="158"/>
      <c r="AC312" s="159"/>
    </row>
    <row r="313">
      <c r="E313" s="156"/>
      <c r="H313" s="157"/>
      <c r="R313" s="158"/>
      <c r="AC313" s="159"/>
    </row>
    <row r="314">
      <c r="E314" s="156"/>
      <c r="H314" s="157"/>
      <c r="R314" s="158"/>
      <c r="AC314" s="159"/>
    </row>
    <row r="315">
      <c r="E315" s="156"/>
      <c r="H315" s="157"/>
      <c r="R315" s="158"/>
      <c r="AC315" s="159"/>
    </row>
    <row r="316">
      <c r="E316" s="156"/>
      <c r="H316" s="157"/>
      <c r="R316" s="158"/>
      <c r="AC316" s="159"/>
    </row>
    <row r="317">
      <c r="E317" s="156"/>
      <c r="H317" s="157"/>
      <c r="R317" s="158"/>
      <c r="AC317" s="159"/>
    </row>
    <row r="318">
      <c r="E318" s="156"/>
      <c r="H318" s="157"/>
      <c r="R318" s="158"/>
      <c r="AC318" s="159"/>
    </row>
    <row r="319">
      <c r="E319" s="156"/>
      <c r="H319" s="157"/>
      <c r="R319" s="158"/>
      <c r="AC319" s="159"/>
    </row>
    <row r="320">
      <c r="E320" s="156"/>
      <c r="H320" s="157"/>
      <c r="R320" s="158"/>
      <c r="AC320" s="159"/>
    </row>
    <row r="321">
      <c r="E321" s="156"/>
      <c r="H321" s="157"/>
      <c r="R321" s="158"/>
      <c r="AC321" s="159"/>
    </row>
    <row r="322">
      <c r="E322" s="156"/>
      <c r="H322" s="157"/>
      <c r="R322" s="158"/>
      <c r="AC322" s="159"/>
    </row>
    <row r="323">
      <c r="E323" s="156"/>
      <c r="H323" s="157"/>
      <c r="R323" s="158"/>
      <c r="AC323" s="159"/>
    </row>
    <row r="324">
      <c r="E324" s="156"/>
      <c r="H324" s="157"/>
      <c r="R324" s="158"/>
      <c r="AC324" s="159"/>
    </row>
    <row r="325">
      <c r="E325" s="156"/>
      <c r="H325" s="157"/>
      <c r="R325" s="158"/>
      <c r="AC325" s="159"/>
    </row>
    <row r="326">
      <c r="E326" s="156"/>
      <c r="H326" s="157"/>
      <c r="R326" s="158"/>
      <c r="AC326" s="159"/>
    </row>
    <row r="327">
      <c r="E327" s="156"/>
      <c r="H327" s="157"/>
      <c r="R327" s="158"/>
      <c r="AC327" s="159"/>
    </row>
    <row r="328">
      <c r="E328" s="156"/>
      <c r="H328" s="157"/>
      <c r="R328" s="158"/>
      <c r="AC328" s="159"/>
    </row>
    <row r="329">
      <c r="E329" s="156"/>
      <c r="H329" s="157"/>
      <c r="R329" s="158"/>
      <c r="AC329" s="159"/>
    </row>
    <row r="330">
      <c r="E330" s="156"/>
      <c r="H330" s="157"/>
      <c r="R330" s="158"/>
      <c r="AC330" s="159"/>
    </row>
    <row r="331">
      <c r="E331" s="156"/>
      <c r="H331" s="157"/>
      <c r="R331" s="158"/>
      <c r="AC331" s="159"/>
    </row>
    <row r="332">
      <c r="E332" s="156"/>
      <c r="H332" s="157"/>
      <c r="R332" s="158"/>
      <c r="AC332" s="159"/>
    </row>
    <row r="333">
      <c r="E333" s="156"/>
      <c r="H333" s="157"/>
      <c r="R333" s="158"/>
      <c r="AC333" s="159"/>
    </row>
    <row r="334">
      <c r="E334" s="156"/>
      <c r="H334" s="157"/>
      <c r="R334" s="158"/>
      <c r="AC334" s="159"/>
    </row>
    <row r="335">
      <c r="E335" s="156"/>
      <c r="H335" s="157"/>
      <c r="R335" s="158"/>
      <c r="AC335" s="159"/>
    </row>
    <row r="336">
      <c r="E336" s="156"/>
      <c r="H336" s="157"/>
      <c r="R336" s="158"/>
      <c r="AC336" s="159"/>
    </row>
    <row r="337">
      <c r="E337" s="156"/>
      <c r="H337" s="157"/>
      <c r="R337" s="158"/>
      <c r="AC337" s="159"/>
    </row>
    <row r="338">
      <c r="E338" s="156"/>
      <c r="H338" s="157"/>
      <c r="R338" s="158"/>
      <c r="AC338" s="159"/>
    </row>
    <row r="339">
      <c r="E339" s="156"/>
      <c r="H339" s="157"/>
      <c r="R339" s="158"/>
      <c r="AC339" s="159"/>
    </row>
    <row r="340">
      <c r="E340" s="156"/>
      <c r="H340" s="157"/>
      <c r="R340" s="158"/>
      <c r="AC340" s="159"/>
    </row>
    <row r="341">
      <c r="E341" s="156"/>
      <c r="H341" s="157"/>
      <c r="R341" s="158"/>
      <c r="AC341" s="159"/>
    </row>
    <row r="342">
      <c r="E342" s="156"/>
      <c r="H342" s="157"/>
      <c r="R342" s="158"/>
      <c r="AC342" s="159"/>
    </row>
    <row r="343">
      <c r="E343" s="156"/>
      <c r="H343" s="157"/>
      <c r="R343" s="158"/>
      <c r="AC343" s="159"/>
    </row>
    <row r="344">
      <c r="E344" s="156"/>
      <c r="H344" s="157"/>
      <c r="R344" s="158"/>
      <c r="AC344" s="159"/>
    </row>
    <row r="345">
      <c r="E345" s="156"/>
      <c r="H345" s="157"/>
      <c r="R345" s="158"/>
      <c r="AC345" s="159"/>
    </row>
    <row r="346">
      <c r="E346" s="156"/>
      <c r="H346" s="157"/>
      <c r="R346" s="158"/>
      <c r="AC346" s="159"/>
    </row>
    <row r="347">
      <c r="E347" s="156"/>
      <c r="H347" s="157"/>
      <c r="R347" s="158"/>
      <c r="AC347" s="159"/>
    </row>
    <row r="348">
      <c r="E348" s="156"/>
      <c r="H348" s="157"/>
      <c r="R348" s="158"/>
      <c r="AC348" s="159"/>
    </row>
    <row r="349">
      <c r="E349" s="156"/>
      <c r="H349" s="157"/>
      <c r="R349" s="158"/>
      <c r="AC349" s="159"/>
    </row>
    <row r="350">
      <c r="E350" s="156"/>
      <c r="H350" s="157"/>
      <c r="R350" s="158"/>
      <c r="AC350" s="159"/>
    </row>
    <row r="351">
      <c r="E351" s="156"/>
      <c r="H351" s="157"/>
      <c r="R351" s="158"/>
      <c r="AC351" s="159"/>
    </row>
    <row r="352">
      <c r="E352" s="156"/>
      <c r="H352" s="157"/>
      <c r="R352" s="158"/>
      <c r="AC352" s="159"/>
    </row>
    <row r="353">
      <c r="E353" s="156"/>
      <c r="H353" s="157"/>
      <c r="R353" s="158"/>
      <c r="AC353" s="159"/>
    </row>
    <row r="354">
      <c r="E354" s="156"/>
      <c r="H354" s="157"/>
      <c r="R354" s="158"/>
      <c r="AC354" s="159"/>
    </row>
    <row r="355">
      <c r="E355" s="156"/>
      <c r="H355" s="157"/>
      <c r="R355" s="158"/>
      <c r="AC355" s="159"/>
    </row>
    <row r="356">
      <c r="E356" s="156"/>
      <c r="H356" s="157"/>
      <c r="R356" s="158"/>
      <c r="AC356" s="159"/>
    </row>
    <row r="357">
      <c r="E357" s="156"/>
      <c r="H357" s="157"/>
      <c r="R357" s="158"/>
      <c r="AC357" s="159"/>
    </row>
    <row r="358">
      <c r="E358" s="156"/>
      <c r="H358" s="157"/>
      <c r="R358" s="158"/>
      <c r="AC358" s="159"/>
    </row>
    <row r="359">
      <c r="E359" s="156"/>
      <c r="H359" s="157"/>
      <c r="R359" s="158"/>
      <c r="AC359" s="159"/>
    </row>
    <row r="360">
      <c r="E360" s="156"/>
      <c r="H360" s="157"/>
      <c r="R360" s="158"/>
      <c r="AC360" s="159"/>
    </row>
    <row r="361">
      <c r="E361" s="156"/>
      <c r="H361" s="157"/>
      <c r="R361" s="158"/>
      <c r="AC361" s="159"/>
    </row>
    <row r="362">
      <c r="E362" s="156"/>
      <c r="H362" s="157"/>
      <c r="R362" s="158"/>
      <c r="AC362" s="159"/>
    </row>
    <row r="363">
      <c r="E363" s="156"/>
      <c r="H363" s="157"/>
      <c r="R363" s="158"/>
      <c r="AC363" s="159"/>
    </row>
    <row r="364">
      <c r="E364" s="156"/>
      <c r="H364" s="157"/>
      <c r="R364" s="158"/>
      <c r="AC364" s="159"/>
    </row>
    <row r="365">
      <c r="E365" s="156"/>
      <c r="H365" s="157"/>
      <c r="R365" s="158"/>
      <c r="AC365" s="159"/>
    </row>
    <row r="366">
      <c r="E366" s="156"/>
      <c r="H366" s="157"/>
      <c r="R366" s="158"/>
      <c r="AC366" s="159"/>
    </row>
    <row r="367">
      <c r="E367" s="156"/>
      <c r="H367" s="157"/>
      <c r="R367" s="158"/>
      <c r="AC367" s="159"/>
    </row>
    <row r="368">
      <c r="E368" s="156"/>
      <c r="H368" s="157"/>
      <c r="R368" s="158"/>
      <c r="AC368" s="159"/>
    </row>
    <row r="369">
      <c r="E369" s="156"/>
      <c r="H369" s="157"/>
      <c r="R369" s="158"/>
      <c r="AC369" s="159"/>
    </row>
    <row r="370">
      <c r="E370" s="156"/>
      <c r="H370" s="157"/>
      <c r="R370" s="158"/>
      <c r="AC370" s="159"/>
    </row>
    <row r="371">
      <c r="E371" s="156"/>
      <c r="H371" s="157"/>
      <c r="R371" s="158"/>
      <c r="AC371" s="159"/>
    </row>
    <row r="372">
      <c r="E372" s="156"/>
      <c r="H372" s="157"/>
      <c r="R372" s="158"/>
      <c r="AC372" s="159"/>
    </row>
    <row r="373">
      <c r="E373" s="156"/>
      <c r="H373" s="157"/>
      <c r="R373" s="158"/>
      <c r="AC373" s="159"/>
    </row>
    <row r="374">
      <c r="E374" s="156"/>
      <c r="H374" s="157"/>
      <c r="R374" s="158"/>
      <c r="AC374" s="159"/>
    </row>
    <row r="375">
      <c r="E375" s="156"/>
      <c r="H375" s="157"/>
      <c r="R375" s="158"/>
      <c r="AC375" s="159"/>
    </row>
    <row r="376">
      <c r="E376" s="156"/>
      <c r="H376" s="157"/>
      <c r="R376" s="158"/>
      <c r="AC376" s="159"/>
    </row>
    <row r="377">
      <c r="E377" s="156"/>
      <c r="H377" s="157"/>
      <c r="R377" s="158"/>
      <c r="AC377" s="159"/>
    </row>
    <row r="378">
      <c r="E378" s="156"/>
      <c r="H378" s="157"/>
      <c r="R378" s="158"/>
      <c r="AC378" s="159"/>
    </row>
    <row r="379">
      <c r="E379" s="156"/>
      <c r="H379" s="157"/>
      <c r="R379" s="158"/>
      <c r="AC379" s="159"/>
    </row>
    <row r="380">
      <c r="E380" s="156"/>
      <c r="H380" s="157"/>
      <c r="R380" s="158"/>
      <c r="AC380" s="159"/>
    </row>
    <row r="381">
      <c r="E381" s="156"/>
      <c r="H381" s="157"/>
      <c r="R381" s="158"/>
      <c r="AC381" s="159"/>
    </row>
    <row r="382">
      <c r="E382" s="156"/>
      <c r="H382" s="157"/>
      <c r="R382" s="158"/>
      <c r="AC382" s="159"/>
    </row>
    <row r="383">
      <c r="E383" s="156"/>
      <c r="H383" s="157"/>
      <c r="R383" s="158"/>
      <c r="AC383" s="159"/>
    </row>
    <row r="384">
      <c r="E384" s="156"/>
      <c r="H384" s="157"/>
      <c r="R384" s="158"/>
      <c r="AC384" s="159"/>
    </row>
    <row r="385">
      <c r="E385" s="156"/>
      <c r="H385" s="157"/>
      <c r="R385" s="158"/>
      <c r="AC385" s="159"/>
    </row>
    <row r="386">
      <c r="E386" s="156"/>
      <c r="H386" s="157"/>
      <c r="R386" s="158"/>
      <c r="AC386" s="159"/>
    </row>
    <row r="387">
      <c r="E387" s="156"/>
      <c r="H387" s="157"/>
      <c r="R387" s="158"/>
      <c r="AC387" s="159"/>
    </row>
    <row r="388">
      <c r="E388" s="156"/>
      <c r="H388" s="157"/>
      <c r="R388" s="158"/>
      <c r="AC388" s="159"/>
    </row>
    <row r="389">
      <c r="E389" s="156"/>
      <c r="H389" s="157"/>
      <c r="R389" s="158"/>
      <c r="AC389" s="159"/>
    </row>
    <row r="390">
      <c r="E390" s="156"/>
      <c r="H390" s="157"/>
      <c r="R390" s="158"/>
      <c r="AC390" s="159"/>
    </row>
    <row r="391">
      <c r="E391" s="156"/>
      <c r="H391" s="157"/>
      <c r="R391" s="158"/>
      <c r="AC391" s="159"/>
    </row>
    <row r="392">
      <c r="E392" s="156"/>
      <c r="H392" s="157"/>
      <c r="R392" s="158"/>
      <c r="AC392" s="159"/>
    </row>
    <row r="393">
      <c r="E393" s="156"/>
      <c r="H393" s="157"/>
      <c r="R393" s="158"/>
      <c r="AC393" s="159"/>
    </row>
    <row r="394">
      <c r="E394" s="156"/>
      <c r="H394" s="157"/>
      <c r="R394" s="158"/>
      <c r="AC394" s="159"/>
    </row>
    <row r="395">
      <c r="E395" s="156"/>
      <c r="H395" s="157"/>
      <c r="R395" s="158"/>
      <c r="AC395" s="159"/>
    </row>
    <row r="396">
      <c r="E396" s="156"/>
      <c r="H396" s="157"/>
      <c r="R396" s="158"/>
      <c r="AC396" s="159"/>
    </row>
    <row r="397">
      <c r="E397" s="156"/>
      <c r="H397" s="157"/>
      <c r="R397" s="158"/>
      <c r="AC397" s="159"/>
    </row>
    <row r="398">
      <c r="E398" s="156"/>
      <c r="H398" s="157"/>
      <c r="R398" s="158"/>
      <c r="AC398" s="159"/>
    </row>
    <row r="399">
      <c r="E399" s="156"/>
      <c r="H399" s="157"/>
      <c r="R399" s="158"/>
      <c r="AC399" s="159"/>
    </row>
    <row r="400">
      <c r="E400" s="156"/>
      <c r="H400" s="157"/>
      <c r="R400" s="158"/>
      <c r="AC400" s="159"/>
    </row>
    <row r="401">
      <c r="E401" s="156"/>
      <c r="H401" s="157"/>
      <c r="R401" s="158"/>
      <c r="AC401" s="159"/>
    </row>
    <row r="402">
      <c r="E402" s="156"/>
      <c r="H402" s="157"/>
      <c r="R402" s="158"/>
      <c r="AC402" s="159"/>
    </row>
    <row r="403">
      <c r="E403" s="156"/>
      <c r="H403" s="157"/>
      <c r="R403" s="158"/>
      <c r="AC403" s="159"/>
    </row>
    <row r="404">
      <c r="E404" s="156"/>
      <c r="H404" s="157"/>
      <c r="R404" s="158"/>
      <c r="AC404" s="159"/>
    </row>
    <row r="405">
      <c r="E405" s="156"/>
      <c r="H405" s="157"/>
      <c r="R405" s="158"/>
      <c r="AC405" s="159"/>
    </row>
    <row r="406">
      <c r="E406" s="156"/>
      <c r="H406" s="157"/>
      <c r="R406" s="158"/>
      <c r="AC406" s="159"/>
    </row>
    <row r="407">
      <c r="E407" s="156"/>
      <c r="H407" s="157"/>
      <c r="R407" s="158"/>
      <c r="AC407" s="159"/>
    </row>
    <row r="408">
      <c r="E408" s="156"/>
      <c r="H408" s="157"/>
      <c r="R408" s="158"/>
      <c r="AC408" s="159"/>
    </row>
    <row r="409">
      <c r="E409" s="156"/>
      <c r="H409" s="157"/>
      <c r="R409" s="158"/>
      <c r="AC409" s="159"/>
    </row>
    <row r="410">
      <c r="E410" s="156"/>
      <c r="H410" s="157"/>
      <c r="R410" s="158"/>
      <c r="AC410" s="159"/>
    </row>
    <row r="411">
      <c r="E411" s="156"/>
      <c r="H411" s="157"/>
      <c r="R411" s="158"/>
      <c r="AC411" s="159"/>
    </row>
    <row r="412">
      <c r="E412" s="156"/>
      <c r="H412" s="157"/>
      <c r="R412" s="158"/>
      <c r="AC412" s="159"/>
    </row>
    <row r="413">
      <c r="E413" s="156"/>
      <c r="H413" s="157"/>
      <c r="R413" s="158"/>
      <c r="AC413" s="159"/>
    </row>
    <row r="414">
      <c r="E414" s="156"/>
      <c r="H414" s="157"/>
      <c r="R414" s="158"/>
      <c r="AC414" s="159"/>
    </row>
    <row r="415">
      <c r="E415" s="156"/>
      <c r="H415" s="157"/>
      <c r="R415" s="158"/>
      <c r="AC415" s="159"/>
    </row>
    <row r="416">
      <c r="E416" s="156"/>
      <c r="H416" s="157"/>
      <c r="R416" s="158"/>
      <c r="AC416" s="159"/>
    </row>
    <row r="417">
      <c r="E417" s="156"/>
      <c r="H417" s="157"/>
      <c r="R417" s="158"/>
      <c r="AC417" s="159"/>
    </row>
    <row r="418">
      <c r="E418" s="156"/>
      <c r="H418" s="157"/>
      <c r="R418" s="158"/>
      <c r="AC418" s="159"/>
    </row>
    <row r="419">
      <c r="E419" s="156"/>
      <c r="H419" s="157"/>
      <c r="R419" s="158"/>
      <c r="AC419" s="159"/>
    </row>
    <row r="420">
      <c r="E420" s="156"/>
      <c r="H420" s="157"/>
      <c r="R420" s="158"/>
      <c r="AC420" s="159"/>
    </row>
    <row r="421">
      <c r="E421" s="156"/>
      <c r="H421" s="157"/>
      <c r="R421" s="158"/>
      <c r="AC421" s="159"/>
    </row>
    <row r="422">
      <c r="E422" s="156"/>
      <c r="H422" s="157"/>
      <c r="R422" s="158"/>
      <c r="AC422" s="159"/>
    </row>
    <row r="423">
      <c r="E423" s="156"/>
      <c r="H423" s="157"/>
      <c r="R423" s="158"/>
      <c r="AC423" s="159"/>
    </row>
    <row r="424">
      <c r="E424" s="156"/>
      <c r="H424" s="157"/>
      <c r="R424" s="158"/>
      <c r="AC424" s="159"/>
    </row>
    <row r="425">
      <c r="E425" s="156"/>
      <c r="H425" s="157"/>
      <c r="R425" s="158"/>
      <c r="AC425" s="159"/>
    </row>
    <row r="426">
      <c r="E426" s="156"/>
      <c r="H426" s="157"/>
      <c r="R426" s="158"/>
      <c r="AC426" s="159"/>
    </row>
    <row r="427">
      <c r="E427" s="156"/>
      <c r="H427" s="157"/>
      <c r="R427" s="158"/>
      <c r="AC427" s="159"/>
    </row>
    <row r="428">
      <c r="E428" s="156"/>
      <c r="H428" s="157"/>
      <c r="R428" s="158"/>
      <c r="AC428" s="159"/>
    </row>
    <row r="429">
      <c r="E429" s="156"/>
      <c r="H429" s="157"/>
      <c r="R429" s="158"/>
      <c r="AC429" s="159"/>
    </row>
    <row r="430">
      <c r="E430" s="156"/>
      <c r="H430" s="157"/>
      <c r="R430" s="158"/>
      <c r="AC430" s="159"/>
    </row>
    <row r="431">
      <c r="E431" s="156"/>
      <c r="H431" s="157"/>
      <c r="R431" s="158"/>
      <c r="AC431" s="159"/>
    </row>
    <row r="432">
      <c r="E432" s="156"/>
      <c r="H432" s="157"/>
      <c r="R432" s="158"/>
      <c r="AC432" s="159"/>
    </row>
    <row r="433">
      <c r="E433" s="156"/>
      <c r="H433" s="157"/>
      <c r="R433" s="158"/>
      <c r="AC433" s="159"/>
    </row>
    <row r="434">
      <c r="E434" s="156"/>
      <c r="H434" s="157"/>
      <c r="R434" s="158"/>
      <c r="AC434" s="159"/>
    </row>
    <row r="435">
      <c r="E435" s="156"/>
      <c r="H435" s="157"/>
      <c r="R435" s="158"/>
      <c r="AC435" s="159"/>
    </row>
    <row r="436">
      <c r="E436" s="156"/>
      <c r="H436" s="157"/>
      <c r="R436" s="158"/>
      <c r="AC436" s="159"/>
    </row>
    <row r="437">
      <c r="E437" s="156"/>
      <c r="H437" s="157"/>
      <c r="R437" s="158"/>
      <c r="AC437" s="159"/>
    </row>
    <row r="438">
      <c r="E438" s="156"/>
      <c r="H438" s="157"/>
      <c r="R438" s="158"/>
      <c r="AC438" s="159"/>
    </row>
    <row r="439">
      <c r="E439" s="156"/>
      <c r="H439" s="157"/>
      <c r="R439" s="158"/>
      <c r="AC439" s="159"/>
    </row>
    <row r="440">
      <c r="E440" s="156"/>
      <c r="H440" s="157"/>
      <c r="R440" s="158"/>
      <c r="AC440" s="159"/>
    </row>
    <row r="441">
      <c r="E441" s="156"/>
      <c r="H441" s="157"/>
      <c r="R441" s="158"/>
      <c r="AC441" s="159"/>
    </row>
    <row r="442">
      <c r="E442" s="156"/>
      <c r="H442" s="157"/>
      <c r="R442" s="158"/>
      <c r="AC442" s="159"/>
    </row>
    <row r="443">
      <c r="E443" s="156"/>
      <c r="H443" s="157"/>
      <c r="R443" s="158"/>
      <c r="AC443" s="159"/>
    </row>
    <row r="444">
      <c r="E444" s="156"/>
      <c r="H444" s="157"/>
      <c r="R444" s="158"/>
      <c r="AC444" s="159"/>
    </row>
    <row r="445">
      <c r="E445" s="156"/>
      <c r="H445" s="157"/>
      <c r="R445" s="158"/>
      <c r="AC445" s="159"/>
    </row>
    <row r="446">
      <c r="E446" s="156"/>
      <c r="H446" s="157"/>
      <c r="R446" s="158"/>
      <c r="AC446" s="159"/>
    </row>
    <row r="447">
      <c r="E447" s="156"/>
      <c r="H447" s="157"/>
      <c r="R447" s="158"/>
      <c r="AC447" s="159"/>
    </row>
    <row r="448">
      <c r="E448" s="156"/>
      <c r="H448" s="157"/>
      <c r="R448" s="158"/>
      <c r="AC448" s="159"/>
    </row>
    <row r="449">
      <c r="E449" s="156"/>
      <c r="H449" s="157"/>
      <c r="R449" s="158"/>
      <c r="AC449" s="159"/>
    </row>
    <row r="450">
      <c r="E450" s="156"/>
      <c r="H450" s="157"/>
      <c r="R450" s="158"/>
      <c r="AC450" s="159"/>
    </row>
    <row r="451">
      <c r="E451" s="156"/>
      <c r="H451" s="157"/>
      <c r="R451" s="158"/>
      <c r="AC451" s="159"/>
    </row>
    <row r="452">
      <c r="E452" s="156"/>
      <c r="H452" s="157"/>
      <c r="R452" s="158"/>
      <c r="AC452" s="159"/>
    </row>
    <row r="453">
      <c r="E453" s="156"/>
      <c r="H453" s="157"/>
      <c r="R453" s="158"/>
      <c r="AC453" s="159"/>
    </row>
    <row r="454">
      <c r="E454" s="156"/>
      <c r="H454" s="157"/>
      <c r="R454" s="158"/>
      <c r="AC454" s="159"/>
    </row>
    <row r="455">
      <c r="E455" s="156"/>
      <c r="H455" s="157"/>
      <c r="R455" s="158"/>
      <c r="AC455" s="159"/>
    </row>
    <row r="456">
      <c r="E456" s="156"/>
      <c r="H456" s="157"/>
      <c r="R456" s="158"/>
      <c r="AC456" s="159"/>
    </row>
    <row r="457">
      <c r="E457" s="156"/>
      <c r="H457" s="157"/>
      <c r="R457" s="158"/>
      <c r="AC457" s="159"/>
    </row>
    <row r="458">
      <c r="E458" s="156"/>
      <c r="H458" s="157"/>
      <c r="R458" s="158"/>
      <c r="AC458" s="159"/>
    </row>
    <row r="459">
      <c r="E459" s="156"/>
      <c r="H459" s="157"/>
      <c r="R459" s="158"/>
      <c r="AC459" s="159"/>
    </row>
    <row r="460">
      <c r="E460" s="156"/>
      <c r="H460" s="157"/>
      <c r="R460" s="158"/>
      <c r="AC460" s="159"/>
    </row>
    <row r="461">
      <c r="E461" s="156"/>
      <c r="H461" s="157"/>
      <c r="R461" s="158"/>
      <c r="AC461" s="159"/>
    </row>
    <row r="462">
      <c r="E462" s="156"/>
      <c r="H462" s="157"/>
      <c r="R462" s="158"/>
      <c r="AC462" s="159"/>
    </row>
    <row r="463">
      <c r="E463" s="156"/>
      <c r="H463" s="157"/>
      <c r="R463" s="158"/>
      <c r="AC463" s="159"/>
    </row>
    <row r="464">
      <c r="E464" s="156"/>
      <c r="H464" s="157"/>
      <c r="R464" s="158"/>
      <c r="AC464" s="159"/>
    </row>
    <row r="465">
      <c r="E465" s="156"/>
      <c r="H465" s="157"/>
      <c r="R465" s="158"/>
      <c r="AC465" s="159"/>
    </row>
    <row r="466">
      <c r="E466" s="156"/>
      <c r="H466" s="157"/>
      <c r="R466" s="158"/>
      <c r="AC466" s="159"/>
    </row>
    <row r="467">
      <c r="E467" s="156"/>
      <c r="H467" s="157"/>
      <c r="R467" s="158"/>
      <c r="AC467" s="159"/>
    </row>
    <row r="468">
      <c r="E468" s="156"/>
      <c r="H468" s="157"/>
      <c r="R468" s="158"/>
      <c r="AC468" s="159"/>
    </row>
    <row r="469">
      <c r="E469" s="156"/>
      <c r="H469" s="157"/>
      <c r="R469" s="158"/>
      <c r="AC469" s="159"/>
    </row>
    <row r="470">
      <c r="E470" s="156"/>
      <c r="H470" s="157"/>
      <c r="R470" s="158"/>
      <c r="AC470" s="159"/>
    </row>
    <row r="471">
      <c r="E471" s="156"/>
      <c r="H471" s="157"/>
      <c r="R471" s="158"/>
      <c r="AC471" s="159"/>
    </row>
    <row r="472">
      <c r="E472" s="156"/>
      <c r="H472" s="157"/>
      <c r="R472" s="158"/>
      <c r="AC472" s="159"/>
    </row>
    <row r="473">
      <c r="E473" s="156"/>
      <c r="H473" s="157"/>
      <c r="R473" s="158"/>
      <c r="AC473" s="159"/>
    </row>
    <row r="474">
      <c r="E474" s="156"/>
      <c r="H474" s="157"/>
      <c r="R474" s="158"/>
      <c r="AC474" s="159"/>
    </row>
    <row r="475">
      <c r="E475" s="156"/>
      <c r="H475" s="157"/>
      <c r="R475" s="158"/>
      <c r="AC475" s="159"/>
    </row>
    <row r="476">
      <c r="E476" s="156"/>
      <c r="H476" s="157"/>
      <c r="R476" s="158"/>
      <c r="AC476" s="159"/>
    </row>
    <row r="477">
      <c r="E477" s="156"/>
      <c r="H477" s="157"/>
      <c r="R477" s="158"/>
      <c r="AC477" s="159"/>
    </row>
    <row r="478">
      <c r="E478" s="156"/>
      <c r="H478" s="157"/>
      <c r="R478" s="158"/>
      <c r="AC478" s="159"/>
    </row>
    <row r="479">
      <c r="E479" s="156"/>
      <c r="H479" s="157"/>
      <c r="R479" s="158"/>
      <c r="AC479" s="159"/>
    </row>
    <row r="480">
      <c r="E480" s="156"/>
      <c r="H480" s="157"/>
      <c r="R480" s="158"/>
      <c r="AC480" s="159"/>
    </row>
    <row r="481">
      <c r="E481" s="156"/>
      <c r="H481" s="157"/>
      <c r="R481" s="158"/>
      <c r="AC481" s="159"/>
    </row>
    <row r="482">
      <c r="E482" s="156"/>
      <c r="H482" s="157"/>
      <c r="R482" s="158"/>
      <c r="AC482" s="159"/>
    </row>
    <row r="483">
      <c r="E483" s="156"/>
      <c r="H483" s="157"/>
      <c r="R483" s="158"/>
      <c r="AC483" s="159"/>
    </row>
    <row r="484">
      <c r="E484" s="156"/>
      <c r="H484" s="157"/>
      <c r="R484" s="158"/>
      <c r="AC484" s="159"/>
    </row>
    <row r="485">
      <c r="E485" s="156"/>
      <c r="H485" s="157"/>
      <c r="R485" s="158"/>
      <c r="AC485" s="159"/>
    </row>
    <row r="486">
      <c r="E486" s="156"/>
      <c r="H486" s="157"/>
      <c r="R486" s="158"/>
      <c r="AC486" s="159"/>
    </row>
    <row r="487">
      <c r="E487" s="156"/>
      <c r="H487" s="157"/>
      <c r="R487" s="158"/>
      <c r="AC487" s="159"/>
    </row>
    <row r="488">
      <c r="E488" s="156"/>
      <c r="H488" s="157"/>
      <c r="R488" s="158"/>
      <c r="AC488" s="159"/>
    </row>
    <row r="489">
      <c r="E489" s="156"/>
      <c r="H489" s="157"/>
      <c r="R489" s="158"/>
      <c r="AC489" s="159"/>
    </row>
    <row r="490">
      <c r="E490" s="156"/>
      <c r="H490" s="157"/>
      <c r="R490" s="158"/>
      <c r="AC490" s="159"/>
    </row>
    <row r="491">
      <c r="E491" s="156"/>
      <c r="H491" s="157"/>
      <c r="R491" s="158"/>
      <c r="AC491" s="159"/>
    </row>
    <row r="492">
      <c r="E492" s="156"/>
      <c r="H492" s="157"/>
      <c r="R492" s="158"/>
      <c r="AC492" s="159"/>
    </row>
    <row r="493">
      <c r="E493" s="156"/>
      <c r="H493" s="157"/>
      <c r="R493" s="158"/>
      <c r="AC493" s="159"/>
    </row>
    <row r="494">
      <c r="E494" s="156"/>
      <c r="H494" s="157"/>
      <c r="R494" s="158"/>
      <c r="AC494" s="159"/>
    </row>
    <row r="495">
      <c r="E495" s="156"/>
      <c r="H495" s="157"/>
      <c r="R495" s="158"/>
      <c r="AC495" s="159"/>
    </row>
    <row r="496">
      <c r="E496" s="156"/>
      <c r="H496" s="157"/>
      <c r="R496" s="158"/>
      <c r="AC496" s="159"/>
    </row>
    <row r="497">
      <c r="E497" s="156"/>
      <c r="H497" s="157"/>
      <c r="R497" s="158"/>
      <c r="AC497" s="159"/>
    </row>
    <row r="498">
      <c r="E498" s="156"/>
      <c r="H498" s="157"/>
      <c r="R498" s="158"/>
      <c r="AC498" s="159"/>
    </row>
    <row r="499">
      <c r="E499" s="156"/>
      <c r="H499" s="157"/>
      <c r="R499" s="158"/>
      <c r="AC499" s="159"/>
    </row>
    <row r="500">
      <c r="E500" s="156"/>
      <c r="H500" s="157"/>
      <c r="R500" s="158"/>
      <c r="AC500" s="159"/>
    </row>
    <row r="501">
      <c r="E501" s="156"/>
      <c r="H501" s="157"/>
      <c r="R501" s="158"/>
      <c r="AC501" s="159"/>
    </row>
    <row r="502">
      <c r="E502" s="156"/>
      <c r="H502" s="157"/>
      <c r="R502" s="158"/>
      <c r="AC502" s="159"/>
    </row>
    <row r="503">
      <c r="E503" s="156"/>
      <c r="H503" s="157"/>
      <c r="R503" s="158"/>
      <c r="AC503" s="159"/>
    </row>
    <row r="504">
      <c r="E504" s="156"/>
      <c r="H504" s="157"/>
      <c r="R504" s="158"/>
      <c r="AC504" s="159"/>
    </row>
    <row r="505">
      <c r="E505" s="156"/>
      <c r="H505" s="157"/>
      <c r="R505" s="158"/>
      <c r="AC505" s="159"/>
    </row>
    <row r="506">
      <c r="E506" s="156"/>
      <c r="H506" s="157"/>
      <c r="R506" s="158"/>
      <c r="AC506" s="159"/>
    </row>
    <row r="507">
      <c r="E507" s="156"/>
      <c r="H507" s="157"/>
      <c r="R507" s="158"/>
      <c r="AC507" s="159"/>
    </row>
    <row r="508">
      <c r="E508" s="156"/>
      <c r="H508" s="157"/>
      <c r="R508" s="158"/>
      <c r="AC508" s="159"/>
    </row>
    <row r="509">
      <c r="E509" s="156"/>
      <c r="H509" s="157"/>
      <c r="R509" s="158"/>
      <c r="AC509" s="159"/>
    </row>
    <row r="510">
      <c r="E510" s="156"/>
      <c r="H510" s="157"/>
      <c r="R510" s="158"/>
      <c r="AC510" s="159"/>
    </row>
    <row r="511">
      <c r="E511" s="156"/>
      <c r="H511" s="157"/>
      <c r="R511" s="158"/>
      <c r="AC511" s="159"/>
    </row>
    <row r="512">
      <c r="E512" s="156"/>
      <c r="H512" s="157"/>
      <c r="R512" s="158"/>
      <c r="AC512" s="159"/>
    </row>
    <row r="513">
      <c r="E513" s="156"/>
      <c r="H513" s="157"/>
      <c r="R513" s="158"/>
      <c r="AC513" s="159"/>
    </row>
    <row r="514">
      <c r="E514" s="156"/>
      <c r="H514" s="157"/>
      <c r="R514" s="158"/>
      <c r="AC514" s="159"/>
    </row>
    <row r="515">
      <c r="E515" s="156"/>
      <c r="H515" s="157"/>
      <c r="R515" s="158"/>
      <c r="AC515" s="159"/>
    </row>
    <row r="516">
      <c r="E516" s="156"/>
      <c r="H516" s="157"/>
      <c r="R516" s="158"/>
      <c r="AC516" s="159"/>
    </row>
    <row r="517">
      <c r="E517" s="156"/>
      <c r="H517" s="157"/>
      <c r="R517" s="158"/>
      <c r="AC517" s="159"/>
    </row>
    <row r="518">
      <c r="E518" s="156"/>
      <c r="H518" s="157"/>
      <c r="R518" s="158"/>
      <c r="AC518" s="159"/>
    </row>
    <row r="519">
      <c r="E519" s="156"/>
      <c r="H519" s="157"/>
      <c r="R519" s="158"/>
      <c r="AC519" s="159"/>
    </row>
    <row r="520">
      <c r="E520" s="156"/>
      <c r="H520" s="157"/>
      <c r="R520" s="158"/>
      <c r="AC520" s="159"/>
    </row>
    <row r="521">
      <c r="E521" s="156"/>
      <c r="H521" s="157"/>
      <c r="R521" s="158"/>
      <c r="AC521" s="159"/>
    </row>
    <row r="522">
      <c r="E522" s="156"/>
      <c r="H522" s="157"/>
      <c r="R522" s="158"/>
      <c r="AC522" s="159"/>
    </row>
    <row r="523">
      <c r="E523" s="156"/>
      <c r="H523" s="157"/>
      <c r="R523" s="158"/>
      <c r="AC523" s="159"/>
    </row>
    <row r="524">
      <c r="E524" s="156"/>
      <c r="H524" s="157"/>
      <c r="R524" s="158"/>
      <c r="AC524" s="159"/>
    </row>
    <row r="525">
      <c r="E525" s="156"/>
      <c r="H525" s="157"/>
      <c r="R525" s="158"/>
      <c r="AC525" s="159"/>
    </row>
    <row r="526">
      <c r="E526" s="156"/>
      <c r="H526" s="157"/>
      <c r="R526" s="158"/>
      <c r="AC526" s="159"/>
    </row>
    <row r="527">
      <c r="E527" s="156"/>
      <c r="H527" s="157"/>
      <c r="R527" s="158"/>
      <c r="AC527" s="159"/>
    </row>
    <row r="528">
      <c r="E528" s="156"/>
      <c r="H528" s="157"/>
      <c r="R528" s="158"/>
      <c r="AC528" s="159"/>
    </row>
    <row r="529">
      <c r="E529" s="156"/>
      <c r="H529" s="157"/>
      <c r="R529" s="158"/>
      <c r="AC529" s="159"/>
    </row>
    <row r="530">
      <c r="E530" s="156"/>
      <c r="H530" s="157"/>
      <c r="R530" s="158"/>
      <c r="AC530" s="159"/>
    </row>
    <row r="531">
      <c r="E531" s="156"/>
      <c r="H531" s="157"/>
      <c r="R531" s="158"/>
      <c r="AC531" s="159"/>
    </row>
    <row r="532">
      <c r="E532" s="156"/>
      <c r="H532" s="157"/>
      <c r="R532" s="158"/>
      <c r="AC532" s="159"/>
    </row>
    <row r="533">
      <c r="E533" s="156"/>
      <c r="H533" s="157"/>
      <c r="R533" s="158"/>
      <c r="AC533" s="159"/>
    </row>
    <row r="534">
      <c r="E534" s="156"/>
      <c r="H534" s="157"/>
      <c r="R534" s="158"/>
      <c r="AC534" s="159"/>
    </row>
    <row r="535">
      <c r="E535" s="156"/>
      <c r="H535" s="157"/>
      <c r="R535" s="158"/>
      <c r="AC535" s="159"/>
    </row>
    <row r="536">
      <c r="E536" s="156"/>
      <c r="H536" s="157"/>
      <c r="R536" s="158"/>
      <c r="AC536" s="159"/>
    </row>
    <row r="537">
      <c r="E537" s="156"/>
      <c r="H537" s="157"/>
      <c r="R537" s="158"/>
      <c r="AC537" s="159"/>
    </row>
    <row r="538">
      <c r="E538" s="156"/>
      <c r="H538" s="157"/>
      <c r="R538" s="158"/>
      <c r="AC538" s="159"/>
    </row>
    <row r="539">
      <c r="E539" s="156"/>
      <c r="H539" s="157"/>
      <c r="R539" s="158"/>
      <c r="AC539" s="159"/>
    </row>
    <row r="540">
      <c r="E540" s="156"/>
      <c r="H540" s="157"/>
      <c r="R540" s="158"/>
      <c r="AC540" s="159"/>
    </row>
    <row r="541">
      <c r="E541" s="156"/>
      <c r="H541" s="157"/>
      <c r="R541" s="158"/>
      <c r="AC541" s="159"/>
    </row>
    <row r="542">
      <c r="E542" s="156"/>
      <c r="H542" s="157"/>
      <c r="R542" s="158"/>
      <c r="AC542" s="159"/>
    </row>
    <row r="543">
      <c r="E543" s="156"/>
      <c r="H543" s="157"/>
      <c r="R543" s="158"/>
      <c r="AC543" s="159"/>
    </row>
    <row r="544">
      <c r="E544" s="156"/>
      <c r="H544" s="157"/>
      <c r="R544" s="158"/>
      <c r="AC544" s="159"/>
    </row>
    <row r="545">
      <c r="E545" s="156"/>
      <c r="H545" s="157"/>
      <c r="R545" s="158"/>
      <c r="AC545" s="159"/>
    </row>
    <row r="546">
      <c r="E546" s="156"/>
      <c r="H546" s="157"/>
      <c r="R546" s="158"/>
      <c r="AC546" s="159"/>
    </row>
    <row r="547">
      <c r="E547" s="156"/>
      <c r="H547" s="157"/>
      <c r="R547" s="158"/>
      <c r="AC547" s="159"/>
    </row>
    <row r="548">
      <c r="E548" s="156"/>
      <c r="H548" s="157"/>
      <c r="R548" s="158"/>
      <c r="AC548" s="159"/>
    </row>
    <row r="549">
      <c r="E549" s="156"/>
      <c r="H549" s="157"/>
      <c r="R549" s="158"/>
      <c r="AC549" s="159"/>
    </row>
    <row r="550">
      <c r="E550" s="156"/>
      <c r="H550" s="157"/>
      <c r="R550" s="158"/>
      <c r="AC550" s="159"/>
    </row>
    <row r="551">
      <c r="E551" s="156"/>
      <c r="H551" s="157"/>
      <c r="R551" s="158"/>
      <c r="AC551" s="159"/>
    </row>
    <row r="552">
      <c r="E552" s="156"/>
      <c r="H552" s="157"/>
      <c r="R552" s="158"/>
      <c r="AC552" s="159"/>
    </row>
    <row r="553">
      <c r="E553" s="156"/>
      <c r="H553" s="157"/>
      <c r="R553" s="158"/>
      <c r="AC553" s="159"/>
    </row>
    <row r="554">
      <c r="E554" s="156"/>
      <c r="H554" s="157"/>
      <c r="R554" s="158"/>
      <c r="AC554" s="159"/>
    </row>
    <row r="555">
      <c r="E555" s="156"/>
      <c r="H555" s="157"/>
      <c r="R555" s="158"/>
      <c r="AC555" s="159"/>
    </row>
    <row r="556">
      <c r="E556" s="156"/>
      <c r="H556" s="157"/>
      <c r="R556" s="158"/>
      <c r="AC556" s="159"/>
    </row>
    <row r="557">
      <c r="E557" s="156"/>
      <c r="H557" s="157"/>
      <c r="R557" s="158"/>
      <c r="AC557" s="159"/>
    </row>
    <row r="558">
      <c r="E558" s="156"/>
      <c r="H558" s="157"/>
      <c r="R558" s="158"/>
      <c r="AC558" s="159"/>
    </row>
    <row r="559">
      <c r="E559" s="156"/>
      <c r="H559" s="157"/>
      <c r="R559" s="158"/>
      <c r="AC559" s="159"/>
    </row>
    <row r="560">
      <c r="E560" s="156"/>
      <c r="H560" s="157"/>
      <c r="R560" s="158"/>
      <c r="AC560" s="159"/>
    </row>
    <row r="561">
      <c r="E561" s="156"/>
      <c r="H561" s="157"/>
      <c r="R561" s="158"/>
      <c r="AC561" s="159"/>
    </row>
    <row r="562">
      <c r="E562" s="156"/>
      <c r="H562" s="157"/>
      <c r="R562" s="158"/>
      <c r="AC562" s="159"/>
    </row>
    <row r="563">
      <c r="E563" s="156"/>
      <c r="H563" s="157"/>
      <c r="R563" s="158"/>
      <c r="AC563" s="159"/>
    </row>
    <row r="564">
      <c r="E564" s="156"/>
      <c r="H564" s="157"/>
      <c r="R564" s="158"/>
      <c r="AC564" s="159"/>
    </row>
    <row r="565">
      <c r="E565" s="156"/>
      <c r="H565" s="157"/>
      <c r="R565" s="158"/>
      <c r="AC565" s="159"/>
    </row>
    <row r="566">
      <c r="E566" s="156"/>
      <c r="H566" s="157"/>
      <c r="R566" s="158"/>
      <c r="AC566" s="159"/>
    </row>
    <row r="567">
      <c r="E567" s="156"/>
      <c r="H567" s="157"/>
      <c r="R567" s="158"/>
      <c r="AC567" s="159"/>
    </row>
    <row r="568">
      <c r="E568" s="156"/>
      <c r="H568" s="157"/>
      <c r="R568" s="158"/>
      <c r="AC568" s="159"/>
    </row>
    <row r="569">
      <c r="E569" s="156"/>
      <c r="H569" s="157"/>
      <c r="R569" s="158"/>
      <c r="AC569" s="159"/>
    </row>
    <row r="570">
      <c r="E570" s="156"/>
      <c r="H570" s="157"/>
      <c r="R570" s="158"/>
      <c r="AC570" s="159"/>
    </row>
    <row r="571">
      <c r="E571" s="156"/>
      <c r="H571" s="157"/>
      <c r="R571" s="158"/>
      <c r="AC571" s="159"/>
    </row>
    <row r="572">
      <c r="E572" s="156"/>
      <c r="H572" s="157"/>
      <c r="R572" s="158"/>
      <c r="AC572" s="159"/>
    </row>
    <row r="573">
      <c r="E573" s="156"/>
      <c r="H573" s="157"/>
      <c r="R573" s="158"/>
      <c r="AC573" s="159"/>
    </row>
    <row r="574">
      <c r="E574" s="156"/>
      <c r="H574" s="157"/>
      <c r="R574" s="158"/>
      <c r="AC574" s="159"/>
    </row>
    <row r="575">
      <c r="E575" s="156"/>
      <c r="H575" s="157"/>
      <c r="R575" s="158"/>
      <c r="AC575" s="159"/>
    </row>
    <row r="576">
      <c r="E576" s="156"/>
      <c r="H576" s="157"/>
      <c r="R576" s="158"/>
      <c r="AC576" s="159"/>
    </row>
    <row r="577">
      <c r="E577" s="156"/>
      <c r="H577" s="157"/>
      <c r="R577" s="158"/>
      <c r="AC577" s="159"/>
    </row>
    <row r="578">
      <c r="E578" s="156"/>
      <c r="H578" s="157"/>
      <c r="R578" s="158"/>
      <c r="AC578" s="159"/>
    </row>
    <row r="579">
      <c r="E579" s="156"/>
      <c r="H579" s="157"/>
      <c r="R579" s="158"/>
      <c r="AC579" s="159"/>
    </row>
    <row r="580">
      <c r="E580" s="156"/>
      <c r="H580" s="157"/>
      <c r="R580" s="158"/>
      <c r="AC580" s="159"/>
    </row>
    <row r="581">
      <c r="E581" s="156"/>
      <c r="H581" s="157"/>
      <c r="R581" s="158"/>
      <c r="AC581" s="159"/>
    </row>
    <row r="582">
      <c r="E582" s="156"/>
      <c r="H582" s="157"/>
      <c r="R582" s="158"/>
      <c r="AC582" s="159"/>
    </row>
    <row r="583">
      <c r="E583" s="156"/>
      <c r="H583" s="157"/>
      <c r="R583" s="158"/>
      <c r="AC583" s="159"/>
    </row>
    <row r="584">
      <c r="E584" s="156"/>
      <c r="H584" s="157"/>
      <c r="R584" s="158"/>
      <c r="AC584" s="159"/>
    </row>
    <row r="585">
      <c r="E585" s="156"/>
      <c r="H585" s="157"/>
      <c r="R585" s="158"/>
      <c r="AC585" s="159"/>
    </row>
    <row r="586">
      <c r="E586" s="156"/>
      <c r="H586" s="157"/>
      <c r="R586" s="158"/>
      <c r="AC586" s="159"/>
    </row>
    <row r="587">
      <c r="E587" s="156"/>
      <c r="H587" s="157"/>
      <c r="R587" s="158"/>
      <c r="AC587" s="159"/>
    </row>
    <row r="588">
      <c r="E588" s="156"/>
      <c r="H588" s="157"/>
      <c r="R588" s="158"/>
      <c r="AC588" s="159"/>
    </row>
    <row r="589">
      <c r="E589" s="156"/>
      <c r="H589" s="157"/>
      <c r="R589" s="158"/>
      <c r="AC589" s="159"/>
    </row>
    <row r="590">
      <c r="E590" s="156"/>
      <c r="H590" s="157"/>
      <c r="R590" s="158"/>
      <c r="AC590" s="159"/>
    </row>
    <row r="591">
      <c r="E591" s="156"/>
      <c r="H591" s="157"/>
      <c r="R591" s="158"/>
      <c r="AC591" s="159"/>
    </row>
    <row r="592">
      <c r="E592" s="156"/>
      <c r="H592" s="157"/>
      <c r="R592" s="158"/>
      <c r="AC592" s="159"/>
    </row>
    <row r="593">
      <c r="E593" s="156"/>
      <c r="H593" s="157"/>
      <c r="R593" s="158"/>
      <c r="AC593" s="159"/>
    </row>
    <row r="594">
      <c r="E594" s="156"/>
      <c r="H594" s="157"/>
      <c r="R594" s="158"/>
      <c r="AC594" s="159"/>
    </row>
    <row r="595">
      <c r="E595" s="156"/>
      <c r="H595" s="157"/>
      <c r="R595" s="158"/>
      <c r="AC595" s="159"/>
    </row>
    <row r="596">
      <c r="E596" s="156"/>
      <c r="H596" s="157"/>
      <c r="R596" s="158"/>
      <c r="AC596" s="159"/>
    </row>
    <row r="597">
      <c r="E597" s="156"/>
      <c r="H597" s="157"/>
      <c r="R597" s="158"/>
      <c r="AC597" s="159"/>
    </row>
    <row r="598">
      <c r="E598" s="156"/>
      <c r="H598" s="157"/>
      <c r="R598" s="158"/>
      <c r="AC598" s="159"/>
    </row>
    <row r="599">
      <c r="E599" s="156"/>
      <c r="H599" s="157"/>
      <c r="R599" s="158"/>
      <c r="AC599" s="159"/>
    </row>
    <row r="600">
      <c r="E600" s="156"/>
      <c r="H600" s="157"/>
      <c r="R600" s="158"/>
      <c r="AC600" s="159"/>
    </row>
    <row r="601">
      <c r="E601" s="156"/>
      <c r="H601" s="157"/>
      <c r="R601" s="158"/>
      <c r="AC601" s="159"/>
    </row>
    <row r="602">
      <c r="E602" s="156"/>
      <c r="H602" s="157"/>
      <c r="R602" s="158"/>
      <c r="AC602" s="159"/>
    </row>
    <row r="603">
      <c r="E603" s="156"/>
      <c r="H603" s="157"/>
      <c r="R603" s="158"/>
      <c r="AC603" s="159"/>
    </row>
    <row r="604">
      <c r="E604" s="156"/>
      <c r="H604" s="157"/>
      <c r="R604" s="158"/>
      <c r="AC604" s="159"/>
    </row>
    <row r="605">
      <c r="E605" s="156"/>
      <c r="H605" s="157"/>
      <c r="R605" s="158"/>
      <c r="AC605" s="159"/>
    </row>
    <row r="606">
      <c r="E606" s="156"/>
      <c r="H606" s="157"/>
      <c r="R606" s="158"/>
      <c r="AC606" s="159"/>
    </row>
    <row r="607">
      <c r="E607" s="156"/>
      <c r="H607" s="157"/>
      <c r="R607" s="158"/>
      <c r="AC607" s="159"/>
    </row>
    <row r="608">
      <c r="E608" s="156"/>
      <c r="H608" s="157"/>
      <c r="R608" s="158"/>
      <c r="AC608" s="159"/>
    </row>
    <row r="609">
      <c r="E609" s="156"/>
      <c r="H609" s="157"/>
      <c r="R609" s="158"/>
      <c r="AC609" s="159"/>
    </row>
    <row r="610">
      <c r="E610" s="156"/>
      <c r="H610" s="157"/>
      <c r="R610" s="158"/>
      <c r="AC610" s="159"/>
    </row>
    <row r="611">
      <c r="E611" s="156"/>
      <c r="H611" s="157"/>
      <c r="R611" s="158"/>
      <c r="AC611" s="159"/>
    </row>
    <row r="612">
      <c r="E612" s="156"/>
      <c r="H612" s="157"/>
      <c r="R612" s="158"/>
      <c r="AC612" s="159"/>
    </row>
    <row r="613">
      <c r="E613" s="156"/>
      <c r="H613" s="157"/>
      <c r="R613" s="158"/>
      <c r="AC613" s="159"/>
    </row>
    <row r="614">
      <c r="E614" s="156"/>
      <c r="H614" s="157"/>
      <c r="R614" s="158"/>
      <c r="AC614" s="159"/>
    </row>
    <row r="615">
      <c r="E615" s="156"/>
      <c r="H615" s="157"/>
      <c r="R615" s="158"/>
      <c r="AC615" s="159"/>
    </row>
    <row r="616">
      <c r="E616" s="156"/>
      <c r="H616" s="157"/>
      <c r="R616" s="158"/>
      <c r="AC616" s="159"/>
    </row>
    <row r="617">
      <c r="E617" s="156"/>
      <c r="H617" s="157"/>
      <c r="R617" s="158"/>
      <c r="AC617" s="159"/>
    </row>
    <row r="618">
      <c r="E618" s="156"/>
      <c r="H618" s="157"/>
      <c r="R618" s="158"/>
      <c r="AC618" s="159"/>
    </row>
    <row r="619">
      <c r="E619" s="156"/>
      <c r="H619" s="157"/>
      <c r="R619" s="158"/>
      <c r="AC619" s="159"/>
    </row>
    <row r="620">
      <c r="E620" s="156"/>
      <c r="H620" s="157"/>
      <c r="R620" s="158"/>
      <c r="AC620" s="159"/>
    </row>
    <row r="621">
      <c r="E621" s="156"/>
      <c r="H621" s="157"/>
      <c r="R621" s="158"/>
      <c r="AC621" s="159"/>
    </row>
    <row r="622">
      <c r="E622" s="156"/>
      <c r="H622" s="157"/>
      <c r="R622" s="158"/>
      <c r="AC622" s="159"/>
    </row>
    <row r="623">
      <c r="E623" s="156"/>
      <c r="H623" s="157"/>
      <c r="R623" s="158"/>
      <c r="AC623" s="159"/>
    </row>
    <row r="624">
      <c r="E624" s="156"/>
      <c r="H624" s="157"/>
      <c r="R624" s="158"/>
      <c r="AC624" s="159"/>
    </row>
    <row r="625">
      <c r="E625" s="156"/>
      <c r="H625" s="157"/>
      <c r="R625" s="158"/>
      <c r="AC625" s="159"/>
    </row>
    <row r="626">
      <c r="E626" s="156"/>
      <c r="H626" s="157"/>
      <c r="R626" s="158"/>
      <c r="AC626" s="159"/>
    </row>
    <row r="627">
      <c r="E627" s="156"/>
      <c r="H627" s="157"/>
      <c r="R627" s="158"/>
      <c r="AC627" s="159"/>
    </row>
    <row r="628">
      <c r="E628" s="156"/>
      <c r="H628" s="157"/>
      <c r="R628" s="158"/>
      <c r="AC628" s="159"/>
    </row>
    <row r="629">
      <c r="E629" s="156"/>
      <c r="H629" s="157"/>
      <c r="R629" s="158"/>
      <c r="AC629" s="159"/>
    </row>
    <row r="630">
      <c r="E630" s="156"/>
      <c r="H630" s="157"/>
      <c r="R630" s="158"/>
      <c r="AC630" s="159"/>
    </row>
    <row r="631">
      <c r="E631" s="156"/>
      <c r="H631" s="157"/>
      <c r="R631" s="158"/>
      <c r="AC631" s="159"/>
    </row>
    <row r="632">
      <c r="E632" s="156"/>
      <c r="H632" s="157"/>
      <c r="R632" s="158"/>
      <c r="AC632" s="159"/>
    </row>
    <row r="633">
      <c r="E633" s="156"/>
      <c r="H633" s="157"/>
      <c r="R633" s="158"/>
      <c r="AC633" s="159"/>
    </row>
    <row r="634">
      <c r="E634" s="156"/>
      <c r="H634" s="157"/>
      <c r="R634" s="158"/>
      <c r="AC634" s="159"/>
    </row>
    <row r="635">
      <c r="E635" s="156"/>
      <c r="H635" s="157"/>
      <c r="R635" s="158"/>
      <c r="AC635" s="159"/>
    </row>
    <row r="636">
      <c r="E636" s="156"/>
      <c r="H636" s="157"/>
      <c r="R636" s="158"/>
      <c r="AC636" s="159"/>
    </row>
    <row r="637">
      <c r="E637" s="156"/>
      <c r="H637" s="157"/>
      <c r="R637" s="158"/>
      <c r="AC637" s="159"/>
    </row>
    <row r="638">
      <c r="E638" s="156"/>
      <c r="H638" s="157"/>
      <c r="R638" s="158"/>
      <c r="AC638" s="159"/>
    </row>
    <row r="639">
      <c r="E639" s="156"/>
      <c r="H639" s="157"/>
      <c r="R639" s="158"/>
      <c r="AC639" s="159"/>
    </row>
    <row r="640">
      <c r="E640" s="156"/>
      <c r="H640" s="157"/>
      <c r="R640" s="158"/>
      <c r="AC640" s="159"/>
    </row>
    <row r="641">
      <c r="E641" s="156"/>
      <c r="H641" s="157"/>
      <c r="R641" s="158"/>
      <c r="AC641" s="159"/>
    </row>
    <row r="642">
      <c r="E642" s="156"/>
      <c r="H642" s="157"/>
      <c r="R642" s="158"/>
      <c r="AC642" s="159"/>
    </row>
    <row r="643">
      <c r="E643" s="156"/>
      <c r="H643" s="157"/>
      <c r="R643" s="158"/>
      <c r="AC643" s="159"/>
    </row>
    <row r="644">
      <c r="E644" s="156"/>
      <c r="H644" s="157"/>
      <c r="R644" s="158"/>
      <c r="AC644" s="159"/>
    </row>
    <row r="645">
      <c r="E645" s="156"/>
      <c r="H645" s="157"/>
      <c r="R645" s="158"/>
      <c r="AC645" s="159"/>
    </row>
    <row r="646">
      <c r="E646" s="156"/>
      <c r="H646" s="157"/>
      <c r="R646" s="158"/>
      <c r="AC646" s="159"/>
    </row>
    <row r="647">
      <c r="E647" s="156"/>
      <c r="H647" s="157"/>
      <c r="R647" s="158"/>
      <c r="AC647" s="159"/>
    </row>
    <row r="648">
      <c r="E648" s="156"/>
      <c r="H648" s="157"/>
      <c r="R648" s="158"/>
      <c r="AC648" s="159"/>
    </row>
    <row r="649">
      <c r="E649" s="156"/>
      <c r="H649" s="157"/>
      <c r="R649" s="158"/>
      <c r="AC649" s="159"/>
    </row>
    <row r="650">
      <c r="E650" s="156"/>
      <c r="H650" s="157"/>
      <c r="R650" s="158"/>
      <c r="AC650" s="159"/>
    </row>
    <row r="651">
      <c r="E651" s="156"/>
      <c r="H651" s="157"/>
      <c r="R651" s="158"/>
      <c r="AC651" s="159"/>
    </row>
    <row r="652">
      <c r="E652" s="156"/>
      <c r="H652" s="157"/>
      <c r="R652" s="158"/>
      <c r="AC652" s="159"/>
    </row>
    <row r="653">
      <c r="E653" s="156"/>
      <c r="H653" s="157"/>
      <c r="R653" s="158"/>
      <c r="AC653" s="159"/>
    </row>
    <row r="654">
      <c r="E654" s="156"/>
      <c r="H654" s="157"/>
      <c r="R654" s="158"/>
      <c r="AC654" s="159"/>
    </row>
    <row r="655">
      <c r="E655" s="156"/>
      <c r="H655" s="157"/>
      <c r="R655" s="158"/>
      <c r="AC655" s="159"/>
    </row>
    <row r="656">
      <c r="E656" s="156"/>
      <c r="H656" s="157"/>
      <c r="R656" s="158"/>
      <c r="AC656" s="159"/>
    </row>
    <row r="657">
      <c r="E657" s="156"/>
      <c r="H657" s="157"/>
      <c r="R657" s="158"/>
      <c r="AC657" s="159"/>
    </row>
    <row r="658">
      <c r="E658" s="156"/>
      <c r="H658" s="157"/>
      <c r="R658" s="158"/>
      <c r="AC658" s="159"/>
    </row>
    <row r="659">
      <c r="E659" s="156"/>
      <c r="H659" s="157"/>
      <c r="R659" s="158"/>
      <c r="AC659" s="159"/>
    </row>
    <row r="660">
      <c r="E660" s="156"/>
      <c r="H660" s="157"/>
      <c r="R660" s="158"/>
      <c r="AC660" s="159"/>
    </row>
    <row r="661">
      <c r="E661" s="156"/>
      <c r="H661" s="157"/>
      <c r="R661" s="158"/>
      <c r="AC661" s="159"/>
    </row>
    <row r="662">
      <c r="E662" s="156"/>
      <c r="H662" s="157"/>
      <c r="R662" s="158"/>
      <c r="AC662" s="159"/>
    </row>
    <row r="663">
      <c r="E663" s="156"/>
      <c r="H663" s="157"/>
      <c r="R663" s="158"/>
      <c r="AC663" s="159"/>
    </row>
    <row r="664">
      <c r="E664" s="156"/>
      <c r="H664" s="157"/>
      <c r="R664" s="158"/>
      <c r="AC664" s="159"/>
    </row>
    <row r="665">
      <c r="E665" s="156"/>
      <c r="H665" s="157"/>
      <c r="R665" s="158"/>
      <c r="AC665" s="159"/>
    </row>
    <row r="666">
      <c r="E666" s="156"/>
      <c r="H666" s="157"/>
      <c r="R666" s="158"/>
      <c r="AC666" s="159"/>
    </row>
    <row r="667">
      <c r="E667" s="156"/>
      <c r="H667" s="157"/>
      <c r="R667" s="158"/>
      <c r="AC667" s="159"/>
    </row>
    <row r="668">
      <c r="E668" s="156"/>
      <c r="H668" s="157"/>
      <c r="R668" s="158"/>
      <c r="AC668" s="159"/>
    </row>
    <row r="669">
      <c r="E669" s="156"/>
      <c r="H669" s="157"/>
      <c r="R669" s="158"/>
      <c r="AC669" s="159"/>
    </row>
    <row r="670">
      <c r="E670" s="156"/>
      <c r="H670" s="157"/>
      <c r="R670" s="158"/>
      <c r="AC670" s="159"/>
    </row>
    <row r="671">
      <c r="E671" s="156"/>
      <c r="H671" s="157"/>
      <c r="R671" s="158"/>
      <c r="AC671" s="159"/>
    </row>
    <row r="672">
      <c r="E672" s="156"/>
      <c r="H672" s="157"/>
      <c r="R672" s="158"/>
      <c r="AC672" s="159"/>
    </row>
    <row r="673">
      <c r="E673" s="156"/>
      <c r="H673" s="157"/>
      <c r="R673" s="158"/>
      <c r="AC673" s="159"/>
    </row>
    <row r="674">
      <c r="E674" s="156"/>
      <c r="H674" s="157"/>
      <c r="R674" s="158"/>
      <c r="AC674" s="159"/>
    </row>
    <row r="675">
      <c r="E675" s="156"/>
      <c r="H675" s="157"/>
      <c r="R675" s="158"/>
      <c r="AC675" s="159"/>
    </row>
    <row r="676">
      <c r="E676" s="156"/>
      <c r="H676" s="157"/>
      <c r="R676" s="158"/>
      <c r="AC676" s="159"/>
    </row>
    <row r="677">
      <c r="E677" s="156"/>
      <c r="H677" s="157"/>
      <c r="R677" s="158"/>
      <c r="AC677" s="159"/>
    </row>
    <row r="678">
      <c r="E678" s="156"/>
      <c r="H678" s="157"/>
      <c r="R678" s="158"/>
      <c r="AC678" s="159"/>
    </row>
    <row r="679">
      <c r="E679" s="156"/>
      <c r="H679" s="157"/>
      <c r="R679" s="158"/>
      <c r="AC679" s="159"/>
    </row>
    <row r="680">
      <c r="E680" s="156"/>
      <c r="H680" s="157"/>
      <c r="R680" s="158"/>
      <c r="AC680" s="159"/>
    </row>
    <row r="681">
      <c r="E681" s="156"/>
      <c r="H681" s="157"/>
      <c r="R681" s="158"/>
      <c r="AC681" s="159"/>
    </row>
    <row r="682">
      <c r="E682" s="156"/>
      <c r="H682" s="157"/>
      <c r="R682" s="158"/>
      <c r="AC682" s="159"/>
    </row>
    <row r="683">
      <c r="E683" s="156"/>
      <c r="H683" s="157"/>
      <c r="R683" s="158"/>
      <c r="AC683" s="159"/>
    </row>
    <row r="684">
      <c r="E684" s="156"/>
      <c r="H684" s="157"/>
      <c r="R684" s="158"/>
      <c r="AC684" s="159"/>
    </row>
    <row r="685">
      <c r="E685" s="156"/>
      <c r="H685" s="157"/>
      <c r="R685" s="158"/>
      <c r="AC685" s="159"/>
    </row>
    <row r="686">
      <c r="E686" s="156"/>
      <c r="H686" s="157"/>
      <c r="R686" s="158"/>
      <c r="AC686" s="159"/>
    </row>
    <row r="687">
      <c r="E687" s="156"/>
      <c r="H687" s="157"/>
      <c r="R687" s="158"/>
      <c r="AC687" s="159"/>
    </row>
    <row r="688">
      <c r="E688" s="156"/>
      <c r="H688" s="157"/>
      <c r="R688" s="158"/>
      <c r="AC688" s="159"/>
    </row>
    <row r="689">
      <c r="E689" s="156"/>
      <c r="H689" s="157"/>
      <c r="R689" s="158"/>
      <c r="AC689" s="159"/>
    </row>
    <row r="690">
      <c r="E690" s="156"/>
      <c r="H690" s="157"/>
      <c r="R690" s="158"/>
      <c r="AC690" s="159"/>
    </row>
    <row r="691">
      <c r="E691" s="156"/>
      <c r="H691" s="157"/>
      <c r="R691" s="158"/>
      <c r="AC691" s="159"/>
    </row>
    <row r="692">
      <c r="E692" s="156"/>
      <c r="H692" s="157"/>
      <c r="R692" s="158"/>
      <c r="AC692" s="159"/>
    </row>
    <row r="693">
      <c r="E693" s="156"/>
      <c r="H693" s="157"/>
      <c r="R693" s="158"/>
      <c r="AC693" s="159"/>
    </row>
    <row r="694">
      <c r="E694" s="156"/>
      <c r="H694" s="157"/>
      <c r="R694" s="158"/>
      <c r="AC694" s="159"/>
    </row>
    <row r="695">
      <c r="E695" s="156"/>
      <c r="H695" s="157"/>
      <c r="R695" s="158"/>
      <c r="AC695" s="159"/>
    </row>
    <row r="696">
      <c r="E696" s="156"/>
      <c r="H696" s="157"/>
      <c r="R696" s="158"/>
      <c r="AC696" s="159"/>
    </row>
    <row r="697">
      <c r="E697" s="156"/>
      <c r="H697" s="157"/>
      <c r="R697" s="158"/>
      <c r="AC697" s="159"/>
    </row>
    <row r="698">
      <c r="E698" s="156"/>
      <c r="H698" s="157"/>
      <c r="R698" s="158"/>
      <c r="AC698" s="159"/>
    </row>
    <row r="699">
      <c r="E699" s="156"/>
      <c r="H699" s="157"/>
      <c r="R699" s="158"/>
      <c r="AC699" s="159"/>
    </row>
    <row r="700">
      <c r="E700" s="156"/>
      <c r="H700" s="157"/>
      <c r="R700" s="158"/>
      <c r="AC700" s="159"/>
    </row>
    <row r="701">
      <c r="E701" s="156"/>
      <c r="H701" s="157"/>
      <c r="R701" s="158"/>
      <c r="AC701" s="159"/>
    </row>
    <row r="702">
      <c r="E702" s="156"/>
      <c r="H702" s="157"/>
      <c r="R702" s="158"/>
      <c r="AC702" s="159"/>
    </row>
    <row r="703">
      <c r="E703" s="156"/>
      <c r="H703" s="157"/>
      <c r="R703" s="158"/>
      <c r="AC703" s="159"/>
    </row>
    <row r="704">
      <c r="E704" s="156"/>
      <c r="H704" s="157"/>
      <c r="R704" s="158"/>
      <c r="AC704" s="159"/>
    </row>
    <row r="705">
      <c r="E705" s="156"/>
      <c r="H705" s="157"/>
      <c r="R705" s="158"/>
      <c r="AC705" s="159"/>
    </row>
    <row r="706">
      <c r="E706" s="156"/>
      <c r="H706" s="157"/>
      <c r="R706" s="158"/>
      <c r="AC706" s="159"/>
    </row>
    <row r="707">
      <c r="E707" s="156"/>
      <c r="H707" s="157"/>
      <c r="R707" s="158"/>
      <c r="AC707" s="159"/>
    </row>
    <row r="708">
      <c r="E708" s="156"/>
      <c r="H708" s="157"/>
      <c r="R708" s="158"/>
      <c r="AC708" s="159"/>
    </row>
    <row r="709">
      <c r="E709" s="156"/>
      <c r="H709" s="157"/>
      <c r="R709" s="158"/>
      <c r="AC709" s="159"/>
    </row>
    <row r="710">
      <c r="E710" s="156"/>
      <c r="H710" s="157"/>
      <c r="R710" s="158"/>
      <c r="AC710" s="159"/>
    </row>
    <row r="711">
      <c r="E711" s="156"/>
      <c r="H711" s="157"/>
      <c r="R711" s="158"/>
      <c r="AC711" s="159"/>
    </row>
    <row r="712">
      <c r="E712" s="156"/>
      <c r="H712" s="157"/>
      <c r="R712" s="158"/>
      <c r="AC712" s="159"/>
    </row>
    <row r="713">
      <c r="E713" s="156"/>
      <c r="H713" s="157"/>
      <c r="R713" s="158"/>
      <c r="AC713" s="159"/>
    </row>
    <row r="714">
      <c r="E714" s="156"/>
      <c r="H714" s="157"/>
      <c r="R714" s="158"/>
      <c r="AC714" s="159"/>
    </row>
    <row r="715">
      <c r="E715" s="156"/>
      <c r="H715" s="157"/>
      <c r="R715" s="158"/>
      <c r="AC715" s="159"/>
    </row>
    <row r="716">
      <c r="E716" s="156"/>
      <c r="H716" s="157"/>
      <c r="R716" s="158"/>
      <c r="AC716" s="159"/>
    </row>
    <row r="717">
      <c r="E717" s="156"/>
      <c r="H717" s="157"/>
      <c r="R717" s="158"/>
      <c r="AC717" s="159"/>
    </row>
    <row r="718">
      <c r="E718" s="156"/>
      <c r="H718" s="157"/>
      <c r="R718" s="158"/>
      <c r="AC718" s="159"/>
    </row>
    <row r="719">
      <c r="E719" s="156"/>
      <c r="H719" s="157"/>
      <c r="R719" s="158"/>
      <c r="AC719" s="159"/>
    </row>
    <row r="720">
      <c r="E720" s="156"/>
      <c r="H720" s="157"/>
      <c r="R720" s="158"/>
      <c r="AC720" s="159"/>
    </row>
    <row r="721">
      <c r="E721" s="156"/>
      <c r="H721" s="157"/>
      <c r="R721" s="158"/>
      <c r="AC721" s="159"/>
    </row>
    <row r="722">
      <c r="E722" s="156"/>
      <c r="H722" s="157"/>
      <c r="R722" s="158"/>
      <c r="AC722" s="159"/>
    </row>
    <row r="723">
      <c r="E723" s="156"/>
      <c r="H723" s="157"/>
      <c r="R723" s="158"/>
      <c r="AC723" s="159"/>
    </row>
    <row r="724">
      <c r="E724" s="156"/>
      <c r="H724" s="157"/>
      <c r="R724" s="158"/>
      <c r="AC724" s="159"/>
    </row>
    <row r="725">
      <c r="E725" s="156"/>
      <c r="H725" s="157"/>
      <c r="R725" s="158"/>
      <c r="AC725" s="159"/>
    </row>
    <row r="726">
      <c r="E726" s="156"/>
      <c r="H726" s="157"/>
      <c r="R726" s="158"/>
      <c r="AC726" s="159"/>
    </row>
    <row r="727">
      <c r="E727" s="156"/>
      <c r="H727" s="157"/>
      <c r="R727" s="158"/>
      <c r="AC727" s="159"/>
    </row>
    <row r="728">
      <c r="E728" s="156"/>
      <c r="H728" s="157"/>
      <c r="R728" s="158"/>
      <c r="AC728" s="159"/>
    </row>
    <row r="729">
      <c r="E729" s="156"/>
      <c r="H729" s="157"/>
      <c r="R729" s="158"/>
      <c r="AC729" s="159"/>
    </row>
    <row r="730">
      <c r="E730" s="156"/>
      <c r="H730" s="157"/>
      <c r="R730" s="158"/>
      <c r="AC730" s="159"/>
    </row>
    <row r="731">
      <c r="E731" s="156"/>
      <c r="H731" s="157"/>
      <c r="R731" s="158"/>
      <c r="AC731" s="159"/>
    </row>
    <row r="732">
      <c r="E732" s="156"/>
      <c r="H732" s="157"/>
      <c r="R732" s="158"/>
      <c r="AC732" s="159"/>
    </row>
    <row r="733">
      <c r="E733" s="156"/>
      <c r="H733" s="157"/>
      <c r="R733" s="158"/>
      <c r="AC733" s="159"/>
    </row>
    <row r="734">
      <c r="E734" s="156"/>
      <c r="H734" s="157"/>
      <c r="R734" s="158"/>
      <c r="AC734" s="159"/>
    </row>
    <row r="735">
      <c r="E735" s="156"/>
      <c r="H735" s="157"/>
      <c r="R735" s="158"/>
      <c r="AC735" s="159"/>
    </row>
    <row r="736">
      <c r="E736" s="156"/>
      <c r="H736" s="157"/>
      <c r="R736" s="158"/>
      <c r="AC736" s="159"/>
    </row>
    <row r="737">
      <c r="E737" s="156"/>
      <c r="H737" s="157"/>
      <c r="R737" s="158"/>
      <c r="AC737" s="159"/>
    </row>
    <row r="738">
      <c r="E738" s="156"/>
      <c r="H738" s="157"/>
      <c r="R738" s="158"/>
      <c r="AC738" s="159"/>
    </row>
    <row r="739">
      <c r="E739" s="156"/>
      <c r="H739" s="157"/>
      <c r="R739" s="158"/>
      <c r="AC739" s="159"/>
    </row>
    <row r="740">
      <c r="E740" s="156"/>
      <c r="H740" s="157"/>
      <c r="R740" s="158"/>
      <c r="AC740" s="159"/>
    </row>
    <row r="741">
      <c r="E741" s="156"/>
      <c r="H741" s="157"/>
      <c r="R741" s="158"/>
      <c r="AC741" s="159"/>
    </row>
    <row r="742">
      <c r="E742" s="156"/>
      <c r="H742" s="157"/>
      <c r="R742" s="158"/>
      <c r="AC742" s="159"/>
    </row>
    <row r="743">
      <c r="E743" s="156"/>
      <c r="H743" s="157"/>
      <c r="R743" s="158"/>
      <c r="AC743" s="159"/>
    </row>
    <row r="744">
      <c r="E744" s="156"/>
      <c r="H744" s="157"/>
      <c r="R744" s="158"/>
      <c r="AC744" s="159"/>
    </row>
    <row r="745">
      <c r="E745" s="156"/>
      <c r="H745" s="157"/>
      <c r="R745" s="158"/>
      <c r="AC745" s="159"/>
    </row>
    <row r="746">
      <c r="E746" s="156"/>
      <c r="H746" s="157"/>
      <c r="R746" s="158"/>
      <c r="AC746" s="159"/>
    </row>
    <row r="747">
      <c r="E747" s="156"/>
      <c r="H747" s="157"/>
      <c r="R747" s="158"/>
      <c r="AC747" s="159"/>
    </row>
    <row r="748">
      <c r="E748" s="156"/>
      <c r="H748" s="157"/>
      <c r="R748" s="158"/>
      <c r="AC748" s="159"/>
    </row>
    <row r="749">
      <c r="E749" s="156"/>
      <c r="H749" s="157"/>
      <c r="R749" s="158"/>
      <c r="AC749" s="159"/>
    </row>
    <row r="750">
      <c r="E750" s="156"/>
      <c r="H750" s="157"/>
      <c r="R750" s="158"/>
      <c r="AC750" s="159"/>
    </row>
    <row r="751">
      <c r="E751" s="156"/>
      <c r="H751" s="157"/>
      <c r="R751" s="158"/>
      <c r="AC751" s="159"/>
    </row>
    <row r="752">
      <c r="E752" s="156"/>
      <c r="H752" s="157"/>
      <c r="R752" s="158"/>
      <c r="AC752" s="159"/>
    </row>
    <row r="753">
      <c r="E753" s="156"/>
      <c r="H753" s="157"/>
      <c r="R753" s="158"/>
      <c r="AC753" s="159"/>
    </row>
    <row r="754">
      <c r="E754" s="156"/>
      <c r="H754" s="157"/>
      <c r="R754" s="158"/>
      <c r="AC754" s="159"/>
    </row>
    <row r="755">
      <c r="E755" s="156"/>
      <c r="H755" s="157"/>
      <c r="R755" s="158"/>
      <c r="AC755" s="159"/>
    </row>
    <row r="756">
      <c r="E756" s="156"/>
      <c r="H756" s="157"/>
      <c r="R756" s="158"/>
      <c r="AC756" s="159"/>
    </row>
    <row r="757">
      <c r="E757" s="156"/>
      <c r="H757" s="157"/>
      <c r="R757" s="158"/>
      <c r="AC757" s="159"/>
    </row>
    <row r="758">
      <c r="E758" s="156"/>
      <c r="H758" s="157"/>
      <c r="R758" s="158"/>
      <c r="AC758" s="159"/>
    </row>
    <row r="759">
      <c r="E759" s="156"/>
      <c r="H759" s="157"/>
      <c r="R759" s="158"/>
      <c r="AC759" s="159"/>
    </row>
    <row r="760">
      <c r="E760" s="156"/>
      <c r="H760" s="157"/>
      <c r="R760" s="158"/>
      <c r="AC760" s="159"/>
    </row>
    <row r="761">
      <c r="E761" s="156"/>
      <c r="H761" s="157"/>
      <c r="R761" s="158"/>
      <c r="AC761" s="159"/>
    </row>
    <row r="762">
      <c r="E762" s="156"/>
      <c r="H762" s="157"/>
      <c r="R762" s="158"/>
      <c r="AC762" s="159"/>
    </row>
    <row r="763">
      <c r="E763" s="156"/>
      <c r="H763" s="157"/>
      <c r="R763" s="158"/>
      <c r="AC763" s="159"/>
    </row>
    <row r="764">
      <c r="E764" s="156"/>
      <c r="H764" s="157"/>
      <c r="R764" s="158"/>
      <c r="AC764" s="159"/>
    </row>
    <row r="765">
      <c r="E765" s="156"/>
      <c r="H765" s="157"/>
      <c r="R765" s="158"/>
      <c r="AC765" s="159"/>
    </row>
    <row r="766">
      <c r="E766" s="156"/>
      <c r="H766" s="157"/>
      <c r="R766" s="158"/>
      <c r="AC766" s="159"/>
    </row>
    <row r="767">
      <c r="E767" s="156"/>
      <c r="H767" s="157"/>
      <c r="R767" s="158"/>
      <c r="AC767" s="159"/>
    </row>
    <row r="768">
      <c r="E768" s="156"/>
      <c r="H768" s="157"/>
      <c r="R768" s="158"/>
      <c r="AC768" s="159"/>
    </row>
    <row r="769">
      <c r="E769" s="156"/>
      <c r="H769" s="157"/>
      <c r="R769" s="158"/>
      <c r="AC769" s="159"/>
    </row>
    <row r="770">
      <c r="E770" s="156"/>
      <c r="H770" s="157"/>
      <c r="R770" s="158"/>
      <c r="AC770" s="159"/>
    </row>
    <row r="771">
      <c r="E771" s="156"/>
      <c r="H771" s="157"/>
      <c r="R771" s="158"/>
      <c r="AC771" s="159"/>
    </row>
    <row r="772">
      <c r="E772" s="156"/>
      <c r="H772" s="157"/>
      <c r="R772" s="158"/>
      <c r="AC772" s="159"/>
    </row>
    <row r="773">
      <c r="E773" s="156"/>
      <c r="H773" s="157"/>
      <c r="R773" s="158"/>
      <c r="AC773" s="159"/>
    </row>
    <row r="774">
      <c r="E774" s="156"/>
      <c r="H774" s="157"/>
      <c r="R774" s="158"/>
      <c r="AC774" s="159"/>
    </row>
    <row r="775">
      <c r="E775" s="156"/>
      <c r="H775" s="157"/>
      <c r="R775" s="158"/>
      <c r="AC775" s="159"/>
    </row>
    <row r="776">
      <c r="E776" s="156"/>
      <c r="H776" s="157"/>
      <c r="R776" s="158"/>
      <c r="AC776" s="159"/>
    </row>
    <row r="777">
      <c r="E777" s="156"/>
      <c r="H777" s="157"/>
      <c r="R777" s="158"/>
      <c r="AC777" s="159"/>
    </row>
    <row r="778">
      <c r="E778" s="156"/>
      <c r="H778" s="157"/>
      <c r="R778" s="158"/>
      <c r="AC778" s="159"/>
    </row>
    <row r="779">
      <c r="E779" s="156"/>
      <c r="H779" s="157"/>
      <c r="R779" s="158"/>
      <c r="AC779" s="159"/>
    </row>
    <row r="780">
      <c r="E780" s="156"/>
      <c r="H780" s="157"/>
      <c r="R780" s="158"/>
      <c r="AC780" s="159"/>
    </row>
    <row r="781">
      <c r="E781" s="156"/>
      <c r="H781" s="157"/>
      <c r="R781" s="158"/>
      <c r="AC781" s="159"/>
    </row>
    <row r="782">
      <c r="E782" s="156"/>
      <c r="H782" s="157"/>
      <c r="R782" s="158"/>
      <c r="AC782" s="159"/>
    </row>
    <row r="783">
      <c r="E783" s="156"/>
      <c r="H783" s="157"/>
      <c r="R783" s="158"/>
      <c r="AC783" s="159"/>
    </row>
    <row r="784">
      <c r="E784" s="156"/>
      <c r="H784" s="157"/>
      <c r="R784" s="158"/>
      <c r="AC784" s="159"/>
    </row>
    <row r="785">
      <c r="E785" s="156"/>
      <c r="H785" s="157"/>
      <c r="R785" s="158"/>
      <c r="AC785" s="159"/>
    </row>
    <row r="786">
      <c r="E786" s="156"/>
      <c r="H786" s="157"/>
      <c r="R786" s="158"/>
      <c r="AC786" s="159"/>
    </row>
    <row r="787">
      <c r="E787" s="156"/>
      <c r="H787" s="157"/>
      <c r="R787" s="158"/>
      <c r="AC787" s="159"/>
    </row>
    <row r="788">
      <c r="E788" s="156"/>
      <c r="H788" s="157"/>
      <c r="R788" s="158"/>
      <c r="AC788" s="159"/>
    </row>
    <row r="789">
      <c r="E789" s="156"/>
      <c r="H789" s="157"/>
      <c r="R789" s="158"/>
      <c r="AC789" s="159"/>
    </row>
    <row r="790">
      <c r="E790" s="156"/>
      <c r="H790" s="157"/>
      <c r="R790" s="158"/>
      <c r="AC790" s="159"/>
    </row>
    <row r="791">
      <c r="E791" s="156"/>
      <c r="H791" s="157"/>
      <c r="R791" s="158"/>
      <c r="AC791" s="159"/>
    </row>
    <row r="792">
      <c r="E792" s="156"/>
      <c r="H792" s="157"/>
      <c r="R792" s="158"/>
      <c r="AC792" s="159"/>
    </row>
    <row r="793">
      <c r="E793" s="156"/>
      <c r="H793" s="157"/>
      <c r="R793" s="158"/>
      <c r="AC793" s="159"/>
    </row>
    <row r="794">
      <c r="E794" s="156"/>
      <c r="H794" s="157"/>
      <c r="R794" s="158"/>
      <c r="AC794" s="159"/>
    </row>
    <row r="795">
      <c r="E795" s="156"/>
      <c r="H795" s="157"/>
      <c r="R795" s="158"/>
      <c r="AC795" s="159"/>
    </row>
    <row r="796">
      <c r="E796" s="156"/>
      <c r="H796" s="157"/>
      <c r="R796" s="158"/>
      <c r="AC796" s="159"/>
    </row>
  </sheetData>
  <conditionalFormatting sqref="R1:R796">
    <cfRule type="colorScale" priority="1">
      <colorScale>
        <cfvo type="min"/>
        <cfvo type="formula" val="0"/>
        <cfvo type="max"/>
        <color rgb="FFE67C73"/>
        <color rgb="FFFFFFFF"/>
        <color rgb="FF57BB8A"/>
      </colorScale>
    </cfRule>
  </conditionalFormatting>
  <conditionalFormatting sqref="P1:P796">
    <cfRule type="colorScale" priority="2">
      <colorScale>
        <cfvo type="min"/>
        <cfvo type="formula" val="0"/>
        <cfvo type="max"/>
        <color rgb="FFE67C73"/>
        <color rgb="FFFFFFFF"/>
        <color rgb="FF57BB8A"/>
      </colorScale>
    </cfRule>
  </conditionalFormatting>
  <dataValidations>
    <dataValidation type="custom" allowBlank="1" showDropDown="1" sqref="C2:E174">
      <formula1>OR(NOT(ISERROR(DATEVALUE(C2))), AND(ISNUMBER(C2), LEFT(CELL("format", C2))="D"))</formula1>
    </dataValidation>
    <dataValidation type="custom" allowBlank="1" showDropDown="1" sqref="F2:F174 H2:H174 AA2:AC174">
      <formula1>AND(ISNUMBER(F2),(NOT(OR(NOT(ISERROR(DATEVALUE(F2))), AND(ISNUMBER(F2), LEFT(CELL("format", F2))="D")))))</formula1>
    </dataValidation>
    <dataValidation allowBlank="1" showDropDown="1" sqref="B2:B174"/>
    <dataValidation type="list" allowBlank="1" sqref="A2:A174">
      <formula1>#REF!</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4.38"/>
    <col customWidth="1" min="3" max="4" width="14.13"/>
    <col customWidth="1" min="5" max="6" width="9.88"/>
    <col customWidth="1" min="7" max="8" width="14.13"/>
  </cols>
  <sheetData>
    <row r="1" ht="22.5" customHeight="1">
      <c r="A1" s="36" t="s">
        <v>83</v>
      </c>
      <c r="B1" s="1" t="s">
        <v>20</v>
      </c>
      <c r="C1" s="36" t="s">
        <v>629</v>
      </c>
      <c r="D1" s="36" t="s">
        <v>630</v>
      </c>
      <c r="E1" s="36" t="s">
        <v>631</v>
      </c>
      <c r="F1" s="36" t="s">
        <v>632</v>
      </c>
      <c r="G1" s="36" t="s">
        <v>633</v>
      </c>
      <c r="H1" s="36" t="s">
        <v>634</v>
      </c>
      <c r="I1" s="11" t="s">
        <v>66</v>
      </c>
      <c r="J1" s="11" t="s">
        <v>635</v>
      </c>
    </row>
    <row r="2" ht="22.5" customHeight="1">
      <c r="A2" s="160" t="s">
        <v>290</v>
      </c>
      <c r="B2" s="145">
        <v>46059.0</v>
      </c>
      <c r="C2" s="102">
        <v>10.0</v>
      </c>
      <c r="D2" s="49">
        <v>19.11</v>
      </c>
      <c r="E2" s="102">
        <f>IFERROR(__xludf.DUMMYFUNCTION("IFERROR(FILTER(F:F, A:A=A2, B:B=MAXIFS(B:B, A:A, A2,  B:B, ""&lt;""&amp;B2)), 0)"),0.0)</f>
        <v>0</v>
      </c>
      <c r="F2" s="102">
        <f t="shared" ref="F2:F21" si="1">SUMIFS(C:C, A:A, A2, B:B, "&lt;="&amp;B2)</f>
        <v>10</v>
      </c>
      <c r="G2" s="102">
        <f t="shared" ref="G2:G21" si="2">IF(E2=0, D2, IF(SIGN(C2) = SIGN(E2), (E2 * INDIRECT("G"&amp;J2) + C2 * D2)/(C2+E2), INDIRECT("G"&amp;J2)))</f>
        <v>19.11</v>
      </c>
      <c r="H2" s="102"/>
      <c r="I2" s="118">
        <f t="shared" ref="I2:I21" si="3">IF(AND(E2&lt;&gt;0, SIGN(C2) &lt;&gt; SIGN(E2)), C2*(G2-D2), 0)</f>
        <v>0</v>
      </c>
      <c r="J2" s="118">
        <f t="array" ref="J2">IFERROR(MATCH(1, (A:A=A2) * (B:B=MAXIFS(B:B, A:A, A2,  B:B, "&lt;"&amp;B2)), 0), 0)</f>
        <v>0</v>
      </c>
    </row>
    <row r="3" ht="22.5" customHeight="1">
      <c r="A3" s="160" t="s">
        <v>290</v>
      </c>
      <c r="B3" s="145">
        <v>46070.0</v>
      </c>
      <c r="C3" s="102">
        <v>-10.0</v>
      </c>
      <c r="D3" s="49">
        <v>18.785</v>
      </c>
      <c r="E3" s="102">
        <f>IFERROR(__xludf.DUMMYFUNCTION("IFERROR(FILTER(F:F, A:A=A3, B:B=MAXIFS(B:B, A:A, A3,  B:B, ""&lt;""&amp;B3)), 0)"),10.0)</f>
        <v>10</v>
      </c>
      <c r="F3" s="102">
        <f t="shared" si="1"/>
        <v>0</v>
      </c>
      <c r="G3" s="102">
        <f t="shared" si="2"/>
        <v>19.11</v>
      </c>
      <c r="H3" s="102">
        <v>1.0</v>
      </c>
      <c r="I3" s="118">
        <f t="shared" si="3"/>
        <v>-3.25</v>
      </c>
      <c r="J3" s="118">
        <f t="array" ref="J3">IFERROR(MATCH(1, (A:A=A3) * (B:B=MAXIFS(B:B, A:A, A3,  B:B, "&lt;"&amp;B3)), 0), 0)</f>
        <v>2</v>
      </c>
    </row>
    <row r="4" ht="22.5" customHeight="1">
      <c r="A4" s="160" t="s">
        <v>362</v>
      </c>
      <c r="B4" s="145">
        <v>46070.0</v>
      </c>
      <c r="C4" s="102">
        <v>10.0</v>
      </c>
      <c r="D4" s="49">
        <v>74.11</v>
      </c>
      <c r="E4" s="102">
        <f>IFERROR(__xludf.DUMMYFUNCTION("IFERROR(FILTER(F:F, A:A=A4, B:B=MAXIFS(B:B, A:A, A4,  B:B, ""&lt;""&amp;B4)), 0)"),0.0)</f>
        <v>0</v>
      </c>
      <c r="F4" s="102">
        <f t="shared" si="1"/>
        <v>10</v>
      </c>
      <c r="G4" s="102">
        <f t="shared" si="2"/>
        <v>74.11</v>
      </c>
      <c r="H4" s="102"/>
      <c r="I4" s="118">
        <f t="shared" si="3"/>
        <v>0</v>
      </c>
      <c r="J4" s="118">
        <f t="array" ref="J4">IFERROR(MATCH(1, (A:A=A4) * (B:B=MAXIFS(B:B, A:A, A4,  B:B, "&lt;"&amp;B4)), 0), 0)</f>
        <v>0</v>
      </c>
    </row>
    <row r="5" ht="22.5" customHeight="1">
      <c r="A5" s="160" t="s">
        <v>362</v>
      </c>
      <c r="B5" s="145">
        <v>46087.0</v>
      </c>
      <c r="C5" s="102">
        <v>-10.0</v>
      </c>
      <c r="D5" s="49">
        <v>77.89</v>
      </c>
      <c r="E5" s="102">
        <f>IFERROR(__xludf.DUMMYFUNCTION("IFERROR(FILTER(F:F, A:A=A5, B:B=MAXIFS(B:B, A:A, A5,  B:B, ""&lt;""&amp;B5)), 0)"),10.0)</f>
        <v>10</v>
      </c>
      <c r="F5" s="102">
        <f t="shared" si="1"/>
        <v>0</v>
      </c>
      <c r="G5" s="102">
        <f t="shared" si="2"/>
        <v>74.11</v>
      </c>
      <c r="H5" s="102">
        <v>1.0</v>
      </c>
      <c r="I5" s="118">
        <f t="shared" si="3"/>
        <v>37.8</v>
      </c>
      <c r="J5" s="118">
        <f t="array" ref="J5">IFERROR(MATCH(1, (A:A=A5) * (B:B=MAXIFS(B:B, A:A, A5,  B:B, "&lt;"&amp;B5)), 0), 0)</f>
        <v>4</v>
      </c>
    </row>
    <row r="6" ht="22.5" customHeight="1">
      <c r="A6" s="160" t="s">
        <v>399</v>
      </c>
      <c r="B6" s="145">
        <v>46085.0</v>
      </c>
      <c r="C6" s="102">
        <v>10.0</v>
      </c>
      <c r="D6" s="49">
        <v>101.12</v>
      </c>
      <c r="E6" s="102">
        <f>IFERROR(__xludf.DUMMYFUNCTION("IFERROR(FILTER(F:F, A:A=A6, B:B=MAXIFS(B:B, A:A, A6,  B:B, ""&lt;""&amp;B6)), 0)"),0.0)</f>
        <v>0</v>
      </c>
      <c r="F6" s="102">
        <f t="shared" si="1"/>
        <v>10</v>
      </c>
      <c r="G6" s="102">
        <f t="shared" si="2"/>
        <v>101.12</v>
      </c>
      <c r="H6" s="102"/>
      <c r="I6" s="118">
        <f t="shared" si="3"/>
        <v>0</v>
      </c>
      <c r="J6" s="118">
        <f t="array" ref="J6">IFERROR(MATCH(1, (A:A=A6) * (B:B=MAXIFS(B:B, A:A, A6,  B:B, "&lt;"&amp;B6)), 0), 0)</f>
        <v>0</v>
      </c>
    </row>
    <row r="7" ht="22.5" customHeight="1">
      <c r="A7" s="160" t="s">
        <v>399</v>
      </c>
      <c r="B7" s="145">
        <v>46087.0</v>
      </c>
      <c r="C7" s="102">
        <v>-10.0</v>
      </c>
      <c r="D7" s="49">
        <v>98.93</v>
      </c>
      <c r="E7" s="102">
        <f>IFERROR(__xludf.DUMMYFUNCTION("IFERROR(FILTER(F:F, A:A=A7, B:B=MAXIFS(B:B, A:A, A7,  B:B, ""&lt;""&amp;B7)), 0)"),10.0)</f>
        <v>10</v>
      </c>
      <c r="F7" s="102">
        <f t="shared" si="1"/>
        <v>0</v>
      </c>
      <c r="G7" s="102">
        <f t="shared" si="2"/>
        <v>101.12</v>
      </c>
      <c r="H7" s="102">
        <v>1.0</v>
      </c>
      <c r="I7" s="118">
        <f t="shared" si="3"/>
        <v>-21.9</v>
      </c>
      <c r="J7" s="118">
        <f t="array" ref="J7">IFERROR(MATCH(1, (A:A=A7) * (B:B=MAXIFS(B:B, A:A, A7,  B:B, "&lt;"&amp;B7)), 0), 0)</f>
        <v>6</v>
      </c>
    </row>
    <row r="8" ht="22.5" customHeight="1">
      <c r="A8" s="160" t="s">
        <v>117</v>
      </c>
      <c r="B8" s="145">
        <v>46058.0</v>
      </c>
      <c r="C8" s="102">
        <v>10.0</v>
      </c>
      <c r="D8" s="49">
        <v>12.765</v>
      </c>
      <c r="E8" s="102">
        <f>IFERROR(__xludf.DUMMYFUNCTION("IFERROR(FILTER(F:F, A:A=A8, B:B=MAXIFS(B:B, A:A, A8,  B:B, ""&lt;""&amp;B8)), 0)"),0.0)</f>
        <v>0</v>
      </c>
      <c r="F8" s="102">
        <f t="shared" si="1"/>
        <v>10</v>
      </c>
      <c r="G8" s="102">
        <f t="shared" si="2"/>
        <v>12.765</v>
      </c>
      <c r="H8" s="102"/>
      <c r="I8" s="118">
        <f t="shared" si="3"/>
        <v>0</v>
      </c>
      <c r="J8" s="118">
        <f t="array" ref="J8">IFERROR(MATCH(1, (A:A=A8) * (B:B=MAXIFS(B:B, A:A, A8,  B:B, "&lt;"&amp;B8)), 0), 0)</f>
        <v>0</v>
      </c>
    </row>
    <row r="9" ht="22.5" customHeight="1">
      <c r="A9" s="160" t="s">
        <v>117</v>
      </c>
      <c r="B9" s="145">
        <v>46065.0</v>
      </c>
      <c r="C9" s="102">
        <v>-10.0</v>
      </c>
      <c r="D9" s="49">
        <v>12.97</v>
      </c>
      <c r="E9" s="102">
        <f>IFERROR(__xludf.DUMMYFUNCTION("IFERROR(FILTER(F:F, A:A=A9, B:B=MAXIFS(B:B, A:A, A9,  B:B, ""&lt;""&amp;B9)), 0)"),10.0)</f>
        <v>10</v>
      </c>
      <c r="F9" s="102">
        <f t="shared" si="1"/>
        <v>0</v>
      </c>
      <c r="G9" s="102">
        <f t="shared" si="2"/>
        <v>12.765</v>
      </c>
      <c r="H9" s="102">
        <v>1.0</v>
      </c>
      <c r="I9" s="118">
        <f t="shared" si="3"/>
        <v>2.05</v>
      </c>
      <c r="J9" s="118">
        <f t="array" ref="J9">IFERROR(MATCH(1, (A:A=A9) * (B:B=MAXIFS(B:B, A:A, A9,  B:B, "&lt;"&amp;B9)), 0), 0)</f>
        <v>8</v>
      </c>
    </row>
    <row r="10" ht="22.5" customHeight="1">
      <c r="A10" s="160" t="s">
        <v>124</v>
      </c>
      <c r="B10" s="145">
        <v>46058.0</v>
      </c>
      <c r="C10" s="102">
        <v>10.0</v>
      </c>
      <c r="D10" s="49">
        <v>42.86</v>
      </c>
      <c r="E10" s="102">
        <f>IFERROR(__xludf.DUMMYFUNCTION("IFERROR(FILTER(F:F, A:A=A10, B:B=MAXIFS(B:B, A:A, A10,  B:B, ""&lt;""&amp;B10)), 0)"),0.0)</f>
        <v>0</v>
      </c>
      <c r="F10" s="102">
        <f t="shared" si="1"/>
        <v>10</v>
      </c>
      <c r="G10" s="102">
        <f t="shared" si="2"/>
        <v>42.86</v>
      </c>
      <c r="H10" s="102"/>
      <c r="I10" s="118">
        <f t="shared" si="3"/>
        <v>0</v>
      </c>
      <c r="J10" s="118">
        <f t="array" ref="J10">IFERROR(MATCH(1, (A:A=A10) * (B:B=MAXIFS(B:B, A:A, A10,  B:B, "&lt;"&amp;B10)), 0), 0)</f>
        <v>0</v>
      </c>
    </row>
    <row r="11" ht="22.5" customHeight="1">
      <c r="A11" s="160" t="s">
        <v>124</v>
      </c>
      <c r="B11" s="145">
        <v>46065.0</v>
      </c>
      <c r="C11" s="102">
        <v>-10.0</v>
      </c>
      <c r="D11" s="49">
        <v>42.74</v>
      </c>
      <c r="E11" s="102">
        <f>IFERROR(__xludf.DUMMYFUNCTION("IFERROR(FILTER(F:F, A:A=A11, B:B=MAXIFS(B:B, A:A, A11,  B:B, ""&lt;""&amp;B11)), 0)"),10.0)</f>
        <v>10</v>
      </c>
      <c r="F11" s="102">
        <f t="shared" si="1"/>
        <v>0</v>
      </c>
      <c r="G11" s="102">
        <f t="shared" si="2"/>
        <v>42.86</v>
      </c>
      <c r="H11" s="102">
        <v>1.0</v>
      </c>
      <c r="I11" s="118">
        <f t="shared" si="3"/>
        <v>-1.2</v>
      </c>
      <c r="J11" s="118">
        <f t="array" ref="J11">IFERROR(MATCH(1, (A:A=A11) * (B:B=MAXIFS(B:B, A:A, A11,  B:B, "&lt;"&amp;B11)), 0), 0)</f>
        <v>10</v>
      </c>
    </row>
    <row r="12" ht="22.5" customHeight="1">
      <c r="A12" s="160" t="s">
        <v>213</v>
      </c>
      <c r="B12" s="145">
        <v>46059.0</v>
      </c>
      <c r="C12" s="102">
        <v>2.0</v>
      </c>
      <c r="D12" s="49">
        <v>157.08</v>
      </c>
      <c r="E12" s="102">
        <f>IFERROR(__xludf.DUMMYFUNCTION("IFERROR(FILTER(F:F, A:A=A12, B:B=MAXIFS(B:B, A:A, A12,  B:B, ""&lt;""&amp;B12)), 0)"),0.0)</f>
        <v>0</v>
      </c>
      <c r="F12" s="102">
        <f t="shared" si="1"/>
        <v>2</v>
      </c>
      <c r="G12" s="102">
        <f t="shared" si="2"/>
        <v>157.08</v>
      </c>
      <c r="H12" s="102">
        <v>1.0</v>
      </c>
      <c r="I12" s="118">
        <f t="shared" si="3"/>
        <v>0</v>
      </c>
      <c r="J12" s="118">
        <f t="array" ref="J12">IFERROR(MATCH(1, (A:A=A12) * (B:B=MAXIFS(B:B, A:A, A12,  B:B, "&lt;"&amp;B12)), 0), 0)</f>
        <v>0</v>
      </c>
    </row>
    <row r="13" ht="22.5" customHeight="1">
      <c r="A13" s="160" t="s">
        <v>213</v>
      </c>
      <c r="B13" s="145">
        <v>46064.0</v>
      </c>
      <c r="C13" s="102">
        <v>-2.0</v>
      </c>
      <c r="D13" s="49">
        <v>155.38</v>
      </c>
      <c r="E13" s="102">
        <f>IFERROR(__xludf.DUMMYFUNCTION("IFERROR(FILTER(F:F, A:A=A13, B:B=MAXIFS(B:B, A:A, A13,  B:B, ""&lt;""&amp;B13)), 0)"),2.0)</f>
        <v>2</v>
      </c>
      <c r="F13" s="102">
        <f t="shared" si="1"/>
        <v>0</v>
      </c>
      <c r="G13" s="102">
        <f t="shared" si="2"/>
        <v>157.08</v>
      </c>
      <c r="H13" s="102">
        <v>1.0</v>
      </c>
      <c r="I13" s="118">
        <f t="shared" si="3"/>
        <v>-3.4</v>
      </c>
      <c r="J13" s="118">
        <f t="array" ref="J13">IFERROR(MATCH(1, (A:A=A13) * (B:B=MAXIFS(B:B, A:A, A13,  B:B, "&lt;"&amp;B13)), 0), 0)</f>
        <v>12</v>
      </c>
    </row>
    <row r="14" ht="22.5" customHeight="1">
      <c r="A14" s="160" t="s">
        <v>401</v>
      </c>
      <c r="B14" s="145">
        <v>46085.0</v>
      </c>
      <c r="C14" s="102">
        <v>10.0</v>
      </c>
      <c r="D14" s="49">
        <v>29.175</v>
      </c>
      <c r="E14" s="102">
        <f>IFERROR(__xludf.DUMMYFUNCTION("IFERROR(FILTER(F:F, A:A=A14, B:B=MAXIFS(B:B, A:A, A14,  B:B, ""&lt;""&amp;B14)), 0)"),0.0)</f>
        <v>0</v>
      </c>
      <c r="F14" s="102">
        <f t="shared" si="1"/>
        <v>10</v>
      </c>
      <c r="G14" s="102">
        <f t="shared" si="2"/>
        <v>29.175</v>
      </c>
      <c r="H14" s="102">
        <v>1.0</v>
      </c>
      <c r="I14" s="118">
        <f t="shared" si="3"/>
        <v>0</v>
      </c>
      <c r="J14" s="118">
        <f t="array" ref="J14">IFERROR(MATCH(1, (A:A=A14) * (B:B=MAXIFS(B:B, A:A, A14,  B:B, "&lt;"&amp;B14)), 0), 0)</f>
        <v>0</v>
      </c>
    </row>
    <row r="15" ht="22.5" customHeight="1">
      <c r="A15" s="160" t="s">
        <v>145</v>
      </c>
      <c r="B15" s="145">
        <v>46090.0</v>
      </c>
      <c r="C15" s="102">
        <v>10.0</v>
      </c>
      <c r="D15" s="49">
        <v>13.22</v>
      </c>
      <c r="E15" s="102">
        <f>IFERROR(__xludf.DUMMYFUNCTION("IFERROR(FILTER(F:F, A:A=A15, B:B=MAXIFS(B:B, A:A, A15,  B:B, ""&lt;""&amp;B15)), 0)"),0.0)</f>
        <v>0</v>
      </c>
      <c r="F15" s="102">
        <f t="shared" si="1"/>
        <v>10</v>
      </c>
      <c r="G15" s="102">
        <f t="shared" si="2"/>
        <v>13.22</v>
      </c>
      <c r="H15" s="102">
        <v>1.0</v>
      </c>
      <c r="I15" s="118">
        <f t="shared" si="3"/>
        <v>0</v>
      </c>
      <c r="J15" s="118">
        <f t="array" ref="J15">IFERROR(MATCH(1, (A:A=A15) * (B:B=MAXIFS(B:B, A:A, A15,  B:B, "&lt;"&amp;B15)), 0), 0)</f>
        <v>0</v>
      </c>
    </row>
    <row r="16" ht="22.5" customHeight="1">
      <c r="A16" s="160" t="s">
        <v>414</v>
      </c>
      <c r="B16" s="145">
        <v>46090.0</v>
      </c>
      <c r="C16" s="102">
        <v>10.0</v>
      </c>
      <c r="D16" s="49">
        <v>10.28</v>
      </c>
      <c r="E16" s="102">
        <f>IFERROR(__xludf.DUMMYFUNCTION("IFERROR(FILTER(F:F, A:A=A16, B:B=MAXIFS(B:B, A:A, A16,  B:B, ""&lt;""&amp;B16)), 0)"),0.0)</f>
        <v>0</v>
      </c>
      <c r="F16" s="102">
        <f t="shared" si="1"/>
        <v>10</v>
      </c>
      <c r="G16" s="102">
        <f t="shared" si="2"/>
        <v>10.28</v>
      </c>
      <c r="H16" s="102">
        <v>1.0</v>
      </c>
      <c r="I16" s="118">
        <f t="shared" si="3"/>
        <v>0</v>
      </c>
      <c r="J16" s="118">
        <f t="array" ref="J16">IFERROR(MATCH(1, (A:A=A16) * (B:B=MAXIFS(B:B, A:A, A16,  B:B, "&lt;"&amp;B16)), 0), 0)</f>
        <v>0</v>
      </c>
    </row>
    <row r="17" ht="22.5" customHeight="1">
      <c r="A17" s="160" t="s">
        <v>416</v>
      </c>
      <c r="B17" s="145">
        <v>46091.0</v>
      </c>
      <c r="C17" s="102">
        <v>10.0</v>
      </c>
      <c r="D17" s="49">
        <v>19.05</v>
      </c>
      <c r="E17" s="102">
        <f>IFERROR(__xludf.DUMMYFUNCTION("IFERROR(FILTER(F:F, A:A=A17, B:B=MAXIFS(B:B, A:A, A17,  B:B, ""&lt;""&amp;B17)), 0)"),0.0)</f>
        <v>0</v>
      </c>
      <c r="F17" s="102">
        <f t="shared" si="1"/>
        <v>10</v>
      </c>
      <c r="G17" s="102">
        <f t="shared" si="2"/>
        <v>19.05</v>
      </c>
      <c r="H17" s="102">
        <v>1.0</v>
      </c>
      <c r="I17" s="118">
        <f t="shared" si="3"/>
        <v>0</v>
      </c>
      <c r="J17" s="118">
        <f t="array" ref="J17">IFERROR(MATCH(1, (A:A=A17) * (B:B=MAXIFS(B:B, A:A, A17,  B:B, "&lt;"&amp;B17)), 0), 0)</f>
        <v>0</v>
      </c>
    </row>
    <row r="18" ht="22.5" customHeight="1">
      <c r="A18" s="160" t="s">
        <v>418</v>
      </c>
      <c r="B18" s="145">
        <v>46091.0</v>
      </c>
      <c r="C18" s="102">
        <v>10.0</v>
      </c>
      <c r="D18" s="49">
        <v>26.16</v>
      </c>
      <c r="E18" s="102">
        <f>IFERROR(__xludf.DUMMYFUNCTION("IFERROR(FILTER(F:F, A:A=A18, B:B=MAXIFS(B:B, A:A, A18,  B:B, ""&lt;""&amp;B18)), 0)"),0.0)</f>
        <v>0</v>
      </c>
      <c r="F18" s="102">
        <f t="shared" si="1"/>
        <v>10</v>
      </c>
      <c r="G18" s="102">
        <f t="shared" si="2"/>
        <v>26.16</v>
      </c>
      <c r="H18" s="102">
        <v>1.0</v>
      </c>
      <c r="I18" s="118">
        <f t="shared" si="3"/>
        <v>0</v>
      </c>
      <c r="J18" s="118">
        <f t="array" ref="J18">IFERROR(MATCH(1, (A:A=A18) * (B:B=MAXIFS(B:B, A:A, A18,  B:B, "&lt;"&amp;B18)), 0), 0)</f>
        <v>0</v>
      </c>
    </row>
    <row r="19" ht="22.5" customHeight="1">
      <c r="A19" s="160" t="s">
        <v>414</v>
      </c>
      <c r="B19" s="145">
        <v>46092.0</v>
      </c>
      <c r="C19" s="102">
        <v>-10.0</v>
      </c>
      <c r="D19" s="49">
        <v>9.62</v>
      </c>
      <c r="E19" s="102">
        <f>IFERROR(__xludf.DUMMYFUNCTION("IFERROR(FILTER(F:F, A:A=A19, B:B=MAXIFS(B:B, A:A, A19,  B:B, ""&lt;""&amp;B19)), 0)"),10.0)</f>
        <v>10</v>
      </c>
      <c r="F19" s="102">
        <f t="shared" si="1"/>
        <v>0</v>
      </c>
      <c r="G19" s="102">
        <f t="shared" si="2"/>
        <v>10.28</v>
      </c>
      <c r="H19" s="102">
        <v>1.0</v>
      </c>
      <c r="I19" s="118">
        <f t="shared" si="3"/>
        <v>-6.6</v>
      </c>
      <c r="J19" s="118">
        <f t="array" ref="J19">IFERROR(MATCH(1, (A:A=A19) * (B:B=MAXIFS(B:B, A:A, A19,  B:B, "&lt;"&amp;B19)), 0), 0)</f>
        <v>16</v>
      </c>
      <c r="L19" s="56" t="str">
        <f>"&lt;"&amp;D19</f>
        <v>&lt;9.62</v>
      </c>
    </row>
    <row r="20" ht="22.5" customHeight="1">
      <c r="A20" s="160" t="s">
        <v>416</v>
      </c>
      <c r="B20" s="145">
        <v>46092.0</v>
      </c>
      <c r="C20" s="102">
        <v>-10.0</v>
      </c>
      <c r="D20" s="49">
        <v>18.47</v>
      </c>
      <c r="E20" s="102">
        <f>IFERROR(__xludf.DUMMYFUNCTION("IFERROR(FILTER(F:F, A:A=A20, B:B=MAXIFS(B:B, A:A, A20,  B:B, ""&lt;""&amp;B20)), 0)"),10.0)</f>
        <v>10</v>
      </c>
      <c r="F20" s="102">
        <f t="shared" si="1"/>
        <v>0</v>
      </c>
      <c r="G20" s="102">
        <f t="shared" si="2"/>
        <v>19.05</v>
      </c>
      <c r="H20" s="102">
        <v>1.0</v>
      </c>
      <c r="I20" s="118">
        <f t="shared" si="3"/>
        <v>-5.8</v>
      </c>
      <c r="J20" s="118">
        <f t="array" ref="J20">IFERROR(MATCH(1, (A:A=A20) * (B:B=MAXIFS(B:B, A:A, A20,  B:B, "&lt;"&amp;B20)), 0), 0)</f>
        <v>17</v>
      </c>
    </row>
    <row r="21" ht="22.5" customHeight="1">
      <c r="A21" s="160" t="s">
        <v>420</v>
      </c>
      <c r="B21" s="145">
        <v>46092.0</v>
      </c>
      <c r="C21" s="102">
        <v>10.0</v>
      </c>
      <c r="D21" s="49">
        <v>5.8583</v>
      </c>
      <c r="E21" s="102">
        <f>IFERROR(__xludf.DUMMYFUNCTION("IFERROR(FILTER(F:F, A:A=A21, B:B=MAXIFS(B:B, A:A, A21,  B:B, ""&lt;""&amp;B21)), 0)"),0.0)</f>
        <v>0</v>
      </c>
      <c r="F21" s="102">
        <f t="shared" si="1"/>
        <v>10</v>
      </c>
      <c r="G21" s="102">
        <f t="shared" si="2"/>
        <v>5.8583</v>
      </c>
      <c r="H21" s="102">
        <v>1.0</v>
      </c>
      <c r="I21" s="118">
        <f t="shared" si="3"/>
        <v>0</v>
      </c>
      <c r="J21" s="118">
        <f t="array" ref="J21">IFERROR(MATCH(1, (A:A=A21) * (B:B=MAXIFS(B:B, A:A, A21,  B:B, "&lt;"&amp;B21)), 0), 0)</f>
        <v>0</v>
      </c>
    </row>
  </sheetData>
  <dataValidations>
    <dataValidation type="custom" allowBlank="1" showDropDown="1" sqref="B2:B21">
      <formula1>OR(NOT(ISERROR(DATEVALUE(B2))), AND(ISNUMBER(B2), LEFT(CELL("format", B2))="D"))</formula1>
    </dataValidation>
    <dataValidation type="custom" allowBlank="1" showDropDown="1" sqref="D2:D21">
      <formula1>AND(ISNUMBER(D2),(NOT(OR(NOT(ISERROR(DATEVALUE(D2))), AND(ISNUMBER(D2), LEFT(CELL("format", D2))="D")))))</formula1>
    </dataValidation>
    <dataValidation type="list" allowBlank="1" sqref="A2:A21">
      <formula1>#REF!</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3" width="17.5"/>
    <col customWidth="1" min="4" max="4" width="8.38"/>
    <col customWidth="1" min="5" max="6" width="13.63"/>
    <col customWidth="1" min="7" max="7" width="31.63"/>
    <col customWidth="1" min="8" max="13" width="14.13"/>
  </cols>
  <sheetData>
    <row r="1" ht="22.5" customHeight="1">
      <c r="A1" s="36" t="s">
        <v>636</v>
      </c>
      <c r="B1" s="1" t="s">
        <v>425</v>
      </c>
      <c r="C1" s="36" t="s">
        <v>426</v>
      </c>
      <c r="D1" s="36" t="s">
        <v>427</v>
      </c>
      <c r="E1" s="36" t="s">
        <v>429</v>
      </c>
      <c r="F1" s="1" t="s">
        <v>637</v>
      </c>
      <c r="G1" s="9" t="s">
        <v>638</v>
      </c>
      <c r="H1" s="36" t="s">
        <v>442</v>
      </c>
      <c r="I1" s="36" t="s">
        <v>639</v>
      </c>
      <c r="J1" s="36" t="s">
        <v>640</v>
      </c>
      <c r="K1" s="36" t="s">
        <v>447</v>
      </c>
      <c r="L1" s="36" t="s">
        <v>634</v>
      </c>
      <c r="M1" s="36" t="s">
        <v>66</v>
      </c>
    </row>
    <row r="2" ht="22.5" customHeight="1">
      <c r="A2" s="146" t="s">
        <v>641</v>
      </c>
      <c r="B2" s="161">
        <v>46048.06010416667</v>
      </c>
      <c r="C2" s="161">
        <v>46049.73488425926</v>
      </c>
      <c r="E2" s="3" t="s">
        <v>426</v>
      </c>
      <c r="F2" s="3" t="s">
        <v>642</v>
      </c>
      <c r="G2" s="14" t="s">
        <v>643</v>
      </c>
      <c r="H2" s="102">
        <v>-1.0</v>
      </c>
      <c r="I2" s="162">
        <v>1.1881</v>
      </c>
      <c r="J2" s="162">
        <v>1.201</v>
      </c>
      <c r="K2" s="102">
        <v>12500.0</v>
      </c>
      <c r="L2" s="102">
        <v>1.0</v>
      </c>
      <c r="M2" s="117">
        <f>IF(ISBLANK(J2), 0, K2*(J2-I2)*H2-L2)</f>
        <v>-162.25</v>
      </c>
    </row>
    <row r="3" ht="22.5" customHeight="1">
      <c r="A3" s="144" t="s">
        <v>644</v>
      </c>
      <c r="B3" s="161"/>
      <c r="C3" s="161"/>
      <c r="E3" s="6"/>
      <c r="F3" s="6"/>
      <c r="G3" s="14"/>
      <c r="H3" s="102"/>
      <c r="I3" s="162"/>
      <c r="J3" s="162"/>
      <c r="K3" s="102"/>
      <c r="L3" s="102"/>
      <c r="M3" s="117"/>
    </row>
    <row r="4" ht="22.5" customHeight="1">
      <c r="A4" s="144" t="s">
        <v>645</v>
      </c>
      <c r="B4" s="161"/>
      <c r="C4" s="161"/>
      <c r="E4" s="6"/>
      <c r="F4" s="6"/>
      <c r="G4" s="14"/>
      <c r="H4" s="102"/>
      <c r="I4" s="162"/>
      <c r="J4" s="162"/>
      <c r="K4" s="102"/>
      <c r="L4" s="102"/>
      <c r="M4" s="117"/>
    </row>
    <row r="5" ht="22.5" customHeight="1">
      <c r="A5" s="144" t="s">
        <v>646</v>
      </c>
      <c r="B5" s="161"/>
      <c r="C5" s="161"/>
      <c r="E5" s="6"/>
      <c r="F5" s="6"/>
      <c r="G5" s="14"/>
      <c r="H5" s="102"/>
      <c r="I5" s="162"/>
      <c r="J5" s="162"/>
      <c r="K5" s="102"/>
      <c r="L5" s="102"/>
      <c r="M5" s="117"/>
    </row>
    <row r="6" ht="22.5" customHeight="1">
      <c r="A6" s="144" t="s">
        <v>647</v>
      </c>
      <c r="B6" s="161"/>
      <c r="C6" s="161"/>
      <c r="E6" s="6"/>
      <c r="F6" s="6"/>
      <c r="G6" s="14"/>
      <c r="H6" s="102"/>
      <c r="I6" s="162"/>
      <c r="J6" s="162"/>
      <c r="K6" s="102"/>
      <c r="L6" s="102"/>
      <c r="M6" s="117"/>
    </row>
    <row r="7" ht="22.5" customHeight="1">
      <c r="A7" s="144" t="s">
        <v>648</v>
      </c>
      <c r="B7" s="161"/>
      <c r="C7" s="161"/>
      <c r="E7" s="6"/>
      <c r="F7" s="6"/>
      <c r="G7" s="14"/>
      <c r="H7" s="102"/>
      <c r="I7" s="162"/>
      <c r="J7" s="162"/>
      <c r="K7" s="102"/>
      <c r="L7" s="102"/>
      <c r="M7" s="117"/>
      <c r="Q7" s="163"/>
      <c r="R7" s="164"/>
    </row>
    <row r="8" ht="22.5" customHeight="1">
      <c r="A8" s="144" t="s">
        <v>649</v>
      </c>
      <c r="B8" s="161"/>
      <c r="C8" s="161"/>
      <c r="E8" s="6"/>
      <c r="F8" s="6"/>
      <c r="G8" s="14"/>
      <c r="H8" s="102"/>
      <c r="I8" s="162"/>
      <c r="J8" s="162"/>
      <c r="K8" s="102"/>
      <c r="L8" s="102"/>
      <c r="M8" s="117"/>
    </row>
    <row r="9" ht="22.5" customHeight="1">
      <c r="A9" s="144" t="s">
        <v>650</v>
      </c>
      <c r="B9" s="161"/>
      <c r="C9" s="161"/>
      <c r="E9" s="6"/>
      <c r="F9" s="6"/>
      <c r="G9" s="14"/>
      <c r="H9" s="102"/>
      <c r="I9" s="162"/>
      <c r="J9" s="162"/>
      <c r="K9" s="102"/>
      <c r="L9" s="102"/>
      <c r="M9" s="117"/>
    </row>
    <row r="10" ht="22.5" customHeight="1">
      <c r="A10" s="144" t="s">
        <v>651</v>
      </c>
      <c r="B10" s="161"/>
      <c r="C10" s="161"/>
      <c r="E10" s="6"/>
      <c r="F10" s="6"/>
      <c r="H10" s="102"/>
      <c r="I10" s="162"/>
      <c r="J10" s="162"/>
      <c r="K10" s="102"/>
      <c r="L10" s="102"/>
      <c r="M10" s="117"/>
    </row>
    <row r="11" ht="22.5" customHeight="1">
      <c r="A11" s="144" t="s">
        <v>652</v>
      </c>
      <c r="B11" s="161"/>
      <c r="C11" s="161"/>
      <c r="E11" s="6"/>
      <c r="F11" s="6"/>
      <c r="G11" s="14"/>
      <c r="H11" s="102"/>
      <c r="I11" s="162"/>
      <c r="J11" s="162"/>
      <c r="K11" s="102"/>
      <c r="L11" s="102"/>
      <c r="M11" s="117"/>
    </row>
    <row r="12" ht="22.5" customHeight="1">
      <c r="A12" s="144" t="s">
        <v>653</v>
      </c>
      <c r="B12" s="161"/>
      <c r="C12" s="161"/>
      <c r="E12" s="6"/>
      <c r="F12" s="6"/>
      <c r="G12" s="14"/>
      <c r="H12" s="102"/>
      <c r="I12" s="162"/>
      <c r="J12" s="162"/>
      <c r="K12" s="102"/>
      <c r="L12" s="102"/>
      <c r="M12" s="117"/>
    </row>
    <row r="13" ht="22.5" customHeight="1">
      <c r="A13" s="144" t="s">
        <v>654</v>
      </c>
      <c r="B13" s="161"/>
      <c r="C13" s="161"/>
      <c r="E13" s="6"/>
      <c r="F13" s="6"/>
      <c r="G13" s="14"/>
      <c r="H13" s="102"/>
      <c r="I13" s="162"/>
      <c r="J13" s="162"/>
      <c r="K13" s="102"/>
      <c r="L13" s="102"/>
      <c r="M13" s="117"/>
    </row>
    <row r="14" ht="22.5" customHeight="1">
      <c r="A14" s="144" t="s">
        <v>655</v>
      </c>
      <c r="B14" s="161"/>
      <c r="C14" s="161"/>
      <c r="E14" s="6"/>
      <c r="F14" s="6"/>
      <c r="G14" s="14"/>
      <c r="H14" s="102"/>
      <c r="I14" s="162"/>
      <c r="J14" s="162"/>
      <c r="K14" s="102"/>
      <c r="L14" s="102"/>
      <c r="M14" s="117"/>
    </row>
    <row r="15" ht="22.5" customHeight="1">
      <c r="A15" s="144" t="s">
        <v>656</v>
      </c>
      <c r="B15" s="26"/>
      <c r="C15" s="26"/>
      <c r="E15" s="6"/>
      <c r="F15" s="6"/>
      <c r="G15" s="14"/>
      <c r="H15" s="117"/>
      <c r="I15" s="165"/>
      <c r="J15" s="165"/>
      <c r="K15" s="117"/>
      <c r="L15" s="117"/>
      <c r="M15" s="117">
        <f t="shared" ref="M15:M999" si="1">IF(ISBLANK(J15), 0, K15*(J15-I15)*H15-L15)</f>
        <v>0</v>
      </c>
    </row>
    <row r="16" ht="22.5" customHeight="1">
      <c r="A16" s="116" t="s">
        <v>657</v>
      </c>
      <c r="C16" s="166"/>
      <c r="D16" s="118" t="str">
        <f>IF(FuturesTrades[Opened] &lt;&gt; "",IF(FuturesTrades[Closed] = "", TODAY(), FuturesTrades[Closed]) - FuturesTrades[Opened], "")</f>
        <v/>
      </c>
      <c r="E16" s="6"/>
      <c r="F16" s="6"/>
      <c r="G16" s="22"/>
      <c r="H16" s="117"/>
      <c r="I16" s="165"/>
      <c r="J16" s="165"/>
      <c r="K16" s="117"/>
      <c r="L16" s="117"/>
      <c r="M16" s="117">
        <f t="shared" si="1"/>
        <v>0</v>
      </c>
    </row>
    <row r="17" ht="22.5" customHeight="1">
      <c r="A17" s="116" t="s">
        <v>658</v>
      </c>
      <c r="C17" s="166"/>
      <c r="D17" s="118" t="str">
        <f>IF(FuturesTrades[Opened] &lt;&gt; "",IF(FuturesTrades[Closed] = "", TODAY(), FuturesTrades[Closed]) - FuturesTrades[Opened], "")</f>
        <v/>
      </c>
      <c r="E17" s="6"/>
      <c r="F17" s="6"/>
      <c r="G17" s="22"/>
      <c r="H17" s="117"/>
      <c r="I17" s="165"/>
      <c r="J17" s="165"/>
      <c r="K17" s="117"/>
      <c r="L17" s="117"/>
      <c r="M17" s="117">
        <f t="shared" si="1"/>
        <v>0</v>
      </c>
    </row>
    <row r="18" ht="22.5" customHeight="1">
      <c r="A18" s="116" t="s">
        <v>659</v>
      </c>
      <c r="C18" s="166"/>
      <c r="D18" s="118" t="str">
        <f>IF(FuturesTrades[Opened] &lt;&gt; "",IF(FuturesTrades[Closed] = "", TODAY(), FuturesTrades[Closed]) - FuturesTrades[Opened], "")</f>
        <v/>
      </c>
      <c r="E18" s="6"/>
      <c r="F18" s="6"/>
      <c r="G18" s="22"/>
      <c r="H18" s="117"/>
      <c r="I18" s="165"/>
      <c r="J18" s="165"/>
      <c r="K18" s="117"/>
      <c r="L18" s="117"/>
      <c r="M18" s="117">
        <f t="shared" si="1"/>
        <v>0</v>
      </c>
    </row>
    <row r="19" ht="22.5" customHeight="1">
      <c r="A19" s="116" t="s">
        <v>660</v>
      </c>
      <c r="C19" s="166"/>
      <c r="D19" s="118" t="str">
        <f>IF(FuturesTrades[Opened] &lt;&gt; "",IF(FuturesTrades[Closed] = "", TODAY(), FuturesTrades[Closed]) - FuturesTrades[Opened], "")</f>
        <v/>
      </c>
      <c r="E19" s="6"/>
      <c r="F19" s="6"/>
      <c r="G19" s="22"/>
      <c r="H19" s="117"/>
      <c r="I19" s="165"/>
      <c r="J19" s="165"/>
      <c r="K19" s="117"/>
      <c r="L19" s="117"/>
      <c r="M19" s="117">
        <f t="shared" si="1"/>
        <v>0</v>
      </c>
    </row>
    <row r="20" ht="22.5" customHeight="1">
      <c r="A20" s="144" t="s">
        <v>661</v>
      </c>
      <c r="C20" s="146"/>
      <c r="D20" s="118" t="str">
        <f>IF(FuturesTrades[Opened] &lt;&gt; "",IF(FuturesTrades[Closed] = "", TODAY(), FuturesTrades[Closed]) - FuturesTrades[Opened], "")</f>
        <v/>
      </c>
      <c r="E20" s="6"/>
      <c r="F20" s="6"/>
      <c r="G20" s="22"/>
      <c r="H20" s="117"/>
      <c r="I20" s="165"/>
      <c r="J20" s="165"/>
      <c r="K20" s="117"/>
      <c r="L20" s="117"/>
      <c r="M20" s="117">
        <f t="shared" si="1"/>
        <v>0</v>
      </c>
    </row>
    <row r="21" ht="22.5" customHeight="1">
      <c r="A21" s="144" t="s">
        <v>662</v>
      </c>
      <c r="C21" s="146"/>
      <c r="D21" s="118" t="str">
        <f>IF(FuturesTrades[Opened] &lt;&gt; "",IF(FuturesTrades[Closed] = "", TODAY(), FuturesTrades[Closed]) - FuturesTrades[Opened], "")</f>
        <v/>
      </c>
      <c r="E21" s="6"/>
      <c r="F21" s="6"/>
      <c r="G21" s="22"/>
      <c r="H21" s="117"/>
      <c r="I21" s="165"/>
      <c r="J21" s="165"/>
      <c r="K21" s="117"/>
      <c r="L21" s="117"/>
      <c r="M21" s="117">
        <f t="shared" si="1"/>
        <v>0</v>
      </c>
    </row>
    <row r="22" ht="22.5" customHeight="1">
      <c r="A22" s="116" t="s">
        <v>663</v>
      </c>
      <c r="C22" s="166"/>
      <c r="D22" s="118" t="str">
        <f>IF(FuturesTrades[Opened] &lt;&gt; "",IF(FuturesTrades[Closed] = "", TODAY(), FuturesTrades[Closed]) - FuturesTrades[Opened], "")</f>
        <v/>
      </c>
      <c r="E22" s="6"/>
      <c r="F22" s="6"/>
      <c r="G22" s="22"/>
      <c r="H22" s="117"/>
      <c r="I22" s="165"/>
      <c r="J22" s="165"/>
      <c r="K22" s="117"/>
      <c r="L22" s="117"/>
      <c r="M22" s="117">
        <f t="shared" si="1"/>
        <v>0</v>
      </c>
    </row>
    <row r="23" ht="22.5" customHeight="1">
      <c r="A23" s="116" t="s">
        <v>664</v>
      </c>
      <c r="C23" s="166"/>
      <c r="D23" s="118" t="str">
        <f>IF(FuturesTrades[Opened] &lt;&gt; "",IF(FuturesTrades[Closed] = "", TODAY(), FuturesTrades[Closed]) - FuturesTrades[Opened], "")</f>
        <v/>
      </c>
      <c r="E23" s="6"/>
      <c r="F23" s="6"/>
      <c r="G23" s="22"/>
      <c r="H23" s="117"/>
      <c r="I23" s="165"/>
      <c r="J23" s="165"/>
      <c r="K23" s="117"/>
      <c r="L23" s="117"/>
      <c r="M23" s="117">
        <f t="shared" si="1"/>
        <v>0</v>
      </c>
    </row>
    <row r="24" ht="22.5" customHeight="1">
      <c r="A24" s="116" t="s">
        <v>665</v>
      </c>
      <c r="C24" s="166"/>
      <c r="D24" s="118" t="str">
        <f>IF(FuturesTrades[Opened] &lt;&gt; "",IF(FuturesTrades[Closed] = "", TODAY(), FuturesTrades[Closed]) - FuturesTrades[Opened], "")</f>
        <v/>
      </c>
      <c r="E24" s="6"/>
      <c r="F24" s="6"/>
      <c r="G24" s="22"/>
      <c r="H24" s="117"/>
      <c r="I24" s="165"/>
      <c r="J24" s="165"/>
      <c r="K24" s="117"/>
      <c r="L24" s="117"/>
      <c r="M24" s="117">
        <f t="shared" si="1"/>
        <v>0</v>
      </c>
    </row>
    <row r="25" ht="22.5" customHeight="1">
      <c r="A25" s="116" t="s">
        <v>666</v>
      </c>
      <c r="C25" s="166"/>
      <c r="D25" s="118" t="str">
        <f>IF(FuturesTrades[Opened] &lt;&gt; "",IF(FuturesTrades[Closed] = "", TODAY(), FuturesTrades[Closed]) - FuturesTrades[Opened], "")</f>
        <v/>
      </c>
      <c r="E25" s="6"/>
      <c r="F25" s="6"/>
      <c r="G25" s="22"/>
      <c r="H25" s="117"/>
      <c r="I25" s="165"/>
      <c r="J25" s="165"/>
      <c r="K25" s="117"/>
      <c r="L25" s="117"/>
      <c r="M25" s="117">
        <f t="shared" si="1"/>
        <v>0</v>
      </c>
    </row>
    <row r="26" ht="22.5" customHeight="1">
      <c r="A26" s="116" t="s">
        <v>667</v>
      </c>
      <c r="C26" s="166"/>
      <c r="D26" s="118" t="str">
        <f>IF(FuturesTrades[Opened] &lt;&gt; "",IF(FuturesTrades[Closed] = "", TODAY(), FuturesTrades[Closed]) - FuturesTrades[Opened], "")</f>
        <v/>
      </c>
      <c r="E26" s="6"/>
      <c r="F26" s="6"/>
      <c r="G26" s="22"/>
      <c r="H26" s="117"/>
      <c r="I26" s="165"/>
      <c r="J26" s="165"/>
      <c r="K26" s="117"/>
      <c r="L26" s="117"/>
      <c r="M26" s="117">
        <f t="shared" si="1"/>
        <v>0</v>
      </c>
    </row>
    <row r="27" ht="22.5" customHeight="1">
      <c r="A27" s="144" t="s">
        <v>668</v>
      </c>
      <c r="C27" s="146"/>
      <c r="D27" s="118" t="str">
        <f>IF(FuturesTrades[Opened] &lt;&gt; "",IF(FuturesTrades[Closed] = "", TODAY(), FuturesTrades[Closed]) - FuturesTrades[Opened], "")</f>
        <v/>
      </c>
      <c r="E27" s="6"/>
      <c r="F27" s="6"/>
      <c r="G27" s="22"/>
      <c r="H27" s="117"/>
      <c r="I27" s="165"/>
      <c r="J27" s="165"/>
      <c r="K27" s="117"/>
      <c r="L27" s="117"/>
      <c r="M27" s="117">
        <f t="shared" si="1"/>
        <v>0</v>
      </c>
    </row>
    <row r="28" ht="22.5" customHeight="1">
      <c r="A28" s="144" t="s">
        <v>669</v>
      </c>
      <c r="C28" s="146"/>
      <c r="D28" s="118" t="str">
        <f>IF(FuturesTrades[Opened] &lt;&gt; "",IF(FuturesTrades[Closed] = "", TODAY(), FuturesTrades[Closed]) - FuturesTrades[Opened], "")</f>
        <v/>
      </c>
      <c r="E28" s="6"/>
      <c r="F28" s="6"/>
      <c r="G28" s="22"/>
      <c r="H28" s="117"/>
      <c r="I28" s="165"/>
      <c r="J28" s="165"/>
      <c r="K28" s="117"/>
      <c r="L28" s="117"/>
      <c r="M28" s="117">
        <f t="shared" si="1"/>
        <v>0</v>
      </c>
    </row>
    <row r="29" ht="22.5" customHeight="1">
      <c r="A29" s="116" t="s">
        <v>670</v>
      </c>
      <c r="C29" s="166"/>
      <c r="D29" s="118" t="str">
        <f>IF(FuturesTrades[Opened] &lt;&gt; "",IF(FuturesTrades[Closed] = "", TODAY(), FuturesTrades[Closed]) - FuturesTrades[Opened], "")</f>
        <v/>
      </c>
      <c r="E29" s="6"/>
      <c r="F29" s="6"/>
      <c r="G29" s="22"/>
      <c r="H29" s="117"/>
      <c r="I29" s="165"/>
      <c r="J29" s="165"/>
      <c r="K29" s="117"/>
      <c r="L29" s="117"/>
      <c r="M29" s="117">
        <f t="shared" si="1"/>
        <v>0</v>
      </c>
    </row>
    <row r="30" ht="22.5" customHeight="1">
      <c r="A30" s="116" t="s">
        <v>671</v>
      </c>
      <c r="C30" s="166"/>
      <c r="D30" s="118" t="str">
        <f>IF(FuturesTrades[Opened] &lt;&gt; "",IF(FuturesTrades[Closed] = "", TODAY(), FuturesTrades[Closed]) - FuturesTrades[Opened], "")</f>
        <v/>
      </c>
      <c r="E30" s="6"/>
      <c r="F30" s="6"/>
      <c r="G30" s="22"/>
      <c r="H30" s="117"/>
      <c r="I30" s="165"/>
      <c r="J30" s="165"/>
      <c r="K30" s="117"/>
      <c r="L30" s="117"/>
      <c r="M30" s="117">
        <f t="shared" si="1"/>
        <v>0</v>
      </c>
    </row>
    <row r="31" ht="22.5" customHeight="1">
      <c r="A31" s="116" t="s">
        <v>672</v>
      </c>
      <c r="C31" s="166"/>
      <c r="D31" s="118" t="str">
        <f>IF(FuturesTrades[Opened] &lt;&gt; "",IF(FuturesTrades[Closed] = "", TODAY(), FuturesTrades[Closed]) - FuturesTrades[Opened], "")</f>
        <v/>
      </c>
      <c r="E31" s="6"/>
      <c r="F31" s="6"/>
      <c r="G31" s="22"/>
      <c r="H31" s="117"/>
      <c r="I31" s="165"/>
      <c r="J31" s="165"/>
      <c r="K31" s="117"/>
      <c r="L31" s="117"/>
      <c r="M31" s="117">
        <f t="shared" si="1"/>
        <v>0</v>
      </c>
    </row>
    <row r="32" ht="22.5" customHeight="1">
      <c r="A32" s="116" t="s">
        <v>673</v>
      </c>
      <c r="C32" s="166"/>
      <c r="D32" s="118" t="str">
        <f>IF(FuturesTrades[Opened] &lt;&gt; "",IF(FuturesTrades[Closed] = "", TODAY(), FuturesTrades[Closed]) - FuturesTrades[Opened], "")</f>
        <v/>
      </c>
      <c r="E32" s="6"/>
      <c r="F32" s="6"/>
      <c r="G32" s="22"/>
      <c r="H32" s="117"/>
      <c r="I32" s="165"/>
      <c r="J32" s="165"/>
      <c r="K32" s="117"/>
      <c r="L32" s="117"/>
      <c r="M32" s="117">
        <f t="shared" si="1"/>
        <v>0</v>
      </c>
    </row>
    <row r="33" ht="22.5" customHeight="1">
      <c r="A33" s="116" t="s">
        <v>674</v>
      </c>
      <c r="C33" s="166"/>
      <c r="D33" s="118" t="str">
        <f>IF(FuturesTrades[Opened] &lt;&gt; "",IF(FuturesTrades[Closed] = "", TODAY(), FuturesTrades[Closed]) - FuturesTrades[Opened], "")</f>
        <v/>
      </c>
      <c r="E33" s="6"/>
      <c r="F33" s="6"/>
      <c r="G33" s="22"/>
      <c r="H33" s="117"/>
      <c r="I33" s="165"/>
      <c r="J33" s="165"/>
      <c r="K33" s="117"/>
      <c r="L33" s="117"/>
      <c r="M33" s="117">
        <f t="shared" si="1"/>
        <v>0</v>
      </c>
    </row>
    <row r="34" ht="22.5" customHeight="1">
      <c r="A34" s="144" t="s">
        <v>675</v>
      </c>
      <c r="C34" s="146"/>
      <c r="D34" s="118" t="str">
        <f>IF(FuturesTrades[Opened] &lt;&gt; "",IF(FuturesTrades[Closed] = "", TODAY(), FuturesTrades[Closed]) - FuturesTrades[Opened], "")</f>
        <v/>
      </c>
      <c r="E34" s="6"/>
      <c r="F34" s="6"/>
      <c r="G34" s="22"/>
      <c r="H34" s="117"/>
      <c r="I34" s="165"/>
      <c r="J34" s="165"/>
      <c r="K34" s="117"/>
      <c r="L34" s="117"/>
      <c r="M34" s="117">
        <f t="shared" si="1"/>
        <v>0</v>
      </c>
    </row>
    <row r="35" ht="22.5" customHeight="1">
      <c r="A35" s="144" t="s">
        <v>676</v>
      </c>
      <c r="C35" s="146"/>
      <c r="D35" s="118" t="str">
        <f>IF(FuturesTrades[Opened] &lt;&gt; "",IF(FuturesTrades[Closed] = "", TODAY(), FuturesTrades[Closed]) - FuturesTrades[Opened], "")</f>
        <v/>
      </c>
      <c r="E35" s="6"/>
      <c r="F35" s="6"/>
      <c r="G35" s="22"/>
      <c r="H35" s="117"/>
      <c r="I35" s="165"/>
      <c r="J35" s="165"/>
      <c r="K35" s="117"/>
      <c r="L35" s="117"/>
      <c r="M35" s="117">
        <f t="shared" si="1"/>
        <v>0</v>
      </c>
    </row>
    <row r="36" ht="22.5" customHeight="1">
      <c r="A36" s="116" t="s">
        <v>677</v>
      </c>
      <c r="C36" s="166"/>
      <c r="D36" s="118" t="str">
        <f>IF(FuturesTrades[Opened] &lt;&gt; "",IF(FuturesTrades[Closed] = "", TODAY(), FuturesTrades[Closed]) - FuturesTrades[Opened], "")</f>
        <v/>
      </c>
      <c r="E36" s="6"/>
      <c r="F36" s="6"/>
      <c r="G36" s="22"/>
      <c r="H36" s="117"/>
      <c r="I36" s="165"/>
      <c r="J36" s="165"/>
      <c r="K36" s="117"/>
      <c r="L36" s="117"/>
      <c r="M36" s="117">
        <f t="shared" si="1"/>
        <v>0</v>
      </c>
    </row>
    <row r="37" ht="22.5" customHeight="1">
      <c r="A37" s="116" t="s">
        <v>678</v>
      </c>
      <c r="C37" s="166"/>
      <c r="D37" s="118" t="str">
        <f>IF(FuturesTrades[Opened] &lt;&gt; "",IF(FuturesTrades[Closed] = "", TODAY(), FuturesTrades[Closed]) - FuturesTrades[Opened], "")</f>
        <v/>
      </c>
      <c r="E37" s="6"/>
      <c r="F37" s="6"/>
      <c r="G37" s="22"/>
      <c r="H37" s="117"/>
      <c r="I37" s="165"/>
      <c r="J37" s="165"/>
      <c r="K37" s="117"/>
      <c r="L37" s="117"/>
      <c r="M37" s="117">
        <f t="shared" si="1"/>
        <v>0</v>
      </c>
    </row>
    <row r="38" ht="22.5" customHeight="1">
      <c r="A38" s="116" t="s">
        <v>679</v>
      </c>
      <c r="C38" s="166"/>
      <c r="D38" s="118" t="str">
        <f>IF(FuturesTrades[Opened] &lt;&gt; "",IF(FuturesTrades[Closed] = "", TODAY(), FuturesTrades[Closed]) - FuturesTrades[Opened], "")</f>
        <v/>
      </c>
      <c r="E38" s="6"/>
      <c r="F38" s="6"/>
      <c r="G38" s="22"/>
      <c r="H38" s="117"/>
      <c r="I38" s="165"/>
      <c r="J38" s="165"/>
      <c r="K38" s="117"/>
      <c r="L38" s="117"/>
      <c r="M38" s="117">
        <f t="shared" si="1"/>
        <v>0</v>
      </c>
    </row>
    <row r="39" ht="22.5" customHeight="1">
      <c r="A39" s="116" t="s">
        <v>680</v>
      </c>
      <c r="C39" s="166"/>
      <c r="D39" s="118" t="str">
        <f>IF(FuturesTrades[Opened] &lt;&gt; "",IF(FuturesTrades[Closed] = "", TODAY(), FuturesTrades[Closed]) - FuturesTrades[Opened], "")</f>
        <v/>
      </c>
      <c r="E39" s="6"/>
      <c r="F39" s="6"/>
      <c r="G39" s="22"/>
      <c r="H39" s="117"/>
      <c r="I39" s="165"/>
      <c r="J39" s="165"/>
      <c r="K39" s="117"/>
      <c r="L39" s="117"/>
      <c r="M39" s="117">
        <f t="shared" si="1"/>
        <v>0</v>
      </c>
    </row>
    <row r="40" ht="22.5" customHeight="1">
      <c r="A40" s="116" t="s">
        <v>681</v>
      </c>
      <c r="C40" s="166"/>
      <c r="D40" s="118" t="str">
        <f>IF(FuturesTrades[Opened] &lt;&gt; "",IF(FuturesTrades[Closed] = "", TODAY(), FuturesTrades[Closed]) - FuturesTrades[Opened], "")</f>
        <v/>
      </c>
      <c r="E40" s="6"/>
      <c r="F40" s="6"/>
      <c r="G40" s="22"/>
      <c r="H40" s="117"/>
      <c r="I40" s="165"/>
      <c r="J40" s="165"/>
      <c r="K40" s="117"/>
      <c r="L40" s="117"/>
      <c r="M40" s="117">
        <f t="shared" si="1"/>
        <v>0</v>
      </c>
    </row>
    <row r="41" ht="22.5" customHeight="1">
      <c r="A41" s="144" t="s">
        <v>682</v>
      </c>
      <c r="C41" s="146"/>
      <c r="D41" s="118" t="str">
        <f>IF(FuturesTrades[Opened] &lt;&gt; "",IF(FuturesTrades[Closed] = "", TODAY(), FuturesTrades[Closed]) - FuturesTrades[Opened], "")</f>
        <v/>
      </c>
      <c r="E41" s="6"/>
      <c r="F41" s="6"/>
      <c r="G41" s="22"/>
      <c r="H41" s="117"/>
      <c r="I41" s="165"/>
      <c r="J41" s="165"/>
      <c r="K41" s="117"/>
      <c r="L41" s="117"/>
      <c r="M41" s="117">
        <f t="shared" si="1"/>
        <v>0</v>
      </c>
    </row>
    <row r="42" ht="22.5" customHeight="1">
      <c r="A42" s="144" t="s">
        <v>683</v>
      </c>
      <c r="C42" s="146"/>
      <c r="D42" s="118" t="str">
        <f>IF(FuturesTrades[Opened] &lt;&gt; "",IF(FuturesTrades[Closed] = "", TODAY(), FuturesTrades[Closed]) - FuturesTrades[Opened], "")</f>
        <v/>
      </c>
      <c r="E42" s="6"/>
      <c r="F42" s="6"/>
      <c r="G42" s="22"/>
      <c r="H42" s="117"/>
      <c r="I42" s="165"/>
      <c r="J42" s="165"/>
      <c r="K42" s="117"/>
      <c r="L42" s="117"/>
      <c r="M42" s="117">
        <f t="shared" si="1"/>
        <v>0</v>
      </c>
    </row>
    <row r="43" ht="22.5" customHeight="1">
      <c r="A43" s="116" t="s">
        <v>684</v>
      </c>
      <c r="C43" s="166"/>
      <c r="D43" s="118" t="str">
        <f>IF(FuturesTrades[Opened] &lt;&gt; "",IF(FuturesTrades[Closed] = "", TODAY(), FuturesTrades[Closed]) - FuturesTrades[Opened], "")</f>
        <v/>
      </c>
      <c r="E43" s="6"/>
      <c r="F43" s="6"/>
      <c r="G43" s="22"/>
      <c r="H43" s="117"/>
      <c r="I43" s="165"/>
      <c r="J43" s="165"/>
      <c r="K43" s="117"/>
      <c r="L43" s="117"/>
      <c r="M43" s="117">
        <f t="shared" si="1"/>
        <v>0</v>
      </c>
    </row>
    <row r="44" ht="22.5" customHeight="1">
      <c r="A44" s="116"/>
      <c r="C44" s="166"/>
      <c r="D44" s="118" t="str">
        <f>IF(FuturesTrades[Opened] &lt;&gt; "",IF(FuturesTrades[Closed] = "", TODAY(), FuturesTrades[Closed]) - FuturesTrades[Opened], "")</f>
        <v/>
      </c>
      <c r="E44" s="6"/>
      <c r="F44" s="6"/>
      <c r="G44" s="22"/>
      <c r="H44" s="117"/>
      <c r="I44" s="165"/>
      <c r="J44" s="165"/>
      <c r="K44" s="117"/>
      <c r="L44" s="117"/>
      <c r="M44" s="117">
        <f t="shared" si="1"/>
        <v>0</v>
      </c>
    </row>
    <row r="45" ht="22.5" customHeight="1">
      <c r="A45" s="116"/>
      <c r="C45" s="166"/>
      <c r="D45" s="118" t="str">
        <f>IF(FuturesTrades[Opened] &lt;&gt; "",IF(FuturesTrades[Closed] = "", TODAY(), FuturesTrades[Closed]) - FuturesTrades[Opened], "")</f>
        <v/>
      </c>
      <c r="E45" s="6"/>
      <c r="F45" s="6"/>
      <c r="G45" s="22"/>
      <c r="H45" s="117"/>
      <c r="I45" s="165"/>
      <c r="J45" s="165"/>
      <c r="K45" s="117"/>
      <c r="L45" s="117"/>
      <c r="M45" s="117">
        <f t="shared" si="1"/>
        <v>0</v>
      </c>
    </row>
    <row r="46" ht="22.5" customHeight="1">
      <c r="A46" s="116"/>
      <c r="C46" s="166"/>
      <c r="D46" s="118" t="str">
        <f>IF(FuturesTrades[Opened] &lt;&gt; "",IF(FuturesTrades[Closed] = "", TODAY(), FuturesTrades[Closed]) - FuturesTrades[Opened], "")</f>
        <v/>
      </c>
      <c r="E46" s="6"/>
      <c r="F46" s="6"/>
      <c r="G46" s="22"/>
      <c r="H46" s="117"/>
      <c r="I46" s="165"/>
      <c r="J46" s="165"/>
      <c r="K46" s="117"/>
      <c r="L46" s="117"/>
      <c r="M46" s="117">
        <f t="shared" si="1"/>
        <v>0</v>
      </c>
    </row>
    <row r="47" ht="22.5" customHeight="1">
      <c r="A47" s="116"/>
      <c r="C47" s="166"/>
      <c r="D47" s="118" t="str">
        <f>IF(FuturesTrades[Opened] &lt;&gt; "",IF(FuturesTrades[Closed] = "", TODAY(), FuturesTrades[Closed]) - FuturesTrades[Opened], "")</f>
        <v/>
      </c>
      <c r="E47" s="6"/>
      <c r="F47" s="6"/>
      <c r="G47" s="22"/>
      <c r="H47" s="117"/>
      <c r="I47" s="165"/>
      <c r="J47" s="165"/>
      <c r="K47" s="117"/>
      <c r="L47" s="117"/>
      <c r="M47" s="117">
        <f t="shared" si="1"/>
        <v>0</v>
      </c>
    </row>
    <row r="48" ht="22.5" customHeight="1">
      <c r="A48" s="116"/>
      <c r="C48" s="166"/>
      <c r="D48" s="118" t="str">
        <f>IF(FuturesTrades[Opened] &lt;&gt; "",IF(FuturesTrades[Closed] = "", TODAY(), FuturesTrades[Closed]) - FuturesTrades[Opened], "")</f>
        <v/>
      </c>
      <c r="E48" s="6"/>
      <c r="F48" s="6"/>
      <c r="G48" s="22"/>
      <c r="H48" s="117"/>
      <c r="I48" s="165"/>
      <c r="J48" s="165"/>
      <c r="K48" s="117"/>
      <c r="L48" s="117"/>
      <c r="M48" s="117">
        <f t="shared" si="1"/>
        <v>0</v>
      </c>
    </row>
    <row r="49" ht="22.5" customHeight="1">
      <c r="A49" s="116"/>
      <c r="C49" s="166"/>
      <c r="D49" s="118" t="str">
        <f>IF(FuturesTrades[Opened] &lt;&gt; "",IF(FuturesTrades[Closed] = "", TODAY(), FuturesTrades[Closed]) - FuturesTrades[Opened], "")</f>
        <v/>
      </c>
      <c r="E49" s="6"/>
      <c r="F49" s="6"/>
      <c r="G49" s="22"/>
      <c r="H49" s="117"/>
      <c r="I49" s="165"/>
      <c r="J49" s="165"/>
      <c r="K49" s="117"/>
      <c r="L49" s="117"/>
      <c r="M49" s="117">
        <f t="shared" si="1"/>
        <v>0</v>
      </c>
    </row>
    <row r="50" ht="22.5" customHeight="1">
      <c r="A50" s="116"/>
      <c r="C50" s="166"/>
      <c r="D50" s="118" t="str">
        <f>IF(FuturesTrades[Opened] &lt;&gt; "",IF(FuturesTrades[Closed] = "", TODAY(), FuturesTrades[Closed]) - FuturesTrades[Opened], "")</f>
        <v/>
      </c>
      <c r="E50" s="6"/>
      <c r="F50" s="6"/>
      <c r="G50" s="22"/>
      <c r="H50" s="117"/>
      <c r="I50" s="165"/>
      <c r="J50" s="165"/>
      <c r="K50" s="117"/>
      <c r="L50" s="117"/>
      <c r="M50" s="117">
        <f t="shared" si="1"/>
        <v>0</v>
      </c>
    </row>
    <row r="51" ht="22.5" customHeight="1">
      <c r="A51" s="116"/>
      <c r="C51" s="166"/>
      <c r="D51" s="118" t="str">
        <f>IF(FuturesTrades[Opened] &lt;&gt; "",IF(FuturesTrades[Closed] = "", TODAY(), FuturesTrades[Closed]) - FuturesTrades[Opened], "")</f>
        <v/>
      </c>
      <c r="E51" s="6"/>
      <c r="F51" s="6"/>
      <c r="G51" s="22"/>
      <c r="H51" s="117"/>
      <c r="I51" s="165"/>
      <c r="J51" s="165"/>
      <c r="K51" s="117"/>
      <c r="L51" s="117"/>
      <c r="M51" s="117">
        <f t="shared" si="1"/>
        <v>0</v>
      </c>
    </row>
    <row r="52" ht="22.5" customHeight="1">
      <c r="A52" s="116"/>
      <c r="C52" s="166"/>
      <c r="D52" s="118" t="str">
        <f>IF(FuturesTrades[Opened] &lt;&gt; "",IF(FuturesTrades[Closed] = "", TODAY(), FuturesTrades[Closed]) - FuturesTrades[Opened], "")</f>
        <v/>
      </c>
      <c r="E52" s="6"/>
      <c r="F52" s="6"/>
      <c r="G52" s="22"/>
      <c r="H52" s="117"/>
      <c r="I52" s="165"/>
      <c r="J52" s="165"/>
      <c r="K52" s="117"/>
      <c r="L52" s="117"/>
      <c r="M52" s="117">
        <f t="shared" si="1"/>
        <v>0</v>
      </c>
    </row>
    <row r="53" ht="22.5" customHeight="1">
      <c r="A53" s="116"/>
      <c r="C53" s="166"/>
      <c r="D53" s="118" t="str">
        <f>IF(FuturesTrades[Opened] &lt;&gt; "",IF(FuturesTrades[Closed] = "", TODAY(), FuturesTrades[Closed]) - FuturesTrades[Opened], "")</f>
        <v/>
      </c>
      <c r="E53" s="6"/>
      <c r="F53" s="6"/>
      <c r="G53" s="22"/>
      <c r="H53" s="117"/>
      <c r="I53" s="165"/>
      <c r="J53" s="165"/>
      <c r="K53" s="117"/>
      <c r="L53" s="117"/>
      <c r="M53" s="117">
        <f t="shared" si="1"/>
        <v>0</v>
      </c>
    </row>
    <row r="54" ht="22.5" customHeight="1">
      <c r="A54" s="116"/>
      <c r="C54" s="166"/>
      <c r="D54" s="118" t="str">
        <f>IF(FuturesTrades[Opened] &lt;&gt; "",IF(FuturesTrades[Closed] = "", TODAY(), FuturesTrades[Closed]) - FuturesTrades[Opened], "")</f>
        <v/>
      </c>
      <c r="E54" s="6"/>
      <c r="F54" s="6"/>
      <c r="G54" s="22"/>
      <c r="H54" s="117"/>
      <c r="I54" s="165"/>
      <c r="J54" s="165"/>
      <c r="K54" s="117"/>
      <c r="L54" s="117"/>
      <c r="M54" s="117">
        <f t="shared" si="1"/>
        <v>0</v>
      </c>
    </row>
    <row r="55" ht="22.5" customHeight="1">
      <c r="A55" s="116"/>
      <c r="C55" s="166"/>
      <c r="D55" s="118" t="str">
        <f>IF(FuturesTrades[Opened] &lt;&gt; "",IF(FuturesTrades[Closed] = "", TODAY(), FuturesTrades[Closed]) - FuturesTrades[Opened], "")</f>
        <v/>
      </c>
      <c r="E55" s="6"/>
      <c r="F55" s="6"/>
      <c r="G55" s="22"/>
      <c r="H55" s="117"/>
      <c r="I55" s="165"/>
      <c r="J55" s="165"/>
      <c r="K55" s="117"/>
      <c r="L55" s="117"/>
      <c r="M55" s="117">
        <f t="shared" si="1"/>
        <v>0</v>
      </c>
    </row>
    <row r="56" ht="22.5" customHeight="1">
      <c r="A56" s="116"/>
      <c r="C56" s="166"/>
      <c r="D56" s="118" t="str">
        <f>IF(FuturesTrades[Opened] &lt;&gt; "",IF(FuturesTrades[Closed] = "", TODAY(), FuturesTrades[Closed]) - FuturesTrades[Opened], "")</f>
        <v/>
      </c>
      <c r="E56" s="6"/>
      <c r="F56" s="6"/>
      <c r="G56" s="22"/>
      <c r="H56" s="117"/>
      <c r="I56" s="165"/>
      <c r="J56" s="165"/>
      <c r="K56" s="117"/>
      <c r="L56" s="117"/>
      <c r="M56" s="117">
        <f t="shared" si="1"/>
        <v>0</v>
      </c>
    </row>
    <row r="57" ht="22.5" customHeight="1">
      <c r="A57" s="116"/>
      <c r="C57" s="166"/>
      <c r="D57" s="118" t="str">
        <f>IF(FuturesTrades[Opened] &lt;&gt; "",IF(FuturesTrades[Closed] = "", TODAY(), FuturesTrades[Closed]) - FuturesTrades[Opened], "")</f>
        <v/>
      </c>
      <c r="E57" s="6"/>
      <c r="F57" s="6"/>
      <c r="G57" s="22"/>
      <c r="H57" s="117"/>
      <c r="I57" s="165"/>
      <c r="J57" s="165"/>
      <c r="K57" s="117"/>
      <c r="L57" s="117"/>
      <c r="M57" s="117">
        <f t="shared" si="1"/>
        <v>0</v>
      </c>
    </row>
    <row r="58" ht="22.5" customHeight="1">
      <c r="A58" s="116"/>
      <c r="C58" s="166"/>
      <c r="D58" s="118" t="str">
        <f>IF(FuturesTrades[Opened] &lt;&gt; "",IF(FuturesTrades[Closed] = "", TODAY(), FuturesTrades[Closed]) - FuturesTrades[Opened], "")</f>
        <v/>
      </c>
      <c r="E58" s="6"/>
      <c r="F58" s="6"/>
      <c r="G58" s="22"/>
      <c r="H58" s="117"/>
      <c r="I58" s="165"/>
      <c r="J58" s="165"/>
      <c r="K58" s="117"/>
      <c r="L58" s="117"/>
      <c r="M58" s="117">
        <f t="shared" si="1"/>
        <v>0</v>
      </c>
    </row>
    <row r="59" ht="22.5" customHeight="1">
      <c r="A59" s="116"/>
      <c r="C59" s="166"/>
      <c r="D59" s="118" t="str">
        <f>IF(FuturesTrades[Opened] &lt;&gt; "",IF(FuturesTrades[Closed] = "", TODAY(), FuturesTrades[Closed]) - FuturesTrades[Opened], "")</f>
        <v/>
      </c>
      <c r="E59" s="6"/>
      <c r="F59" s="6"/>
      <c r="G59" s="22"/>
      <c r="H59" s="117"/>
      <c r="I59" s="165"/>
      <c r="J59" s="165"/>
      <c r="K59" s="117"/>
      <c r="L59" s="117"/>
      <c r="M59" s="117">
        <f t="shared" si="1"/>
        <v>0</v>
      </c>
    </row>
    <row r="60" ht="22.5" customHeight="1">
      <c r="A60" s="116"/>
      <c r="C60" s="166"/>
      <c r="D60" s="118" t="str">
        <f>IF(FuturesTrades[Opened] &lt;&gt; "",IF(FuturesTrades[Closed] = "", TODAY(), FuturesTrades[Closed]) - FuturesTrades[Opened], "")</f>
        <v/>
      </c>
      <c r="E60" s="6"/>
      <c r="F60" s="6"/>
      <c r="G60" s="22"/>
      <c r="H60" s="117"/>
      <c r="I60" s="165"/>
      <c r="J60" s="165"/>
      <c r="K60" s="117"/>
      <c r="L60" s="117"/>
      <c r="M60" s="117">
        <f t="shared" si="1"/>
        <v>0</v>
      </c>
    </row>
    <row r="61" ht="22.5" customHeight="1">
      <c r="A61" s="116"/>
      <c r="C61" s="166"/>
      <c r="D61" s="118" t="str">
        <f>IF(FuturesTrades[Opened] &lt;&gt; "",IF(FuturesTrades[Closed] = "", TODAY(), FuturesTrades[Closed]) - FuturesTrades[Opened], "")</f>
        <v/>
      </c>
      <c r="E61" s="6"/>
      <c r="F61" s="6"/>
      <c r="G61" s="22"/>
      <c r="H61" s="117"/>
      <c r="I61" s="165"/>
      <c r="J61" s="165"/>
      <c r="K61" s="117"/>
      <c r="L61" s="117"/>
      <c r="M61" s="117">
        <f t="shared" si="1"/>
        <v>0</v>
      </c>
    </row>
    <row r="62" ht="22.5" customHeight="1">
      <c r="A62" s="116"/>
      <c r="C62" s="166"/>
      <c r="D62" s="118" t="str">
        <f>IF(FuturesTrades[Opened] &lt;&gt; "",IF(FuturesTrades[Closed] = "", TODAY(), FuturesTrades[Closed]) - FuturesTrades[Opened], "")</f>
        <v/>
      </c>
      <c r="E62" s="6"/>
      <c r="F62" s="6"/>
      <c r="G62" s="22"/>
      <c r="H62" s="117"/>
      <c r="I62" s="165"/>
      <c r="J62" s="165"/>
      <c r="K62" s="117"/>
      <c r="L62" s="117"/>
      <c r="M62" s="117">
        <f t="shared" si="1"/>
        <v>0</v>
      </c>
    </row>
    <row r="63" ht="22.5" customHeight="1">
      <c r="A63" s="116"/>
      <c r="C63" s="166"/>
      <c r="D63" s="118" t="str">
        <f>IF(FuturesTrades[Opened] &lt;&gt; "",IF(FuturesTrades[Closed] = "", TODAY(), FuturesTrades[Closed]) - FuturesTrades[Opened], "")</f>
        <v/>
      </c>
      <c r="E63" s="6"/>
      <c r="F63" s="6"/>
      <c r="G63" s="22"/>
      <c r="H63" s="117"/>
      <c r="I63" s="165"/>
      <c r="J63" s="165"/>
      <c r="K63" s="117"/>
      <c r="L63" s="117"/>
      <c r="M63" s="117">
        <f t="shared" si="1"/>
        <v>0</v>
      </c>
    </row>
    <row r="64" ht="22.5" customHeight="1">
      <c r="A64" s="116"/>
      <c r="C64" s="166"/>
      <c r="D64" s="118" t="str">
        <f>IF(FuturesTrades[Opened] &lt;&gt; "",IF(FuturesTrades[Closed] = "", TODAY(), FuturesTrades[Closed]) - FuturesTrades[Opened], "")</f>
        <v/>
      </c>
      <c r="E64" s="6"/>
      <c r="F64" s="6"/>
      <c r="G64" s="22"/>
      <c r="H64" s="117"/>
      <c r="I64" s="165"/>
      <c r="J64" s="165"/>
      <c r="K64" s="117"/>
      <c r="L64" s="117"/>
      <c r="M64" s="117">
        <f t="shared" si="1"/>
        <v>0</v>
      </c>
    </row>
    <row r="65" ht="22.5" customHeight="1">
      <c r="A65" s="116"/>
      <c r="C65" s="166"/>
      <c r="D65" s="118" t="str">
        <f>IF(FuturesTrades[Opened] &lt;&gt; "",IF(FuturesTrades[Closed] = "", TODAY(), FuturesTrades[Closed]) - FuturesTrades[Opened], "")</f>
        <v/>
      </c>
      <c r="E65" s="6"/>
      <c r="F65" s="6"/>
      <c r="G65" s="22"/>
      <c r="H65" s="117"/>
      <c r="I65" s="165"/>
      <c r="J65" s="165"/>
      <c r="K65" s="117"/>
      <c r="L65" s="117"/>
      <c r="M65" s="117">
        <f t="shared" si="1"/>
        <v>0</v>
      </c>
    </row>
    <row r="66" ht="22.5" customHeight="1">
      <c r="A66" s="116"/>
      <c r="C66" s="166"/>
      <c r="D66" s="118" t="str">
        <f>IF(FuturesTrades[Opened] &lt;&gt; "",IF(FuturesTrades[Closed] = "", TODAY(), FuturesTrades[Closed]) - FuturesTrades[Opened], "")</f>
        <v/>
      </c>
      <c r="E66" s="6"/>
      <c r="F66" s="6"/>
      <c r="G66" s="22"/>
      <c r="H66" s="117"/>
      <c r="I66" s="165"/>
      <c r="J66" s="165"/>
      <c r="K66" s="117"/>
      <c r="L66" s="117"/>
      <c r="M66" s="117">
        <f t="shared" si="1"/>
        <v>0</v>
      </c>
    </row>
    <row r="67" ht="22.5" customHeight="1">
      <c r="A67" s="116"/>
      <c r="C67" s="166"/>
      <c r="D67" s="118" t="str">
        <f>IF(FuturesTrades[Opened] &lt;&gt; "",IF(FuturesTrades[Closed] = "", TODAY(), FuturesTrades[Closed]) - FuturesTrades[Opened], "")</f>
        <v/>
      </c>
      <c r="E67" s="6"/>
      <c r="F67" s="6"/>
      <c r="G67" s="22"/>
      <c r="H67" s="117"/>
      <c r="I67" s="165"/>
      <c r="J67" s="165"/>
      <c r="K67" s="117"/>
      <c r="L67" s="117"/>
      <c r="M67" s="117">
        <f t="shared" si="1"/>
        <v>0</v>
      </c>
    </row>
    <row r="68" ht="22.5" customHeight="1">
      <c r="A68" s="116"/>
      <c r="C68" s="166"/>
      <c r="D68" s="118" t="str">
        <f>IF(FuturesTrades[Opened] &lt;&gt; "",IF(FuturesTrades[Closed] = "", TODAY(), FuturesTrades[Closed]) - FuturesTrades[Opened], "")</f>
        <v/>
      </c>
      <c r="E68" s="6"/>
      <c r="F68" s="6"/>
      <c r="G68" s="22"/>
      <c r="H68" s="117"/>
      <c r="I68" s="165"/>
      <c r="J68" s="165"/>
      <c r="K68" s="117"/>
      <c r="L68" s="117"/>
      <c r="M68" s="117">
        <f t="shared" si="1"/>
        <v>0</v>
      </c>
    </row>
    <row r="69" ht="22.5" customHeight="1">
      <c r="A69" s="116"/>
      <c r="C69" s="166"/>
      <c r="D69" s="118" t="str">
        <f>IF(FuturesTrades[Opened] &lt;&gt; "",IF(FuturesTrades[Closed] = "", TODAY(), FuturesTrades[Closed]) - FuturesTrades[Opened], "")</f>
        <v/>
      </c>
      <c r="E69" s="6"/>
      <c r="F69" s="6"/>
      <c r="G69" s="22"/>
      <c r="H69" s="117"/>
      <c r="I69" s="165"/>
      <c r="J69" s="165"/>
      <c r="K69" s="117"/>
      <c r="L69" s="117"/>
      <c r="M69" s="117">
        <f t="shared" si="1"/>
        <v>0</v>
      </c>
    </row>
    <row r="70" ht="22.5" customHeight="1">
      <c r="A70" s="116"/>
      <c r="C70" s="166"/>
      <c r="D70" s="118" t="str">
        <f>IF(FuturesTrades[Opened] &lt;&gt; "",IF(FuturesTrades[Closed] = "", TODAY(), FuturesTrades[Closed]) - FuturesTrades[Opened], "")</f>
        <v/>
      </c>
      <c r="E70" s="6"/>
      <c r="F70" s="6"/>
      <c r="G70" s="22"/>
      <c r="H70" s="117"/>
      <c r="I70" s="165"/>
      <c r="J70" s="165"/>
      <c r="K70" s="117"/>
      <c r="L70" s="117"/>
      <c r="M70" s="117">
        <f t="shared" si="1"/>
        <v>0</v>
      </c>
    </row>
    <row r="71" ht="22.5" customHeight="1">
      <c r="A71" s="116"/>
      <c r="C71" s="166"/>
      <c r="D71" s="118" t="str">
        <f>IF(FuturesTrades[Opened] &lt;&gt; "",IF(FuturesTrades[Closed] = "", TODAY(), FuturesTrades[Closed]) - FuturesTrades[Opened], "")</f>
        <v/>
      </c>
      <c r="E71" s="6"/>
      <c r="F71" s="6"/>
      <c r="G71" s="22"/>
      <c r="H71" s="117"/>
      <c r="I71" s="165"/>
      <c r="J71" s="165"/>
      <c r="K71" s="117"/>
      <c r="L71" s="117"/>
      <c r="M71" s="117">
        <f t="shared" si="1"/>
        <v>0</v>
      </c>
    </row>
    <row r="72" ht="22.5" customHeight="1">
      <c r="A72" s="116"/>
      <c r="C72" s="166"/>
      <c r="D72" s="118" t="str">
        <f>IF(FuturesTrades[Opened] &lt;&gt; "",IF(FuturesTrades[Closed] = "", TODAY(), FuturesTrades[Closed]) - FuturesTrades[Opened], "")</f>
        <v/>
      </c>
      <c r="E72" s="6"/>
      <c r="F72" s="6"/>
      <c r="G72" s="22"/>
      <c r="H72" s="117"/>
      <c r="I72" s="165"/>
      <c r="J72" s="165"/>
      <c r="K72" s="117"/>
      <c r="L72" s="117"/>
      <c r="M72" s="117">
        <f t="shared" si="1"/>
        <v>0</v>
      </c>
    </row>
    <row r="73" ht="22.5" customHeight="1">
      <c r="A73" s="116"/>
      <c r="C73" s="166"/>
      <c r="D73" s="118" t="str">
        <f>IF(FuturesTrades[Opened] &lt;&gt; "",IF(FuturesTrades[Closed] = "", TODAY(), FuturesTrades[Closed]) - FuturesTrades[Opened], "")</f>
        <v/>
      </c>
      <c r="E73" s="6"/>
      <c r="F73" s="6"/>
      <c r="G73" s="22"/>
      <c r="H73" s="117"/>
      <c r="I73" s="165"/>
      <c r="J73" s="165"/>
      <c r="K73" s="117"/>
      <c r="L73" s="117"/>
      <c r="M73" s="117">
        <f t="shared" si="1"/>
        <v>0</v>
      </c>
    </row>
    <row r="74" ht="22.5" customHeight="1">
      <c r="A74" s="116"/>
      <c r="C74" s="166"/>
      <c r="D74" s="118" t="str">
        <f>IF(FuturesTrades[Opened] &lt;&gt; "",IF(FuturesTrades[Closed] = "", TODAY(), FuturesTrades[Closed]) - FuturesTrades[Opened], "")</f>
        <v/>
      </c>
      <c r="E74" s="6"/>
      <c r="F74" s="6"/>
      <c r="G74" s="22"/>
      <c r="H74" s="117"/>
      <c r="I74" s="165"/>
      <c r="J74" s="165"/>
      <c r="K74" s="117"/>
      <c r="L74" s="117"/>
      <c r="M74" s="117">
        <f t="shared" si="1"/>
        <v>0</v>
      </c>
    </row>
    <row r="75" ht="22.5" customHeight="1">
      <c r="A75" s="116"/>
      <c r="C75" s="166"/>
      <c r="D75" s="118" t="str">
        <f>IF(FuturesTrades[Opened] &lt;&gt; "",IF(FuturesTrades[Closed] = "", TODAY(), FuturesTrades[Closed]) - FuturesTrades[Opened], "")</f>
        <v/>
      </c>
      <c r="E75" s="6"/>
      <c r="F75" s="6"/>
      <c r="G75" s="22"/>
      <c r="H75" s="117"/>
      <c r="I75" s="165"/>
      <c r="J75" s="165"/>
      <c r="K75" s="117"/>
      <c r="L75" s="117"/>
      <c r="M75" s="117">
        <f t="shared" si="1"/>
        <v>0</v>
      </c>
    </row>
    <row r="76" ht="22.5" customHeight="1">
      <c r="A76" s="116"/>
      <c r="C76" s="166"/>
      <c r="D76" s="118" t="str">
        <f>IF(FuturesTrades[Opened] &lt;&gt; "",IF(FuturesTrades[Closed] = "", TODAY(), FuturesTrades[Closed]) - FuturesTrades[Opened], "")</f>
        <v/>
      </c>
      <c r="E76" s="6"/>
      <c r="F76" s="6"/>
      <c r="G76" s="22"/>
      <c r="H76" s="117"/>
      <c r="I76" s="165"/>
      <c r="J76" s="165"/>
      <c r="K76" s="117"/>
      <c r="L76" s="117"/>
      <c r="M76" s="117">
        <f t="shared" si="1"/>
        <v>0</v>
      </c>
    </row>
    <row r="77" ht="22.5" customHeight="1">
      <c r="A77" s="116"/>
      <c r="C77" s="166"/>
      <c r="D77" s="118" t="str">
        <f>IF(FuturesTrades[Opened] &lt;&gt; "",IF(FuturesTrades[Closed] = "", TODAY(), FuturesTrades[Closed]) - FuturesTrades[Opened], "")</f>
        <v/>
      </c>
      <c r="E77" s="6"/>
      <c r="F77" s="6"/>
      <c r="G77" s="22"/>
      <c r="H77" s="117"/>
      <c r="I77" s="165"/>
      <c r="J77" s="165"/>
      <c r="K77" s="117"/>
      <c r="L77" s="117"/>
      <c r="M77" s="117">
        <f t="shared" si="1"/>
        <v>0</v>
      </c>
    </row>
    <row r="78" ht="22.5" customHeight="1">
      <c r="A78" s="116"/>
      <c r="C78" s="166"/>
      <c r="D78" s="118" t="str">
        <f>IF(FuturesTrades[Opened] &lt;&gt; "",IF(FuturesTrades[Closed] = "", TODAY(), FuturesTrades[Closed]) - FuturesTrades[Opened], "")</f>
        <v/>
      </c>
      <c r="E78" s="6"/>
      <c r="F78" s="6"/>
      <c r="G78" s="22"/>
      <c r="H78" s="117"/>
      <c r="I78" s="165"/>
      <c r="J78" s="165"/>
      <c r="K78" s="117"/>
      <c r="L78" s="117"/>
      <c r="M78" s="117">
        <f t="shared" si="1"/>
        <v>0</v>
      </c>
    </row>
    <row r="79" ht="22.5" customHeight="1">
      <c r="A79" s="116"/>
      <c r="C79" s="166"/>
      <c r="D79" s="118" t="str">
        <f>IF(FuturesTrades[Opened] &lt;&gt; "",IF(FuturesTrades[Closed] = "", TODAY(), FuturesTrades[Closed]) - FuturesTrades[Opened], "")</f>
        <v/>
      </c>
      <c r="E79" s="6"/>
      <c r="F79" s="6"/>
      <c r="G79" s="22"/>
      <c r="H79" s="117"/>
      <c r="I79" s="165"/>
      <c r="J79" s="165"/>
      <c r="K79" s="117"/>
      <c r="L79" s="117"/>
      <c r="M79" s="117">
        <f t="shared" si="1"/>
        <v>0</v>
      </c>
    </row>
    <row r="80" ht="22.5" customHeight="1">
      <c r="A80" s="116"/>
      <c r="C80" s="166"/>
      <c r="D80" s="118" t="str">
        <f>IF(FuturesTrades[Opened] &lt;&gt; "",IF(FuturesTrades[Closed] = "", TODAY(), FuturesTrades[Closed]) - FuturesTrades[Opened], "")</f>
        <v/>
      </c>
      <c r="E80" s="6"/>
      <c r="F80" s="6"/>
      <c r="G80" s="22"/>
      <c r="H80" s="117"/>
      <c r="I80" s="165"/>
      <c r="J80" s="165"/>
      <c r="K80" s="117"/>
      <c r="L80" s="117"/>
      <c r="M80" s="117">
        <f t="shared" si="1"/>
        <v>0</v>
      </c>
    </row>
    <row r="81" ht="22.5" customHeight="1">
      <c r="A81" s="116"/>
      <c r="C81" s="166"/>
      <c r="D81" s="118" t="str">
        <f>IF(FuturesTrades[Opened] &lt;&gt; "",IF(FuturesTrades[Closed] = "", TODAY(), FuturesTrades[Closed]) - FuturesTrades[Opened], "")</f>
        <v/>
      </c>
      <c r="E81" s="6"/>
      <c r="F81" s="6"/>
      <c r="G81" s="22"/>
      <c r="H81" s="117"/>
      <c r="I81" s="165"/>
      <c r="J81" s="165"/>
      <c r="K81" s="117"/>
      <c r="L81" s="117"/>
      <c r="M81" s="117">
        <f t="shared" si="1"/>
        <v>0</v>
      </c>
    </row>
    <row r="82" ht="22.5" customHeight="1">
      <c r="A82" s="116"/>
      <c r="C82" s="166"/>
      <c r="D82" s="118" t="str">
        <f>IF(FuturesTrades[Opened] &lt;&gt; "",IF(FuturesTrades[Closed] = "", TODAY(), FuturesTrades[Closed]) - FuturesTrades[Opened], "")</f>
        <v/>
      </c>
      <c r="E82" s="6"/>
      <c r="F82" s="6"/>
      <c r="G82" s="22"/>
      <c r="H82" s="117"/>
      <c r="I82" s="165"/>
      <c r="J82" s="165"/>
      <c r="K82" s="117"/>
      <c r="L82" s="117"/>
      <c r="M82" s="117">
        <f t="shared" si="1"/>
        <v>0</v>
      </c>
    </row>
    <row r="83" ht="22.5" customHeight="1">
      <c r="A83" s="116"/>
      <c r="C83" s="166"/>
      <c r="D83" s="118" t="str">
        <f>IF(FuturesTrades[Opened] &lt;&gt; "",IF(FuturesTrades[Closed] = "", TODAY(), FuturesTrades[Closed]) - FuturesTrades[Opened], "")</f>
        <v/>
      </c>
      <c r="E83" s="6"/>
      <c r="F83" s="6"/>
      <c r="G83" s="22"/>
      <c r="H83" s="117"/>
      <c r="I83" s="165"/>
      <c r="J83" s="165"/>
      <c r="K83" s="117"/>
      <c r="L83" s="117"/>
      <c r="M83" s="117">
        <f t="shared" si="1"/>
        <v>0</v>
      </c>
    </row>
    <row r="84" ht="22.5" customHeight="1">
      <c r="A84" s="116"/>
      <c r="C84" s="166"/>
      <c r="D84" s="118" t="str">
        <f>IF(FuturesTrades[Opened] &lt;&gt; "",IF(FuturesTrades[Closed] = "", TODAY(), FuturesTrades[Closed]) - FuturesTrades[Opened], "")</f>
        <v/>
      </c>
      <c r="E84" s="6"/>
      <c r="F84" s="6"/>
      <c r="G84" s="22"/>
      <c r="H84" s="117"/>
      <c r="I84" s="165"/>
      <c r="J84" s="165"/>
      <c r="K84" s="117"/>
      <c r="L84" s="117"/>
      <c r="M84" s="117">
        <f t="shared" si="1"/>
        <v>0</v>
      </c>
    </row>
    <row r="85" ht="22.5" customHeight="1">
      <c r="A85" s="116"/>
      <c r="C85" s="166"/>
      <c r="D85" s="118" t="str">
        <f>IF(FuturesTrades[Opened] &lt;&gt; "",IF(FuturesTrades[Closed] = "", TODAY(), FuturesTrades[Closed]) - FuturesTrades[Opened], "")</f>
        <v/>
      </c>
      <c r="E85" s="6"/>
      <c r="F85" s="6"/>
      <c r="G85" s="22"/>
      <c r="H85" s="117"/>
      <c r="I85" s="165"/>
      <c r="J85" s="165"/>
      <c r="K85" s="117"/>
      <c r="L85" s="117"/>
      <c r="M85" s="117">
        <f t="shared" si="1"/>
        <v>0</v>
      </c>
    </row>
    <row r="86" ht="22.5" customHeight="1">
      <c r="A86" s="116"/>
      <c r="C86" s="166"/>
      <c r="D86" s="118" t="str">
        <f>IF(FuturesTrades[Opened] &lt;&gt; "",IF(FuturesTrades[Closed] = "", TODAY(), FuturesTrades[Closed]) - FuturesTrades[Opened], "")</f>
        <v/>
      </c>
      <c r="E86" s="6"/>
      <c r="F86" s="6"/>
      <c r="G86" s="22"/>
      <c r="H86" s="117"/>
      <c r="I86" s="165"/>
      <c r="J86" s="165"/>
      <c r="K86" s="117"/>
      <c r="L86" s="117"/>
      <c r="M86" s="117">
        <f t="shared" si="1"/>
        <v>0</v>
      </c>
    </row>
    <row r="87" ht="22.5" customHeight="1">
      <c r="A87" s="116"/>
      <c r="C87" s="166"/>
      <c r="D87" s="118" t="str">
        <f>IF(FuturesTrades[Opened] &lt;&gt; "",IF(FuturesTrades[Closed] = "", TODAY(), FuturesTrades[Closed]) - FuturesTrades[Opened], "")</f>
        <v/>
      </c>
      <c r="E87" s="6"/>
      <c r="F87" s="6"/>
      <c r="G87" s="22"/>
      <c r="H87" s="117"/>
      <c r="I87" s="165"/>
      <c r="J87" s="165"/>
      <c r="K87" s="117"/>
      <c r="L87" s="117"/>
      <c r="M87" s="117">
        <f t="shared" si="1"/>
        <v>0</v>
      </c>
    </row>
    <row r="88" ht="22.5" customHeight="1">
      <c r="A88" s="116"/>
      <c r="C88" s="166"/>
      <c r="D88" s="118" t="str">
        <f>IF(FuturesTrades[Opened] &lt;&gt; "",IF(FuturesTrades[Closed] = "", TODAY(), FuturesTrades[Closed]) - FuturesTrades[Opened], "")</f>
        <v/>
      </c>
      <c r="E88" s="6"/>
      <c r="F88" s="6"/>
      <c r="G88" s="22"/>
      <c r="H88" s="117"/>
      <c r="I88" s="165"/>
      <c r="J88" s="165"/>
      <c r="K88" s="117"/>
      <c r="L88" s="117"/>
      <c r="M88" s="117">
        <f t="shared" si="1"/>
        <v>0</v>
      </c>
    </row>
    <row r="89" ht="22.5" customHeight="1">
      <c r="A89" s="116"/>
      <c r="C89" s="166"/>
      <c r="D89" s="118" t="str">
        <f>IF(FuturesTrades[Opened] &lt;&gt; "",IF(FuturesTrades[Closed] = "", TODAY(), FuturesTrades[Closed]) - FuturesTrades[Opened], "")</f>
        <v/>
      </c>
      <c r="E89" s="6"/>
      <c r="F89" s="6"/>
      <c r="G89" s="22"/>
      <c r="H89" s="117"/>
      <c r="I89" s="165"/>
      <c r="J89" s="165"/>
      <c r="K89" s="117"/>
      <c r="L89" s="117"/>
      <c r="M89" s="117">
        <f t="shared" si="1"/>
        <v>0</v>
      </c>
    </row>
    <row r="90" ht="22.5" customHeight="1">
      <c r="A90" s="116"/>
      <c r="C90" s="166"/>
      <c r="D90" s="118" t="str">
        <f>IF(FuturesTrades[Opened] &lt;&gt; "",IF(FuturesTrades[Closed] = "", TODAY(), FuturesTrades[Closed]) - FuturesTrades[Opened], "")</f>
        <v/>
      </c>
      <c r="E90" s="6"/>
      <c r="F90" s="6"/>
      <c r="G90" s="22"/>
      <c r="H90" s="117"/>
      <c r="I90" s="165"/>
      <c r="J90" s="165"/>
      <c r="K90" s="117"/>
      <c r="L90" s="117"/>
      <c r="M90" s="117">
        <f t="shared" si="1"/>
        <v>0</v>
      </c>
    </row>
    <row r="91" ht="22.5" customHeight="1">
      <c r="A91" s="116"/>
      <c r="C91" s="166"/>
      <c r="D91" s="118" t="str">
        <f>IF(FuturesTrades[Opened] &lt;&gt; "",IF(FuturesTrades[Closed] = "", TODAY(), FuturesTrades[Closed]) - FuturesTrades[Opened], "")</f>
        <v/>
      </c>
      <c r="E91" s="6"/>
      <c r="F91" s="6"/>
      <c r="G91" s="22"/>
      <c r="H91" s="117"/>
      <c r="I91" s="165"/>
      <c r="J91" s="165"/>
      <c r="K91" s="117"/>
      <c r="L91" s="117"/>
      <c r="M91" s="117">
        <f t="shared" si="1"/>
        <v>0</v>
      </c>
    </row>
    <row r="92" ht="22.5" customHeight="1">
      <c r="A92" s="116"/>
      <c r="C92" s="166"/>
      <c r="D92" s="118" t="str">
        <f>IF(FuturesTrades[Opened] &lt;&gt; "",IF(FuturesTrades[Closed] = "", TODAY(), FuturesTrades[Closed]) - FuturesTrades[Opened], "")</f>
        <v/>
      </c>
      <c r="E92" s="6"/>
      <c r="F92" s="6"/>
      <c r="G92" s="22"/>
      <c r="H92" s="117"/>
      <c r="I92" s="165"/>
      <c r="J92" s="165"/>
      <c r="K92" s="117"/>
      <c r="L92" s="117"/>
      <c r="M92" s="117">
        <f t="shared" si="1"/>
        <v>0</v>
      </c>
    </row>
    <row r="93" ht="22.5" customHeight="1">
      <c r="A93" s="116"/>
      <c r="C93" s="166"/>
      <c r="D93" s="118" t="str">
        <f>IF(FuturesTrades[Opened] &lt;&gt; "",IF(FuturesTrades[Closed] = "", TODAY(), FuturesTrades[Closed]) - FuturesTrades[Opened], "")</f>
        <v/>
      </c>
      <c r="E93" s="6"/>
      <c r="F93" s="6"/>
      <c r="G93" s="22"/>
      <c r="H93" s="117"/>
      <c r="I93" s="165"/>
      <c r="J93" s="165"/>
      <c r="K93" s="117"/>
      <c r="L93" s="117"/>
      <c r="M93" s="117">
        <f t="shared" si="1"/>
        <v>0</v>
      </c>
    </row>
    <row r="94" ht="22.5" customHeight="1">
      <c r="A94" s="116"/>
      <c r="C94" s="166"/>
      <c r="D94" s="118" t="str">
        <f>IF(FuturesTrades[Opened] &lt;&gt; "",IF(FuturesTrades[Closed] = "", TODAY(), FuturesTrades[Closed]) - FuturesTrades[Opened], "")</f>
        <v/>
      </c>
      <c r="E94" s="6"/>
      <c r="F94" s="6"/>
      <c r="G94" s="22"/>
      <c r="H94" s="117"/>
      <c r="I94" s="165"/>
      <c r="J94" s="165"/>
      <c r="K94" s="117"/>
      <c r="L94" s="117"/>
      <c r="M94" s="117">
        <f t="shared" si="1"/>
        <v>0</v>
      </c>
    </row>
    <row r="95" ht="22.5" customHeight="1">
      <c r="A95" s="116"/>
      <c r="C95" s="166"/>
      <c r="D95" s="118" t="str">
        <f>IF(FuturesTrades[Opened] &lt;&gt; "",IF(FuturesTrades[Closed] = "", TODAY(), FuturesTrades[Closed]) - FuturesTrades[Opened], "")</f>
        <v/>
      </c>
      <c r="E95" s="6"/>
      <c r="F95" s="6"/>
      <c r="G95" s="22"/>
      <c r="H95" s="117"/>
      <c r="I95" s="165"/>
      <c r="J95" s="165"/>
      <c r="K95" s="117"/>
      <c r="L95" s="117"/>
      <c r="M95" s="117">
        <f t="shared" si="1"/>
        <v>0</v>
      </c>
    </row>
    <row r="96" ht="22.5" customHeight="1">
      <c r="A96" s="116"/>
      <c r="C96" s="166"/>
      <c r="D96" s="118" t="str">
        <f>IF(FuturesTrades[Opened] &lt;&gt; "",IF(FuturesTrades[Closed] = "", TODAY(), FuturesTrades[Closed]) - FuturesTrades[Opened], "")</f>
        <v/>
      </c>
      <c r="E96" s="6"/>
      <c r="F96" s="6"/>
      <c r="G96" s="22"/>
      <c r="H96" s="117"/>
      <c r="I96" s="165"/>
      <c r="J96" s="165"/>
      <c r="K96" s="117"/>
      <c r="L96" s="117"/>
      <c r="M96" s="117">
        <f t="shared" si="1"/>
        <v>0</v>
      </c>
    </row>
    <row r="97" ht="22.5" customHeight="1">
      <c r="A97" s="116"/>
      <c r="C97" s="166"/>
      <c r="D97" s="118" t="str">
        <f>IF(FuturesTrades[Opened] &lt;&gt; "",IF(FuturesTrades[Closed] = "", TODAY(), FuturesTrades[Closed]) - FuturesTrades[Opened], "")</f>
        <v/>
      </c>
      <c r="E97" s="6"/>
      <c r="F97" s="6"/>
      <c r="G97" s="22"/>
      <c r="H97" s="117"/>
      <c r="I97" s="165"/>
      <c r="J97" s="165"/>
      <c r="K97" s="117"/>
      <c r="L97" s="117"/>
      <c r="M97" s="117">
        <f t="shared" si="1"/>
        <v>0</v>
      </c>
    </row>
    <row r="98" ht="22.5" customHeight="1">
      <c r="A98" s="116"/>
      <c r="C98" s="166"/>
      <c r="D98" s="118" t="str">
        <f>IF(FuturesTrades[Opened] &lt;&gt; "",IF(FuturesTrades[Closed] = "", TODAY(), FuturesTrades[Closed]) - FuturesTrades[Opened], "")</f>
        <v/>
      </c>
      <c r="E98" s="6"/>
      <c r="F98" s="6"/>
      <c r="G98" s="22"/>
      <c r="H98" s="117"/>
      <c r="I98" s="165"/>
      <c r="J98" s="165"/>
      <c r="K98" s="117"/>
      <c r="L98" s="117"/>
      <c r="M98" s="117">
        <f t="shared" si="1"/>
        <v>0</v>
      </c>
    </row>
    <row r="99" ht="22.5" customHeight="1">
      <c r="A99" s="116"/>
      <c r="C99" s="166"/>
      <c r="D99" s="118" t="str">
        <f>IF(FuturesTrades[Opened] &lt;&gt; "",IF(FuturesTrades[Closed] = "", TODAY(), FuturesTrades[Closed]) - FuturesTrades[Opened], "")</f>
        <v/>
      </c>
      <c r="E99" s="6"/>
      <c r="F99" s="6"/>
      <c r="G99" s="22"/>
      <c r="H99" s="117"/>
      <c r="I99" s="165"/>
      <c r="J99" s="165"/>
      <c r="K99" s="117"/>
      <c r="L99" s="117"/>
      <c r="M99" s="117">
        <f t="shared" si="1"/>
        <v>0</v>
      </c>
    </row>
    <row r="100" ht="22.5" customHeight="1">
      <c r="A100" s="116"/>
      <c r="C100" s="166"/>
      <c r="D100" s="118" t="str">
        <f>IF(FuturesTrades[Opened] &lt;&gt; "",IF(FuturesTrades[Closed] = "", TODAY(), FuturesTrades[Closed]) - FuturesTrades[Opened], "")</f>
        <v/>
      </c>
      <c r="E100" s="6"/>
      <c r="F100" s="6"/>
      <c r="G100" s="22"/>
      <c r="H100" s="117"/>
      <c r="I100" s="165"/>
      <c r="J100" s="165"/>
      <c r="K100" s="117"/>
      <c r="L100" s="117"/>
      <c r="M100" s="117">
        <f t="shared" si="1"/>
        <v>0</v>
      </c>
    </row>
    <row r="101" ht="22.5" customHeight="1">
      <c r="A101" s="116"/>
      <c r="C101" s="166"/>
      <c r="D101" s="118" t="str">
        <f>IF(FuturesTrades[Opened] &lt;&gt; "",IF(FuturesTrades[Closed] = "", TODAY(), FuturesTrades[Closed]) - FuturesTrades[Opened], "")</f>
        <v/>
      </c>
      <c r="E101" s="6"/>
      <c r="F101" s="6"/>
      <c r="G101" s="22"/>
      <c r="H101" s="117"/>
      <c r="I101" s="165"/>
      <c r="J101" s="165"/>
      <c r="K101" s="117"/>
      <c r="L101" s="117"/>
      <c r="M101" s="117">
        <f t="shared" si="1"/>
        <v>0</v>
      </c>
    </row>
    <row r="102" ht="22.5" customHeight="1">
      <c r="A102" s="116"/>
      <c r="C102" s="166"/>
      <c r="D102" s="118" t="str">
        <f>IF(FuturesTrades[Opened] &lt;&gt; "",IF(FuturesTrades[Closed] = "", TODAY(), FuturesTrades[Closed]) - FuturesTrades[Opened], "")</f>
        <v/>
      </c>
      <c r="E102" s="6"/>
      <c r="F102" s="6"/>
      <c r="G102" s="22"/>
      <c r="H102" s="117"/>
      <c r="I102" s="165"/>
      <c r="J102" s="165"/>
      <c r="K102" s="117"/>
      <c r="L102" s="117"/>
      <c r="M102" s="117">
        <f t="shared" si="1"/>
        <v>0</v>
      </c>
    </row>
    <row r="103" ht="22.5" customHeight="1">
      <c r="A103" s="116"/>
      <c r="C103" s="166"/>
      <c r="D103" s="118" t="str">
        <f>IF(FuturesTrades[Opened] &lt;&gt; "",IF(FuturesTrades[Closed] = "", TODAY(), FuturesTrades[Closed]) - FuturesTrades[Opened], "")</f>
        <v/>
      </c>
      <c r="E103" s="6"/>
      <c r="F103" s="6"/>
      <c r="G103" s="22"/>
      <c r="H103" s="117"/>
      <c r="I103" s="165"/>
      <c r="J103" s="165"/>
      <c r="K103" s="117"/>
      <c r="L103" s="117"/>
      <c r="M103" s="117">
        <f t="shared" si="1"/>
        <v>0</v>
      </c>
    </row>
    <row r="104" ht="22.5" customHeight="1">
      <c r="A104" s="116"/>
      <c r="C104" s="166"/>
      <c r="D104" s="118" t="str">
        <f>IF(FuturesTrades[Opened] &lt;&gt; "",IF(FuturesTrades[Closed] = "", TODAY(), FuturesTrades[Closed]) - FuturesTrades[Opened], "")</f>
        <v/>
      </c>
      <c r="E104" s="6"/>
      <c r="F104" s="6"/>
      <c r="G104" s="22"/>
      <c r="H104" s="117"/>
      <c r="I104" s="165"/>
      <c r="J104" s="165"/>
      <c r="K104" s="117"/>
      <c r="L104" s="117"/>
      <c r="M104" s="117">
        <f t="shared" si="1"/>
        <v>0</v>
      </c>
    </row>
    <row r="105" ht="22.5" customHeight="1">
      <c r="A105" s="116"/>
      <c r="C105" s="166"/>
      <c r="D105" s="118" t="str">
        <f>IF(FuturesTrades[Opened] &lt;&gt; "",IF(FuturesTrades[Closed] = "", TODAY(), FuturesTrades[Closed]) - FuturesTrades[Opened], "")</f>
        <v/>
      </c>
      <c r="E105" s="6"/>
      <c r="F105" s="6"/>
      <c r="G105" s="22"/>
      <c r="H105" s="117"/>
      <c r="I105" s="165"/>
      <c r="J105" s="165"/>
      <c r="K105" s="117"/>
      <c r="L105" s="117"/>
      <c r="M105" s="117">
        <f t="shared" si="1"/>
        <v>0</v>
      </c>
    </row>
    <row r="106" ht="22.5" customHeight="1">
      <c r="A106" s="116"/>
      <c r="C106" s="166"/>
      <c r="D106" s="118" t="str">
        <f>IF(FuturesTrades[Opened] &lt;&gt; "",IF(FuturesTrades[Closed] = "", TODAY(), FuturesTrades[Closed]) - FuturesTrades[Opened], "")</f>
        <v/>
      </c>
      <c r="E106" s="6"/>
      <c r="F106" s="6"/>
      <c r="G106" s="22"/>
      <c r="H106" s="117"/>
      <c r="I106" s="165"/>
      <c r="J106" s="165"/>
      <c r="K106" s="117"/>
      <c r="L106" s="117"/>
      <c r="M106" s="117">
        <f t="shared" si="1"/>
        <v>0</v>
      </c>
    </row>
    <row r="107" ht="22.5" customHeight="1">
      <c r="A107" s="116"/>
      <c r="C107" s="166"/>
      <c r="D107" s="118" t="str">
        <f>IF(FuturesTrades[Opened] &lt;&gt; "",IF(FuturesTrades[Closed] = "", TODAY(), FuturesTrades[Closed]) - FuturesTrades[Opened], "")</f>
        <v/>
      </c>
      <c r="E107" s="6"/>
      <c r="F107" s="6"/>
      <c r="G107" s="22"/>
      <c r="H107" s="117"/>
      <c r="I107" s="165"/>
      <c r="J107" s="165"/>
      <c r="K107" s="117"/>
      <c r="L107" s="117"/>
      <c r="M107" s="117">
        <f t="shared" si="1"/>
        <v>0</v>
      </c>
    </row>
    <row r="108" ht="22.5" customHeight="1">
      <c r="A108" s="116"/>
      <c r="C108" s="166"/>
      <c r="D108" s="118" t="str">
        <f>IF(FuturesTrades[Opened] &lt;&gt; "",IF(FuturesTrades[Closed] = "", TODAY(), FuturesTrades[Closed]) - FuturesTrades[Opened], "")</f>
        <v/>
      </c>
      <c r="E108" s="6"/>
      <c r="F108" s="6"/>
      <c r="G108" s="22"/>
      <c r="H108" s="117"/>
      <c r="I108" s="165"/>
      <c r="J108" s="165"/>
      <c r="K108" s="117"/>
      <c r="L108" s="117"/>
      <c r="M108" s="117">
        <f t="shared" si="1"/>
        <v>0</v>
      </c>
    </row>
    <row r="109" ht="22.5" customHeight="1">
      <c r="A109" s="116"/>
      <c r="C109" s="166"/>
      <c r="D109" s="118" t="str">
        <f>IF(FuturesTrades[Opened] &lt;&gt; "",IF(FuturesTrades[Closed] = "", TODAY(), FuturesTrades[Closed]) - FuturesTrades[Opened], "")</f>
        <v/>
      </c>
      <c r="E109" s="6"/>
      <c r="F109" s="6"/>
      <c r="G109" s="22"/>
      <c r="H109" s="117"/>
      <c r="I109" s="165"/>
      <c r="J109" s="165"/>
      <c r="K109" s="117"/>
      <c r="L109" s="117"/>
      <c r="M109" s="117">
        <f t="shared" si="1"/>
        <v>0</v>
      </c>
    </row>
    <row r="110" ht="22.5" customHeight="1">
      <c r="A110" s="116"/>
      <c r="C110" s="166"/>
      <c r="D110" s="118" t="str">
        <f>IF(FuturesTrades[Opened] &lt;&gt; "",IF(FuturesTrades[Closed] = "", TODAY(), FuturesTrades[Closed]) - FuturesTrades[Opened], "")</f>
        <v/>
      </c>
      <c r="E110" s="6"/>
      <c r="F110" s="6"/>
      <c r="G110" s="22"/>
      <c r="H110" s="117"/>
      <c r="I110" s="165"/>
      <c r="J110" s="165"/>
      <c r="K110" s="117"/>
      <c r="L110" s="117"/>
      <c r="M110" s="117">
        <f t="shared" si="1"/>
        <v>0</v>
      </c>
    </row>
    <row r="111" ht="22.5" customHeight="1">
      <c r="A111" s="116"/>
      <c r="C111" s="166"/>
      <c r="D111" s="118" t="str">
        <f>IF(FuturesTrades[Opened] &lt;&gt; "",IF(FuturesTrades[Closed] = "", TODAY(), FuturesTrades[Closed]) - FuturesTrades[Opened], "")</f>
        <v/>
      </c>
      <c r="E111" s="6"/>
      <c r="F111" s="6"/>
      <c r="G111" s="22"/>
      <c r="H111" s="117"/>
      <c r="I111" s="165"/>
      <c r="J111" s="165"/>
      <c r="K111" s="117"/>
      <c r="L111" s="117"/>
      <c r="M111" s="117">
        <f t="shared" si="1"/>
        <v>0</v>
      </c>
    </row>
    <row r="112" ht="22.5" customHeight="1">
      <c r="A112" s="116"/>
      <c r="C112" s="166"/>
      <c r="D112" s="118" t="str">
        <f>IF(FuturesTrades[Opened] &lt;&gt; "",IF(FuturesTrades[Closed] = "", TODAY(), FuturesTrades[Closed]) - FuturesTrades[Opened], "")</f>
        <v/>
      </c>
      <c r="E112" s="6"/>
      <c r="F112" s="6"/>
      <c r="G112" s="22"/>
      <c r="H112" s="117"/>
      <c r="I112" s="165"/>
      <c r="J112" s="165"/>
      <c r="K112" s="117"/>
      <c r="L112" s="117"/>
      <c r="M112" s="117">
        <f t="shared" si="1"/>
        <v>0</v>
      </c>
    </row>
    <row r="113" ht="22.5" customHeight="1">
      <c r="A113" s="116"/>
      <c r="C113" s="166"/>
      <c r="D113" s="118" t="str">
        <f>IF(FuturesTrades[Opened] &lt;&gt; "",IF(FuturesTrades[Closed] = "", TODAY(), FuturesTrades[Closed]) - FuturesTrades[Opened], "")</f>
        <v/>
      </c>
      <c r="E113" s="6"/>
      <c r="F113" s="6"/>
      <c r="G113" s="22"/>
      <c r="H113" s="117"/>
      <c r="I113" s="165"/>
      <c r="J113" s="165"/>
      <c r="K113" s="117"/>
      <c r="L113" s="117"/>
      <c r="M113" s="117">
        <f t="shared" si="1"/>
        <v>0</v>
      </c>
    </row>
    <row r="114" ht="22.5" customHeight="1">
      <c r="A114" s="116"/>
      <c r="C114" s="166"/>
      <c r="D114" s="118" t="str">
        <f>IF(FuturesTrades[Opened] &lt;&gt; "",IF(FuturesTrades[Closed] = "", TODAY(), FuturesTrades[Closed]) - FuturesTrades[Opened], "")</f>
        <v/>
      </c>
      <c r="E114" s="6"/>
      <c r="F114" s="6"/>
      <c r="G114" s="22"/>
      <c r="H114" s="117"/>
      <c r="I114" s="165"/>
      <c r="J114" s="165"/>
      <c r="K114" s="117"/>
      <c r="L114" s="117"/>
      <c r="M114" s="117">
        <f t="shared" si="1"/>
        <v>0</v>
      </c>
    </row>
    <row r="115" ht="22.5" customHeight="1">
      <c r="A115" s="116"/>
      <c r="C115" s="166"/>
      <c r="D115" s="118" t="str">
        <f>IF(FuturesTrades[Opened] &lt;&gt; "",IF(FuturesTrades[Closed] = "", TODAY(), FuturesTrades[Closed]) - FuturesTrades[Opened], "")</f>
        <v/>
      </c>
      <c r="E115" s="6"/>
      <c r="F115" s="6"/>
      <c r="G115" s="22"/>
      <c r="H115" s="117"/>
      <c r="I115" s="165"/>
      <c r="J115" s="165"/>
      <c r="K115" s="117"/>
      <c r="L115" s="117"/>
      <c r="M115" s="117">
        <f t="shared" si="1"/>
        <v>0</v>
      </c>
    </row>
    <row r="116" ht="22.5" customHeight="1">
      <c r="A116" s="116"/>
      <c r="C116" s="166"/>
      <c r="D116" s="118" t="str">
        <f>IF(FuturesTrades[Opened] &lt;&gt; "",IF(FuturesTrades[Closed] = "", TODAY(), FuturesTrades[Closed]) - FuturesTrades[Opened], "")</f>
        <v/>
      </c>
      <c r="E116" s="6"/>
      <c r="F116" s="6"/>
      <c r="G116" s="22"/>
      <c r="H116" s="117"/>
      <c r="I116" s="165"/>
      <c r="J116" s="165"/>
      <c r="K116" s="117"/>
      <c r="L116" s="117"/>
      <c r="M116" s="117">
        <f t="shared" si="1"/>
        <v>0</v>
      </c>
    </row>
    <row r="117" ht="22.5" customHeight="1">
      <c r="A117" s="116"/>
      <c r="C117" s="166"/>
      <c r="D117" s="118" t="str">
        <f>IF(FuturesTrades[Opened] &lt;&gt; "",IF(FuturesTrades[Closed] = "", TODAY(), FuturesTrades[Closed]) - FuturesTrades[Opened], "")</f>
        <v/>
      </c>
      <c r="E117" s="6"/>
      <c r="F117" s="6"/>
      <c r="G117" s="22"/>
      <c r="H117" s="117"/>
      <c r="I117" s="165"/>
      <c r="J117" s="165"/>
      <c r="K117" s="117"/>
      <c r="L117" s="117"/>
      <c r="M117" s="117">
        <f t="shared" si="1"/>
        <v>0</v>
      </c>
    </row>
    <row r="118" ht="22.5" customHeight="1">
      <c r="A118" s="116"/>
      <c r="C118" s="166"/>
      <c r="D118" s="118" t="str">
        <f>IF(FuturesTrades[Opened] &lt;&gt; "",IF(FuturesTrades[Closed] = "", TODAY(), FuturesTrades[Closed]) - FuturesTrades[Opened], "")</f>
        <v/>
      </c>
      <c r="E118" s="6"/>
      <c r="F118" s="6"/>
      <c r="G118" s="22"/>
      <c r="H118" s="117"/>
      <c r="I118" s="165"/>
      <c r="J118" s="165"/>
      <c r="K118" s="117"/>
      <c r="L118" s="117"/>
      <c r="M118" s="117">
        <f t="shared" si="1"/>
        <v>0</v>
      </c>
    </row>
    <row r="119" ht="22.5" customHeight="1">
      <c r="A119" s="116"/>
      <c r="C119" s="166"/>
      <c r="D119" s="118" t="str">
        <f>IF(FuturesTrades[Opened] &lt;&gt; "",IF(FuturesTrades[Closed] = "", TODAY(), FuturesTrades[Closed]) - FuturesTrades[Opened], "")</f>
        <v/>
      </c>
      <c r="E119" s="6"/>
      <c r="F119" s="6"/>
      <c r="G119" s="22"/>
      <c r="H119" s="117"/>
      <c r="I119" s="165"/>
      <c r="J119" s="165"/>
      <c r="K119" s="117"/>
      <c r="L119" s="117"/>
      <c r="M119" s="117">
        <f t="shared" si="1"/>
        <v>0</v>
      </c>
    </row>
    <row r="120" ht="22.5" customHeight="1">
      <c r="A120" s="116"/>
      <c r="C120" s="166"/>
      <c r="D120" s="118" t="str">
        <f>IF(FuturesTrades[Opened] &lt;&gt; "",IF(FuturesTrades[Closed] = "", TODAY(), FuturesTrades[Closed]) - FuturesTrades[Opened], "")</f>
        <v/>
      </c>
      <c r="E120" s="6"/>
      <c r="F120" s="6"/>
      <c r="G120" s="22"/>
      <c r="H120" s="117"/>
      <c r="I120" s="165"/>
      <c r="J120" s="165"/>
      <c r="K120" s="117"/>
      <c r="L120" s="117"/>
      <c r="M120" s="117">
        <f t="shared" si="1"/>
        <v>0</v>
      </c>
    </row>
    <row r="121" ht="22.5" customHeight="1">
      <c r="A121" s="116"/>
      <c r="C121" s="166"/>
      <c r="D121" s="118" t="str">
        <f>IF(FuturesTrades[Opened] &lt;&gt; "",IF(FuturesTrades[Closed] = "", TODAY(), FuturesTrades[Closed]) - FuturesTrades[Opened], "")</f>
        <v/>
      </c>
      <c r="E121" s="6"/>
      <c r="F121" s="6"/>
      <c r="G121" s="22"/>
      <c r="H121" s="117"/>
      <c r="I121" s="165"/>
      <c r="J121" s="165"/>
      <c r="K121" s="117"/>
      <c r="L121" s="117"/>
      <c r="M121" s="117">
        <f t="shared" si="1"/>
        <v>0</v>
      </c>
    </row>
    <row r="122" ht="22.5" customHeight="1">
      <c r="A122" s="116"/>
      <c r="C122" s="166"/>
      <c r="D122" s="118" t="str">
        <f>IF(FuturesTrades[Opened] &lt;&gt; "",IF(FuturesTrades[Closed] = "", TODAY(), FuturesTrades[Closed]) - FuturesTrades[Opened], "")</f>
        <v/>
      </c>
      <c r="E122" s="6"/>
      <c r="F122" s="6"/>
      <c r="G122" s="22"/>
      <c r="H122" s="117"/>
      <c r="I122" s="165"/>
      <c r="J122" s="165"/>
      <c r="K122" s="117"/>
      <c r="L122" s="117"/>
      <c r="M122" s="117">
        <f t="shared" si="1"/>
        <v>0</v>
      </c>
    </row>
    <row r="123" ht="22.5" customHeight="1">
      <c r="A123" s="116"/>
      <c r="C123" s="166"/>
      <c r="D123" s="118" t="str">
        <f>IF(FuturesTrades[Opened] &lt;&gt; "",IF(FuturesTrades[Closed] = "", TODAY(), FuturesTrades[Closed]) - FuturesTrades[Opened], "")</f>
        <v/>
      </c>
      <c r="E123" s="6"/>
      <c r="F123" s="6"/>
      <c r="G123" s="22"/>
      <c r="H123" s="117"/>
      <c r="I123" s="165"/>
      <c r="J123" s="165"/>
      <c r="K123" s="117"/>
      <c r="L123" s="117"/>
      <c r="M123" s="117">
        <f t="shared" si="1"/>
        <v>0</v>
      </c>
    </row>
    <row r="124" ht="22.5" customHeight="1">
      <c r="A124" s="116"/>
      <c r="C124" s="166"/>
      <c r="D124" s="118" t="str">
        <f>IF(FuturesTrades[Opened] &lt;&gt; "",IF(FuturesTrades[Closed] = "", TODAY(), FuturesTrades[Closed]) - FuturesTrades[Opened], "")</f>
        <v/>
      </c>
      <c r="E124" s="6"/>
      <c r="F124" s="6"/>
      <c r="G124" s="22"/>
      <c r="H124" s="117"/>
      <c r="I124" s="165"/>
      <c r="J124" s="165"/>
      <c r="K124" s="117"/>
      <c r="L124" s="117"/>
      <c r="M124" s="117">
        <f t="shared" si="1"/>
        <v>0</v>
      </c>
    </row>
    <row r="125" ht="22.5" customHeight="1">
      <c r="A125" s="116"/>
      <c r="C125" s="166"/>
      <c r="D125" s="118" t="str">
        <f>IF(FuturesTrades[Opened] &lt;&gt; "",IF(FuturesTrades[Closed] = "", TODAY(), FuturesTrades[Closed]) - FuturesTrades[Opened], "")</f>
        <v/>
      </c>
      <c r="E125" s="6"/>
      <c r="F125" s="6"/>
      <c r="G125" s="22"/>
      <c r="H125" s="117"/>
      <c r="I125" s="165"/>
      <c r="J125" s="165"/>
      <c r="K125" s="117"/>
      <c r="L125" s="117"/>
      <c r="M125" s="117">
        <f t="shared" si="1"/>
        <v>0</v>
      </c>
    </row>
    <row r="126" ht="22.5" customHeight="1">
      <c r="A126" s="116"/>
      <c r="C126" s="166"/>
      <c r="D126" s="118" t="str">
        <f>IF(FuturesTrades[Opened] &lt;&gt; "",IF(FuturesTrades[Closed] = "", TODAY(), FuturesTrades[Closed]) - FuturesTrades[Opened], "")</f>
        <v/>
      </c>
      <c r="E126" s="6"/>
      <c r="F126" s="6"/>
      <c r="G126" s="22"/>
      <c r="H126" s="117"/>
      <c r="I126" s="165"/>
      <c r="J126" s="165"/>
      <c r="K126" s="117"/>
      <c r="L126" s="117"/>
      <c r="M126" s="117">
        <f t="shared" si="1"/>
        <v>0</v>
      </c>
    </row>
    <row r="127" ht="22.5" customHeight="1">
      <c r="A127" s="116"/>
      <c r="C127" s="166"/>
      <c r="D127" s="118" t="str">
        <f>IF(FuturesTrades[Opened] &lt;&gt; "",IF(FuturesTrades[Closed] = "", TODAY(), FuturesTrades[Closed]) - FuturesTrades[Opened], "")</f>
        <v/>
      </c>
      <c r="E127" s="6"/>
      <c r="F127" s="6"/>
      <c r="G127" s="22"/>
      <c r="H127" s="117"/>
      <c r="I127" s="165"/>
      <c r="J127" s="165"/>
      <c r="K127" s="117"/>
      <c r="L127" s="117"/>
      <c r="M127" s="117">
        <f t="shared" si="1"/>
        <v>0</v>
      </c>
    </row>
    <row r="128" ht="22.5" customHeight="1">
      <c r="A128" s="116"/>
      <c r="C128" s="166"/>
      <c r="D128" s="118" t="str">
        <f>IF(FuturesTrades[Opened] &lt;&gt; "",IF(FuturesTrades[Closed] = "", TODAY(), FuturesTrades[Closed]) - FuturesTrades[Opened], "")</f>
        <v/>
      </c>
      <c r="E128" s="6"/>
      <c r="F128" s="6"/>
      <c r="G128" s="22"/>
      <c r="H128" s="117"/>
      <c r="I128" s="165"/>
      <c r="J128" s="165"/>
      <c r="K128" s="117"/>
      <c r="L128" s="117"/>
      <c r="M128" s="117">
        <f t="shared" si="1"/>
        <v>0</v>
      </c>
    </row>
    <row r="129" ht="22.5" customHeight="1">
      <c r="A129" s="116"/>
      <c r="C129" s="166"/>
      <c r="D129" s="118" t="str">
        <f>IF(FuturesTrades[Opened] &lt;&gt; "",IF(FuturesTrades[Closed] = "", TODAY(), FuturesTrades[Closed]) - FuturesTrades[Opened], "")</f>
        <v/>
      </c>
      <c r="E129" s="6"/>
      <c r="F129" s="6"/>
      <c r="G129" s="22"/>
      <c r="H129" s="117"/>
      <c r="I129" s="165"/>
      <c r="J129" s="165"/>
      <c r="K129" s="117"/>
      <c r="L129" s="117"/>
      <c r="M129" s="117">
        <f t="shared" si="1"/>
        <v>0</v>
      </c>
    </row>
    <row r="130" ht="22.5" customHeight="1">
      <c r="A130" s="116"/>
      <c r="C130" s="166"/>
      <c r="D130" s="118" t="str">
        <f>IF(FuturesTrades[Opened] &lt;&gt; "",IF(FuturesTrades[Closed] = "", TODAY(), FuturesTrades[Closed]) - FuturesTrades[Opened], "")</f>
        <v/>
      </c>
      <c r="E130" s="6"/>
      <c r="F130" s="6"/>
      <c r="G130" s="22"/>
      <c r="H130" s="117"/>
      <c r="I130" s="165"/>
      <c r="J130" s="165"/>
      <c r="K130" s="117"/>
      <c r="L130" s="117"/>
      <c r="M130" s="117">
        <f t="shared" si="1"/>
        <v>0</v>
      </c>
    </row>
    <row r="131" ht="22.5" customHeight="1">
      <c r="A131" s="116"/>
      <c r="C131" s="166"/>
      <c r="D131" s="118" t="str">
        <f>IF(FuturesTrades[Opened] &lt;&gt; "",IF(FuturesTrades[Closed] = "", TODAY(), FuturesTrades[Closed]) - FuturesTrades[Opened], "")</f>
        <v/>
      </c>
      <c r="E131" s="6"/>
      <c r="F131" s="6"/>
      <c r="G131" s="22"/>
      <c r="H131" s="117"/>
      <c r="I131" s="165"/>
      <c r="J131" s="165"/>
      <c r="K131" s="117"/>
      <c r="L131" s="117"/>
      <c r="M131" s="117">
        <f t="shared" si="1"/>
        <v>0</v>
      </c>
    </row>
    <row r="132" ht="22.5" customHeight="1">
      <c r="A132" s="116"/>
      <c r="C132" s="166"/>
      <c r="D132" s="118" t="str">
        <f>IF(FuturesTrades[Opened] &lt;&gt; "",IF(FuturesTrades[Closed] = "", TODAY(), FuturesTrades[Closed]) - FuturesTrades[Opened], "")</f>
        <v/>
      </c>
      <c r="E132" s="6"/>
      <c r="F132" s="6"/>
      <c r="G132" s="22"/>
      <c r="H132" s="117"/>
      <c r="I132" s="165"/>
      <c r="J132" s="165"/>
      <c r="K132" s="117"/>
      <c r="L132" s="117"/>
      <c r="M132" s="117">
        <f t="shared" si="1"/>
        <v>0</v>
      </c>
    </row>
    <row r="133" ht="22.5" customHeight="1">
      <c r="A133" s="116"/>
      <c r="C133" s="166"/>
      <c r="D133" s="118" t="str">
        <f>IF(FuturesTrades[Opened] &lt;&gt; "",IF(FuturesTrades[Closed] = "", TODAY(), FuturesTrades[Closed]) - FuturesTrades[Opened], "")</f>
        <v/>
      </c>
      <c r="E133" s="6"/>
      <c r="F133" s="6"/>
      <c r="G133" s="22"/>
      <c r="H133" s="117"/>
      <c r="I133" s="165"/>
      <c r="J133" s="165"/>
      <c r="K133" s="117"/>
      <c r="L133" s="117"/>
      <c r="M133" s="117">
        <f t="shared" si="1"/>
        <v>0</v>
      </c>
    </row>
    <row r="134" ht="22.5" customHeight="1">
      <c r="A134" s="116"/>
      <c r="C134" s="166"/>
      <c r="D134" s="118" t="str">
        <f>IF(FuturesTrades[Opened] &lt;&gt; "",IF(FuturesTrades[Closed] = "", TODAY(), FuturesTrades[Closed]) - FuturesTrades[Opened], "")</f>
        <v/>
      </c>
      <c r="E134" s="6"/>
      <c r="F134" s="6"/>
      <c r="G134" s="22"/>
      <c r="H134" s="117"/>
      <c r="I134" s="165"/>
      <c r="J134" s="165"/>
      <c r="K134" s="117"/>
      <c r="L134" s="117"/>
      <c r="M134" s="117">
        <f t="shared" si="1"/>
        <v>0</v>
      </c>
    </row>
    <row r="135" ht="22.5" customHeight="1">
      <c r="A135" s="116"/>
      <c r="C135" s="166"/>
      <c r="D135" s="118" t="str">
        <f>IF(FuturesTrades[Opened] &lt;&gt; "",IF(FuturesTrades[Closed] = "", TODAY(), FuturesTrades[Closed]) - FuturesTrades[Opened], "")</f>
        <v/>
      </c>
      <c r="E135" s="6"/>
      <c r="F135" s="6"/>
      <c r="G135" s="22"/>
      <c r="H135" s="117"/>
      <c r="I135" s="165"/>
      <c r="J135" s="165"/>
      <c r="K135" s="117"/>
      <c r="L135" s="117"/>
      <c r="M135" s="117">
        <f t="shared" si="1"/>
        <v>0</v>
      </c>
    </row>
    <row r="136" ht="22.5" customHeight="1">
      <c r="A136" s="116"/>
      <c r="C136" s="166"/>
      <c r="D136" s="118" t="str">
        <f>IF(FuturesTrades[Opened] &lt;&gt; "",IF(FuturesTrades[Closed] = "", TODAY(), FuturesTrades[Closed]) - FuturesTrades[Opened], "")</f>
        <v/>
      </c>
      <c r="E136" s="6"/>
      <c r="F136" s="6"/>
      <c r="G136" s="22"/>
      <c r="H136" s="117"/>
      <c r="I136" s="165"/>
      <c r="J136" s="165"/>
      <c r="K136" s="117"/>
      <c r="L136" s="117"/>
      <c r="M136" s="117">
        <f t="shared" si="1"/>
        <v>0</v>
      </c>
    </row>
    <row r="137" ht="22.5" customHeight="1">
      <c r="A137" s="116"/>
      <c r="C137" s="166"/>
      <c r="D137" s="118" t="str">
        <f>IF(FuturesTrades[Opened] &lt;&gt; "",IF(FuturesTrades[Closed] = "", TODAY(), FuturesTrades[Closed]) - FuturesTrades[Opened], "")</f>
        <v/>
      </c>
      <c r="E137" s="6"/>
      <c r="F137" s="6"/>
      <c r="G137" s="22"/>
      <c r="H137" s="117"/>
      <c r="I137" s="165"/>
      <c r="J137" s="165"/>
      <c r="K137" s="117"/>
      <c r="L137" s="117"/>
      <c r="M137" s="117">
        <f t="shared" si="1"/>
        <v>0</v>
      </c>
    </row>
    <row r="138" ht="22.5" customHeight="1">
      <c r="A138" s="116"/>
      <c r="C138" s="166"/>
      <c r="D138" s="118" t="str">
        <f>IF(FuturesTrades[Opened] &lt;&gt; "",IF(FuturesTrades[Closed] = "", TODAY(), FuturesTrades[Closed]) - FuturesTrades[Opened], "")</f>
        <v/>
      </c>
      <c r="E138" s="6"/>
      <c r="F138" s="6"/>
      <c r="G138" s="22"/>
      <c r="H138" s="117"/>
      <c r="I138" s="165"/>
      <c r="J138" s="165"/>
      <c r="K138" s="117"/>
      <c r="L138" s="117"/>
      <c r="M138" s="117">
        <f t="shared" si="1"/>
        <v>0</v>
      </c>
    </row>
    <row r="139" ht="22.5" customHeight="1">
      <c r="A139" s="116"/>
      <c r="C139" s="166"/>
      <c r="D139" s="118" t="str">
        <f>IF(FuturesTrades[Opened] &lt;&gt; "",IF(FuturesTrades[Closed] = "", TODAY(), FuturesTrades[Closed]) - FuturesTrades[Opened], "")</f>
        <v/>
      </c>
      <c r="E139" s="6"/>
      <c r="F139" s="6"/>
      <c r="G139" s="22"/>
      <c r="H139" s="117"/>
      <c r="I139" s="165"/>
      <c r="J139" s="165"/>
      <c r="K139" s="117"/>
      <c r="L139" s="117"/>
      <c r="M139" s="117">
        <f t="shared" si="1"/>
        <v>0</v>
      </c>
    </row>
    <row r="140" ht="22.5" customHeight="1">
      <c r="A140" s="116"/>
      <c r="C140" s="166"/>
      <c r="D140" s="118" t="str">
        <f>IF(FuturesTrades[Opened] &lt;&gt; "",IF(FuturesTrades[Closed] = "", TODAY(), FuturesTrades[Closed]) - FuturesTrades[Opened], "")</f>
        <v/>
      </c>
      <c r="E140" s="6"/>
      <c r="F140" s="6"/>
      <c r="G140" s="22"/>
      <c r="H140" s="117"/>
      <c r="I140" s="165"/>
      <c r="J140" s="165"/>
      <c r="K140" s="117"/>
      <c r="L140" s="117"/>
      <c r="M140" s="117">
        <f t="shared" si="1"/>
        <v>0</v>
      </c>
    </row>
    <row r="141" ht="22.5" customHeight="1">
      <c r="A141" s="116"/>
      <c r="C141" s="166"/>
      <c r="D141" s="118" t="str">
        <f>IF(FuturesTrades[Opened] &lt;&gt; "",IF(FuturesTrades[Closed] = "", TODAY(), FuturesTrades[Closed]) - FuturesTrades[Opened], "")</f>
        <v/>
      </c>
      <c r="E141" s="6"/>
      <c r="F141" s="6"/>
      <c r="G141" s="22"/>
      <c r="H141" s="117"/>
      <c r="I141" s="165"/>
      <c r="J141" s="165"/>
      <c r="K141" s="117"/>
      <c r="L141" s="117"/>
      <c r="M141" s="117">
        <f t="shared" si="1"/>
        <v>0</v>
      </c>
    </row>
    <row r="142" ht="22.5" customHeight="1">
      <c r="A142" s="116"/>
      <c r="C142" s="166"/>
      <c r="D142" s="118" t="str">
        <f>IF(FuturesTrades[Opened] &lt;&gt; "",IF(FuturesTrades[Closed] = "", TODAY(), FuturesTrades[Closed]) - FuturesTrades[Opened], "")</f>
        <v/>
      </c>
      <c r="E142" s="6"/>
      <c r="F142" s="6"/>
      <c r="G142" s="22"/>
      <c r="H142" s="117"/>
      <c r="I142" s="165"/>
      <c r="J142" s="165"/>
      <c r="K142" s="117"/>
      <c r="L142" s="117"/>
      <c r="M142" s="117">
        <f t="shared" si="1"/>
        <v>0</v>
      </c>
    </row>
    <row r="143" ht="22.5" customHeight="1">
      <c r="A143" s="116"/>
      <c r="C143" s="166"/>
      <c r="D143" s="118" t="str">
        <f>IF(FuturesTrades[Opened] &lt;&gt; "",IF(FuturesTrades[Closed] = "", TODAY(), FuturesTrades[Closed]) - FuturesTrades[Opened], "")</f>
        <v/>
      </c>
      <c r="E143" s="6"/>
      <c r="F143" s="6"/>
      <c r="G143" s="22"/>
      <c r="H143" s="117"/>
      <c r="I143" s="165"/>
      <c r="J143" s="165"/>
      <c r="K143" s="117"/>
      <c r="L143" s="117"/>
      <c r="M143" s="117">
        <f t="shared" si="1"/>
        <v>0</v>
      </c>
    </row>
    <row r="144" ht="22.5" customHeight="1">
      <c r="A144" s="116"/>
      <c r="C144" s="166"/>
      <c r="D144" s="118" t="str">
        <f>IF(FuturesTrades[Opened] &lt;&gt; "",IF(FuturesTrades[Closed] = "", TODAY(), FuturesTrades[Closed]) - FuturesTrades[Opened], "")</f>
        <v/>
      </c>
      <c r="E144" s="6"/>
      <c r="F144" s="6"/>
      <c r="G144" s="22"/>
      <c r="H144" s="117"/>
      <c r="I144" s="165"/>
      <c r="J144" s="165"/>
      <c r="K144" s="117"/>
      <c r="L144" s="117"/>
      <c r="M144" s="117">
        <f t="shared" si="1"/>
        <v>0</v>
      </c>
    </row>
    <row r="145" ht="22.5" customHeight="1">
      <c r="A145" s="116"/>
      <c r="C145" s="166"/>
      <c r="D145" s="118" t="str">
        <f>IF(FuturesTrades[Opened] &lt;&gt; "",IF(FuturesTrades[Closed] = "", TODAY(), FuturesTrades[Closed]) - FuturesTrades[Opened], "")</f>
        <v/>
      </c>
      <c r="E145" s="6"/>
      <c r="F145" s="6"/>
      <c r="G145" s="22"/>
      <c r="H145" s="117"/>
      <c r="I145" s="165"/>
      <c r="J145" s="165"/>
      <c r="K145" s="117"/>
      <c r="L145" s="117"/>
      <c r="M145" s="117">
        <f t="shared" si="1"/>
        <v>0</v>
      </c>
    </row>
    <row r="146" ht="22.5" customHeight="1">
      <c r="A146" s="116"/>
      <c r="C146" s="166"/>
      <c r="D146" s="118" t="str">
        <f>IF(FuturesTrades[Opened] &lt;&gt; "",IF(FuturesTrades[Closed] = "", TODAY(), FuturesTrades[Closed]) - FuturesTrades[Opened], "")</f>
        <v/>
      </c>
      <c r="E146" s="6"/>
      <c r="F146" s="6"/>
      <c r="G146" s="22"/>
      <c r="H146" s="117"/>
      <c r="I146" s="165"/>
      <c r="J146" s="165"/>
      <c r="K146" s="117"/>
      <c r="L146" s="117"/>
      <c r="M146" s="117">
        <f t="shared" si="1"/>
        <v>0</v>
      </c>
    </row>
    <row r="147" ht="22.5" customHeight="1">
      <c r="A147" s="116"/>
      <c r="C147" s="166"/>
      <c r="D147" s="118" t="str">
        <f>IF(FuturesTrades[Opened] &lt;&gt; "",IF(FuturesTrades[Closed] = "", TODAY(), FuturesTrades[Closed]) - FuturesTrades[Opened], "")</f>
        <v/>
      </c>
      <c r="E147" s="6"/>
      <c r="F147" s="6"/>
      <c r="G147" s="22"/>
      <c r="H147" s="117"/>
      <c r="I147" s="165"/>
      <c r="J147" s="165"/>
      <c r="K147" s="117"/>
      <c r="L147" s="117"/>
      <c r="M147" s="117">
        <f t="shared" si="1"/>
        <v>0</v>
      </c>
    </row>
    <row r="148" ht="22.5" customHeight="1">
      <c r="A148" s="116"/>
      <c r="C148" s="166"/>
      <c r="D148" s="118" t="str">
        <f>IF(FuturesTrades[Opened] &lt;&gt; "",IF(FuturesTrades[Closed] = "", TODAY(), FuturesTrades[Closed]) - FuturesTrades[Opened], "")</f>
        <v/>
      </c>
      <c r="E148" s="6"/>
      <c r="F148" s="6"/>
      <c r="G148" s="22"/>
      <c r="H148" s="117"/>
      <c r="I148" s="165"/>
      <c r="J148" s="165"/>
      <c r="K148" s="117"/>
      <c r="L148" s="117"/>
      <c r="M148" s="117">
        <f t="shared" si="1"/>
        <v>0</v>
      </c>
    </row>
    <row r="149" ht="22.5" customHeight="1">
      <c r="A149" s="116"/>
      <c r="C149" s="166"/>
      <c r="D149" s="118" t="str">
        <f>IF(FuturesTrades[Opened] &lt;&gt; "",IF(FuturesTrades[Closed] = "", TODAY(), FuturesTrades[Closed]) - FuturesTrades[Opened], "")</f>
        <v/>
      </c>
      <c r="E149" s="6"/>
      <c r="F149" s="6"/>
      <c r="G149" s="22"/>
      <c r="H149" s="117"/>
      <c r="I149" s="165"/>
      <c r="J149" s="165"/>
      <c r="K149" s="117"/>
      <c r="L149" s="117"/>
      <c r="M149" s="117">
        <f t="shared" si="1"/>
        <v>0</v>
      </c>
    </row>
    <row r="150" ht="22.5" customHeight="1">
      <c r="A150" s="116"/>
      <c r="C150" s="166"/>
      <c r="D150" s="118" t="str">
        <f>IF(FuturesTrades[Opened] &lt;&gt; "",IF(FuturesTrades[Closed] = "", TODAY(), FuturesTrades[Closed]) - FuturesTrades[Opened], "")</f>
        <v/>
      </c>
      <c r="E150" s="6"/>
      <c r="F150" s="6"/>
      <c r="G150" s="22"/>
      <c r="H150" s="117"/>
      <c r="I150" s="165"/>
      <c r="J150" s="165"/>
      <c r="K150" s="117"/>
      <c r="L150" s="117"/>
      <c r="M150" s="117">
        <f t="shared" si="1"/>
        <v>0</v>
      </c>
    </row>
    <row r="151" ht="22.5" customHeight="1">
      <c r="A151" s="116"/>
      <c r="C151" s="166"/>
      <c r="D151" s="118" t="str">
        <f>IF(FuturesTrades[Opened] &lt;&gt; "",IF(FuturesTrades[Closed] = "", TODAY(), FuturesTrades[Closed]) - FuturesTrades[Opened], "")</f>
        <v/>
      </c>
      <c r="E151" s="6"/>
      <c r="F151" s="6"/>
      <c r="G151" s="22"/>
      <c r="H151" s="117"/>
      <c r="I151" s="165"/>
      <c r="J151" s="165"/>
      <c r="K151" s="117"/>
      <c r="L151" s="117"/>
      <c r="M151" s="117">
        <f t="shared" si="1"/>
        <v>0</v>
      </c>
    </row>
    <row r="152" ht="22.5" customHeight="1">
      <c r="A152" s="116"/>
      <c r="C152" s="166"/>
      <c r="D152" s="118" t="str">
        <f>IF(FuturesTrades[Opened] &lt;&gt; "",IF(FuturesTrades[Closed] = "", TODAY(), FuturesTrades[Closed]) - FuturesTrades[Opened], "")</f>
        <v/>
      </c>
      <c r="E152" s="6"/>
      <c r="F152" s="6"/>
      <c r="G152" s="22"/>
      <c r="H152" s="117"/>
      <c r="I152" s="165"/>
      <c r="J152" s="165"/>
      <c r="K152" s="117"/>
      <c r="L152" s="117"/>
      <c r="M152" s="117">
        <f t="shared" si="1"/>
        <v>0</v>
      </c>
    </row>
    <row r="153" ht="22.5" customHeight="1">
      <c r="A153" s="116"/>
      <c r="C153" s="166"/>
      <c r="D153" s="118" t="str">
        <f>IF(FuturesTrades[Opened] &lt;&gt; "",IF(FuturesTrades[Closed] = "", TODAY(), FuturesTrades[Closed]) - FuturesTrades[Opened], "")</f>
        <v/>
      </c>
      <c r="E153" s="6"/>
      <c r="F153" s="6"/>
      <c r="G153" s="22"/>
      <c r="H153" s="117"/>
      <c r="I153" s="165"/>
      <c r="J153" s="165"/>
      <c r="K153" s="117"/>
      <c r="L153" s="117"/>
      <c r="M153" s="117">
        <f t="shared" si="1"/>
        <v>0</v>
      </c>
    </row>
    <row r="154" ht="22.5" customHeight="1">
      <c r="A154" s="116"/>
      <c r="C154" s="166"/>
      <c r="D154" s="118" t="str">
        <f>IF(FuturesTrades[Opened] &lt;&gt; "",IF(FuturesTrades[Closed] = "", TODAY(), FuturesTrades[Closed]) - FuturesTrades[Opened], "")</f>
        <v/>
      </c>
      <c r="E154" s="6"/>
      <c r="F154" s="6"/>
      <c r="G154" s="22"/>
      <c r="H154" s="117"/>
      <c r="I154" s="165"/>
      <c r="J154" s="165"/>
      <c r="K154" s="117"/>
      <c r="L154" s="117"/>
      <c r="M154" s="117">
        <f t="shared" si="1"/>
        <v>0</v>
      </c>
    </row>
    <row r="155" ht="22.5" customHeight="1">
      <c r="A155" s="116"/>
      <c r="C155" s="166"/>
      <c r="D155" s="118" t="str">
        <f>IF(FuturesTrades[Opened] &lt;&gt; "",IF(FuturesTrades[Closed] = "", TODAY(), FuturesTrades[Closed]) - FuturesTrades[Opened], "")</f>
        <v/>
      </c>
      <c r="E155" s="6"/>
      <c r="F155" s="6"/>
      <c r="G155" s="22"/>
      <c r="H155" s="117"/>
      <c r="I155" s="165"/>
      <c r="J155" s="165"/>
      <c r="K155" s="117"/>
      <c r="L155" s="117"/>
      <c r="M155" s="117">
        <f t="shared" si="1"/>
        <v>0</v>
      </c>
    </row>
    <row r="156" ht="22.5" customHeight="1">
      <c r="A156" s="116"/>
      <c r="C156" s="166"/>
      <c r="D156" s="118" t="str">
        <f>IF(FuturesTrades[Opened] &lt;&gt; "",IF(FuturesTrades[Closed] = "", TODAY(), FuturesTrades[Closed]) - FuturesTrades[Opened], "")</f>
        <v/>
      </c>
      <c r="E156" s="6"/>
      <c r="F156" s="6"/>
      <c r="G156" s="22"/>
      <c r="H156" s="117"/>
      <c r="I156" s="165"/>
      <c r="J156" s="165"/>
      <c r="K156" s="117"/>
      <c r="L156" s="117"/>
      <c r="M156" s="117">
        <f t="shared" si="1"/>
        <v>0</v>
      </c>
    </row>
    <row r="157" ht="22.5" customHeight="1">
      <c r="A157" s="116"/>
      <c r="C157" s="166"/>
      <c r="D157" s="118" t="str">
        <f>IF(FuturesTrades[Opened] &lt;&gt; "",IF(FuturesTrades[Closed] = "", TODAY(), FuturesTrades[Closed]) - FuturesTrades[Opened], "")</f>
        <v/>
      </c>
      <c r="E157" s="6"/>
      <c r="F157" s="6"/>
      <c r="G157" s="22"/>
      <c r="H157" s="117"/>
      <c r="I157" s="165"/>
      <c r="J157" s="165"/>
      <c r="K157" s="117"/>
      <c r="L157" s="117"/>
      <c r="M157" s="117">
        <f t="shared" si="1"/>
        <v>0</v>
      </c>
    </row>
    <row r="158" ht="22.5" customHeight="1">
      <c r="A158" s="116"/>
      <c r="C158" s="166"/>
      <c r="D158" s="118" t="str">
        <f>IF(FuturesTrades[Opened] &lt;&gt; "",IF(FuturesTrades[Closed] = "", TODAY(), FuturesTrades[Closed]) - FuturesTrades[Opened], "")</f>
        <v/>
      </c>
      <c r="E158" s="6"/>
      <c r="F158" s="6"/>
      <c r="G158" s="22"/>
      <c r="H158" s="117"/>
      <c r="I158" s="165"/>
      <c r="J158" s="165"/>
      <c r="K158" s="117"/>
      <c r="L158" s="117"/>
      <c r="M158" s="117">
        <f t="shared" si="1"/>
        <v>0</v>
      </c>
    </row>
    <row r="159" ht="22.5" customHeight="1">
      <c r="A159" s="116"/>
      <c r="C159" s="166"/>
      <c r="D159" s="118" t="str">
        <f>IF(FuturesTrades[Opened] &lt;&gt; "",IF(FuturesTrades[Closed] = "", TODAY(), FuturesTrades[Closed]) - FuturesTrades[Opened], "")</f>
        <v/>
      </c>
      <c r="E159" s="6"/>
      <c r="F159" s="6"/>
      <c r="G159" s="22"/>
      <c r="H159" s="117"/>
      <c r="I159" s="165"/>
      <c r="J159" s="165"/>
      <c r="K159" s="117"/>
      <c r="L159" s="117"/>
      <c r="M159" s="117">
        <f t="shared" si="1"/>
        <v>0</v>
      </c>
    </row>
    <row r="160" ht="22.5" customHeight="1">
      <c r="A160" s="116"/>
      <c r="C160" s="166"/>
      <c r="D160" s="118" t="str">
        <f>IF(FuturesTrades[Opened] &lt;&gt; "",IF(FuturesTrades[Closed] = "", TODAY(), FuturesTrades[Closed]) - FuturesTrades[Opened], "")</f>
        <v/>
      </c>
      <c r="E160" s="6"/>
      <c r="F160" s="6"/>
      <c r="G160" s="22"/>
      <c r="H160" s="117"/>
      <c r="I160" s="165"/>
      <c r="J160" s="165"/>
      <c r="K160" s="117"/>
      <c r="L160" s="117"/>
      <c r="M160" s="117">
        <f t="shared" si="1"/>
        <v>0</v>
      </c>
    </row>
    <row r="161" ht="22.5" customHeight="1">
      <c r="A161" s="116"/>
      <c r="C161" s="166"/>
      <c r="D161" s="118" t="str">
        <f>IF(FuturesTrades[Opened] &lt;&gt; "",IF(FuturesTrades[Closed] = "", TODAY(), FuturesTrades[Closed]) - FuturesTrades[Opened], "")</f>
        <v/>
      </c>
      <c r="E161" s="6"/>
      <c r="F161" s="6"/>
      <c r="G161" s="22"/>
      <c r="H161" s="117"/>
      <c r="I161" s="165"/>
      <c r="J161" s="165"/>
      <c r="K161" s="117"/>
      <c r="L161" s="117"/>
      <c r="M161" s="117">
        <f t="shared" si="1"/>
        <v>0</v>
      </c>
    </row>
    <row r="162" ht="22.5" customHeight="1">
      <c r="A162" s="116"/>
      <c r="C162" s="166"/>
      <c r="D162" s="118" t="str">
        <f>IF(FuturesTrades[Opened] &lt;&gt; "",IF(FuturesTrades[Closed] = "", TODAY(), FuturesTrades[Closed]) - FuturesTrades[Opened], "")</f>
        <v/>
      </c>
      <c r="E162" s="6"/>
      <c r="F162" s="6"/>
      <c r="G162" s="22"/>
      <c r="H162" s="117"/>
      <c r="I162" s="165"/>
      <c r="J162" s="165"/>
      <c r="K162" s="117"/>
      <c r="L162" s="117"/>
      <c r="M162" s="117">
        <f t="shared" si="1"/>
        <v>0</v>
      </c>
    </row>
    <row r="163" ht="22.5" customHeight="1">
      <c r="A163" s="116"/>
      <c r="C163" s="166"/>
      <c r="D163" s="118" t="str">
        <f>IF(FuturesTrades[Opened] &lt;&gt; "",IF(FuturesTrades[Closed] = "", TODAY(), FuturesTrades[Closed]) - FuturesTrades[Opened], "")</f>
        <v/>
      </c>
      <c r="E163" s="6"/>
      <c r="F163" s="6"/>
      <c r="G163" s="22"/>
      <c r="H163" s="117"/>
      <c r="I163" s="165"/>
      <c r="J163" s="165"/>
      <c r="K163" s="117"/>
      <c r="L163" s="117"/>
      <c r="M163" s="117">
        <f t="shared" si="1"/>
        <v>0</v>
      </c>
    </row>
    <row r="164" ht="22.5" customHeight="1">
      <c r="A164" s="116"/>
      <c r="C164" s="166"/>
      <c r="D164" s="118" t="str">
        <f>IF(FuturesTrades[Opened] &lt;&gt; "",IF(FuturesTrades[Closed] = "", TODAY(), FuturesTrades[Closed]) - FuturesTrades[Opened], "")</f>
        <v/>
      </c>
      <c r="E164" s="6"/>
      <c r="F164" s="6"/>
      <c r="G164" s="22"/>
      <c r="H164" s="117"/>
      <c r="I164" s="165"/>
      <c r="J164" s="165"/>
      <c r="K164" s="117"/>
      <c r="L164" s="117"/>
      <c r="M164" s="117">
        <f t="shared" si="1"/>
        <v>0</v>
      </c>
    </row>
    <row r="165" ht="22.5" customHeight="1">
      <c r="A165" s="116"/>
      <c r="C165" s="166"/>
      <c r="D165" s="118" t="str">
        <f>IF(FuturesTrades[Opened] &lt;&gt; "",IF(FuturesTrades[Closed] = "", TODAY(), FuturesTrades[Closed]) - FuturesTrades[Opened], "")</f>
        <v/>
      </c>
      <c r="E165" s="6"/>
      <c r="F165" s="6"/>
      <c r="G165" s="22"/>
      <c r="H165" s="117"/>
      <c r="I165" s="165"/>
      <c r="J165" s="165"/>
      <c r="K165" s="117"/>
      <c r="L165" s="117"/>
      <c r="M165" s="117">
        <f t="shared" si="1"/>
        <v>0</v>
      </c>
    </row>
    <row r="166" ht="22.5" customHeight="1">
      <c r="A166" s="116"/>
      <c r="C166" s="166"/>
      <c r="D166" s="118" t="str">
        <f>IF(FuturesTrades[Opened] &lt;&gt; "",IF(FuturesTrades[Closed] = "", TODAY(), FuturesTrades[Closed]) - FuturesTrades[Opened], "")</f>
        <v/>
      </c>
      <c r="E166" s="6"/>
      <c r="F166" s="6"/>
      <c r="G166" s="22"/>
      <c r="H166" s="117"/>
      <c r="I166" s="165"/>
      <c r="J166" s="165"/>
      <c r="K166" s="117"/>
      <c r="L166" s="117"/>
      <c r="M166" s="117">
        <f t="shared" si="1"/>
        <v>0</v>
      </c>
    </row>
    <row r="167" ht="22.5" customHeight="1">
      <c r="A167" s="116"/>
      <c r="C167" s="166"/>
      <c r="D167" s="118" t="str">
        <f>IF(FuturesTrades[Opened] &lt;&gt; "",IF(FuturesTrades[Closed] = "", TODAY(), FuturesTrades[Closed]) - FuturesTrades[Opened], "")</f>
        <v/>
      </c>
      <c r="E167" s="6"/>
      <c r="F167" s="6"/>
      <c r="G167" s="22"/>
      <c r="H167" s="117"/>
      <c r="I167" s="165"/>
      <c r="J167" s="165"/>
      <c r="K167" s="117"/>
      <c r="L167" s="117"/>
      <c r="M167" s="117">
        <f t="shared" si="1"/>
        <v>0</v>
      </c>
    </row>
    <row r="168" ht="22.5" customHeight="1">
      <c r="A168" s="116"/>
      <c r="C168" s="166"/>
      <c r="D168" s="118" t="str">
        <f>IF(FuturesTrades[Opened] &lt;&gt; "",IF(FuturesTrades[Closed] = "", TODAY(), FuturesTrades[Closed]) - FuturesTrades[Opened], "")</f>
        <v/>
      </c>
      <c r="E168" s="6"/>
      <c r="F168" s="6"/>
      <c r="G168" s="22"/>
      <c r="H168" s="117"/>
      <c r="I168" s="165"/>
      <c r="J168" s="165"/>
      <c r="K168" s="117"/>
      <c r="L168" s="117"/>
      <c r="M168" s="117">
        <f t="shared" si="1"/>
        <v>0</v>
      </c>
    </row>
    <row r="169" ht="22.5" customHeight="1">
      <c r="A169" s="116"/>
      <c r="C169" s="166"/>
      <c r="D169" s="118" t="str">
        <f>IF(FuturesTrades[Opened] &lt;&gt; "",IF(FuturesTrades[Closed] = "", TODAY(), FuturesTrades[Closed]) - FuturesTrades[Opened], "")</f>
        <v/>
      </c>
      <c r="E169" s="6"/>
      <c r="F169" s="6"/>
      <c r="G169" s="22"/>
      <c r="H169" s="117"/>
      <c r="I169" s="165"/>
      <c r="J169" s="165"/>
      <c r="K169" s="117"/>
      <c r="L169" s="117"/>
      <c r="M169" s="117">
        <f t="shared" si="1"/>
        <v>0</v>
      </c>
    </row>
    <row r="170" ht="22.5" customHeight="1">
      <c r="A170" s="116"/>
      <c r="C170" s="166"/>
      <c r="D170" s="118" t="str">
        <f>IF(FuturesTrades[Opened] &lt;&gt; "",IF(FuturesTrades[Closed] = "", TODAY(), FuturesTrades[Closed]) - FuturesTrades[Opened], "")</f>
        <v/>
      </c>
      <c r="E170" s="6"/>
      <c r="F170" s="6"/>
      <c r="G170" s="22"/>
      <c r="H170" s="117"/>
      <c r="I170" s="165"/>
      <c r="J170" s="165"/>
      <c r="K170" s="117"/>
      <c r="L170" s="117"/>
      <c r="M170" s="117">
        <f t="shared" si="1"/>
        <v>0</v>
      </c>
    </row>
    <row r="171" ht="22.5" customHeight="1">
      <c r="A171" s="116"/>
      <c r="C171" s="166"/>
      <c r="D171" s="118" t="str">
        <f>IF(FuturesTrades[Opened] &lt;&gt; "",IF(FuturesTrades[Closed] = "", TODAY(), FuturesTrades[Closed]) - FuturesTrades[Opened], "")</f>
        <v/>
      </c>
      <c r="E171" s="6"/>
      <c r="F171" s="6"/>
      <c r="G171" s="22"/>
      <c r="H171" s="117"/>
      <c r="I171" s="165"/>
      <c r="J171" s="165"/>
      <c r="K171" s="117"/>
      <c r="L171" s="117"/>
      <c r="M171" s="117">
        <f t="shared" si="1"/>
        <v>0</v>
      </c>
    </row>
    <row r="172" ht="22.5" customHeight="1">
      <c r="A172" s="116"/>
      <c r="C172" s="166"/>
      <c r="D172" s="118" t="str">
        <f>IF(FuturesTrades[Opened] &lt;&gt; "",IF(FuturesTrades[Closed] = "", TODAY(), FuturesTrades[Closed]) - FuturesTrades[Opened], "")</f>
        <v/>
      </c>
      <c r="E172" s="6"/>
      <c r="F172" s="6"/>
      <c r="G172" s="22"/>
      <c r="H172" s="117"/>
      <c r="I172" s="165"/>
      <c r="J172" s="165"/>
      <c r="K172" s="117"/>
      <c r="L172" s="117"/>
      <c r="M172" s="117">
        <f t="shared" si="1"/>
        <v>0</v>
      </c>
    </row>
    <row r="173" ht="22.5" customHeight="1">
      <c r="A173" s="116"/>
      <c r="C173" s="166"/>
      <c r="D173" s="118" t="str">
        <f>IF(FuturesTrades[Opened] &lt;&gt; "",IF(FuturesTrades[Closed] = "", TODAY(), FuturesTrades[Closed]) - FuturesTrades[Opened], "")</f>
        <v/>
      </c>
      <c r="E173" s="6"/>
      <c r="F173" s="6"/>
      <c r="G173" s="22"/>
      <c r="H173" s="117"/>
      <c r="I173" s="165"/>
      <c r="J173" s="165"/>
      <c r="K173" s="117"/>
      <c r="L173" s="117"/>
      <c r="M173" s="117">
        <f t="shared" si="1"/>
        <v>0</v>
      </c>
    </row>
    <row r="174" ht="22.5" customHeight="1">
      <c r="A174" s="116"/>
      <c r="C174" s="166"/>
      <c r="D174" s="118" t="str">
        <f>IF(FuturesTrades[Opened] &lt;&gt; "",IF(FuturesTrades[Closed] = "", TODAY(), FuturesTrades[Closed]) - FuturesTrades[Opened], "")</f>
        <v/>
      </c>
      <c r="E174" s="6"/>
      <c r="F174" s="6"/>
      <c r="G174" s="22"/>
      <c r="H174" s="117"/>
      <c r="I174" s="165"/>
      <c r="J174" s="165"/>
      <c r="K174" s="117"/>
      <c r="L174" s="117"/>
      <c r="M174" s="117">
        <f t="shared" si="1"/>
        <v>0</v>
      </c>
    </row>
    <row r="175" ht="22.5" customHeight="1">
      <c r="A175" s="116"/>
      <c r="C175" s="166"/>
      <c r="D175" s="118" t="str">
        <f>IF(FuturesTrades[Opened] &lt;&gt; "",IF(FuturesTrades[Closed] = "", TODAY(), FuturesTrades[Closed]) - FuturesTrades[Opened], "")</f>
        <v/>
      </c>
      <c r="E175" s="6"/>
      <c r="F175" s="6"/>
      <c r="G175" s="22"/>
      <c r="H175" s="117"/>
      <c r="I175" s="165"/>
      <c r="J175" s="165"/>
      <c r="K175" s="117"/>
      <c r="L175" s="117"/>
      <c r="M175" s="117">
        <f t="shared" si="1"/>
        <v>0</v>
      </c>
    </row>
    <row r="176" ht="22.5" customHeight="1">
      <c r="A176" s="116"/>
      <c r="C176" s="166"/>
      <c r="D176" s="118" t="str">
        <f>IF(FuturesTrades[Opened] &lt;&gt; "",IF(FuturesTrades[Closed] = "", TODAY(), FuturesTrades[Closed]) - FuturesTrades[Opened], "")</f>
        <v/>
      </c>
      <c r="E176" s="6"/>
      <c r="F176" s="6"/>
      <c r="G176" s="22"/>
      <c r="H176" s="117"/>
      <c r="I176" s="165"/>
      <c r="J176" s="165"/>
      <c r="K176" s="117"/>
      <c r="L176" s="117"/>
      <c r="M176" s="117">
        <f t="shared" si="1"/>
        <v>0</v>
      </c>
    </row>
    <row r="177" ht="22.5" customHeight="1">
      <c r="A177" s="116"/>
      <c r="C177" s="166"/>
      <c r="D177" s="118" t="str">
        <f>IF(FuturesTrades[Opened] &lt;&gt; "",IF(FuturesTrades[Closed] = "", TODAY(), FuturesTrades[Closed]) - FuturesTrades[Opened], "")</f>
        <v/>
      </c>
      <c r="E177" s="6"/>
      <c r="F177" s="6"/>
      <c r="G177" s="22"/>
      <c r="H177" s="117"/>
      <c r="I177" s="165"/>
      <c r="J177" s="165"/>
      <c r="K177" s="117"/>
      <c r="L177" s="117"/>
      <c r="M177" s="117">
        <f t="shared" si="1"/>
        <v>0</v>
      </c>
    </row>
    <row r="178" ht="22.5" customHeight="1">
      <c r="A178" s="116"/>
      <c r="C178" s="166"/>
      <c r="D178" s="118" t="str">
        <f>IF(FuturesTrades[Opened] &lt;&gt; "",IF(FuturesTrades[Closed] = "", TODAY(), FuturesTrades[Closed]) - FuturesTrades[Opened], "")</f>
        <v/>
      </c>
      <c r="E178" s="6"/>
      <c r="F178" s="6"/>
      <c r="G178" s="22"/>
      <c r="H178" s="117"/>
      <c r="I178" s="165"/>
      <c r="J178" s="165"/>
      <c r="K178" s="117"/>
      <c r="L178" s="117"/>
      <c r="M178" s="117">
        <f t="shared" si="1"/>
        <v>0</v>
      </c>
    </row>
    <row r="179" ht="22.5" customHeight="1">
      <c r="A179" s="116"/>
      <c r="C179" s="166"/>
      <c r="D179" s="118" t="str">
        <f>IF(FuturesTrades[Opened] &lt;&gt; "",IF(FuturesTrades[Closed] = "", TODAY(), FuturesTrades[Closed]) - FuturesTrades[Opened], "")</f>
        <v/>
      </c>
      <c r="E179" s="6"/>
      <c r="F179" s="6"/>
      <c r="G179" s="22"/>
      <c r="H179" s="117"/>
      <c r="I179" s="165"/>
      <c r="J179" s="165"/>
      <c r="K179" s="117"/>
      <c r="L179" s="117"/>
      <c r="M179" s="117">
        <f t="shared" si="1"/>
        <v>0</v>
      </c>
    </row>
    <row r="180" ht="22.5" customHeight="1">
      <c r="A180" s="116"/>
      <c r="C180" s="166"/>
      <c r="D180" s="118" t="str">
        <f>IF(FuturesTrades[Opened] &lt;&gt; "",IF(FuturesTrades[Closed] = "", TODAY(), FuturesTrades[Closed]) - FuturesTrades[Opened], "")</f>
        <v/>
      </c>
      <c r="E180" s="6"/>
      <c r="F180" s="6"/>
      <c r="G180" s="22"/>
      <c r="H180" s="117"/>
      <c r="I180" s="165"/>
      <c r="J180" s="165"/>
      <c r="K180" s="117"/>
      <c r="L180" s="117"/>
      <c r="M180" s="117">
        <f t="shared" si="1"/>
        <v>0</v>
      </c>
    </row>
    <row r="181" ht="22.5" customHeight="1">
      <c r="A181" s="116"/>
      <c r="C181" s="166"/>
      <c r="D181" s="118" t="str">
        <f>IF(FuturesTrades[Opened] &lt;&gt; "",IF(FuturesTrades[Closed] = "", TODAY(), FuturesTrades[Closed]) - FuturesTrades[Opened], "")</f>
        <v/>
      </c>
      <c r="E181" s="6"/>
      <c r="F181" s="6"/>
      <c r="G181" s="22"/>
      <c r="H181" s="117"/>
      <c r="I181" s="165"/>
      <c r="J181" s="165"/>
      <c r="K181" s="117"/>
      <c r="L181" s="117"/>
      <c r="M181" s="117">
        <f t="shared" si="1"/>
        <v>0</v>
      </c>
    </row>
    <row r="182" ht="22.5" customHeight="1">
      <c r="A182" s="116"/>
      <c r="C182" s="166"/>
      <c r="D182" s="118" t="str">
        <f>IF(FuturesTrades[Opened] &lt;&gt; "",IF(FuturesTrades[Closed] = "", TODAY(), FuturesTrades[Closed]) - FuturesTrades[Opened], "")</f>
        <v/>
      </c>
      <c r="E182" s="6"/>
      <c r="F182" s="6"/>
      <c r="G182" s="22"/>
      <c r="H182" s="117"/>
      <c r="I182" s="165"/>
      <c r="J182" s="165"/>
      <c r="K182" s="117"/>
      <c r="L182" s="117"/>
      <c r="M182" s="117">
        <f t="shared" si="1"/>
        <v>0</v>
      </c>
    </row>
    <row r="183" ht="22.5" customHeight="1">
      <c r="A183" s="116"/>
      <c r="C183" s="166"/>
      <c r="D183" s="118" t="str">
        <f>IF(FuturesTrades[Opened] &lt;&gt; "",IF(FuturesTrades[Closed] = "", TODAY(), FuturesTrades[Closed]) - FuturesTrades[Opened], "")</f>
        <v/>
      </c>
      <c r="E183" s="6"/>
      <c r="F183" s="6"/>
      <c r="G183" s="22"/>
      <c r="H183" s="117"/>
      <c r="I183" s="165"/>
      <c r="J183" s="165"/>
      <c r="K183" s="117"/>
      <c r="L183" s="117"/>
      <c r="M183" s="117">
        <f t="shared" si="1"/>
        <v>0</v>
      </c>
    </row>
    <row r="184" ht="22.5" customHeight="1">
      <c r="A184" s="116"/>
      <c r="C184" s="166"/>
      <c r="D184" s="118" t="str">
        <f>IF(FuturesTrades[Opened] &lt;&gt; "",IF(FuturesTrades[Closed] = "", TODAY(), FuturesTrades[Closed]) - FuturesTrades[Opened], "")</f>
        <v/>
      </c>
      <c r="E184" s="6"/>
      <c r="F184" s="6"/>
      <c r="G184" s="22"/>
      <c r="H184" s="117"/>
      <c r="I184" s="165"/>
      <c r="J184" s="165"/>
      <c r="K184" s="117"/>
      <c r="L184" s="117"/>
      <c r="M184" s="117">
        <f t="shared" si="1"/>
        <v>0</v>
      </c>
    </row>
    <row r="185" ht="22.5" customHeight="1">
      <c r="A185" s="116"/>
      <c r="C185" s="166"/>
      <c r="D185" s="118" t="str">
        <f>IF(FuturesTrades[Opened] &lt;&gt; "",IF(FuturesTrades[Closed] = "", TODAY(), FuturesTrades[Closed]) - FuturesTrades[Opened], "")</f>
        <v/>
      </c>
      <c r="E185" s="6"/>
      <c r="F185" s="6"/>
      <c r="G185" s="22"/>
      <c r="H185" s="117"/>
      <c r="I185" s="165"/>
      <c r="J185" s="165"/>
      <c r="K185" s="117"/>
      <c r="L185" s="117"/>
      <c r="M185" s="117">
        <f t="shared" si="1"/>
        <v>0</v>
      </c>
    </row>
    <row r="186" ht="22.5" customHeight="1">
      <c r="A186" s="116"/>
      <c r="C186" s="166"/>
      <c r="D186" s="118" t="str">
        <f>IF(FuturesTrades[Opened] &lt;&gt; "",IF(FuturesTrades[Closed] = "", TODAY(), FuturesTrades[Closed]) - FuturesTrades[Opened], "")</f>
        <v/>
      </c>
      <c r="E186" s="6"/>
      <c r="F186" s="6"/>
      <c r="G186" s="22"/>
      <c r="H186" s="117"/>
      <c r="I186" s="165"/>
      <c r="J186" s="165"/>
      <c r="K186" s="117"/>
      <c r="L186" s="117"/>
      <c r="M186" s="117">
        <f t="shared" si="1"/>
        <v>0</v>
      </c>
    </row>
    <row r="187" ht="22.5" customHeight="1">
      <c r="A187" s="116"/>
      <c r="C187" s="166"/>
      <c r="D187" s="118" t="str">
        <f>IF(FuturesTrades[Opened] &lt;&gt; "",IF(FuturesTrades[Closed] = "", TODAY(), FuturesTrades[Closed]) - FuturesTrades[Opened], "")</f>
        <v/>
      </c>
      <c r="E187" s="6"/>
      <c r="F187" s="6"/>
      <c r="G187" s="22"/>
      <c r="H187" s="117"/>
      <c r="I187" s="165"/>
      <c r="J187" s="165"/>
      <c r="K187" s="117"/>
      <c r="L187" s="117"/>
      <c r="M187" s="117">
        <f t="shared" si="1"/>
        <v>0</v>
      </c>
    </row>
    <row r="188" ht="22.5" customHeight="1">
      <c r="A188" s="116"/>
      <c r="C188" s="166"/>
      <c r="D188" s="118" t="str">
        <f>IF(FuturesTrades[Opened] &lt;&gt; "",IF(FuturesTrades[Closed] = "", TODAY(), FuturesTrades[Closed]) - FuturesTrades[Opened], "")</f>
        <v/>
      </c>
      <c r="E188" s="6"/>
      <c r="F188" s="6"/>
      <c r="G188" s="22"/>
      <c r="H188" s="117"/>
      <c r="I188" s="165"/>
      <c r="J188" s="165"/>
      <c r="K188" s="117"/>
      <c r="L188" s="117"/>
      <c r="M188" s="117">
        <f t="shared" si="1"/>
        <v>0</v>
      </c>
    </row>
    <row r="189" ht="22.5" customHeight="1">
      <c r="A189" s="116"/>
      <c r="C189" s="166"/>
      <c r="D189" s="118" t="str">
        <f>IF(FuturesTrades[Opened] &lt;&gt; "",IF(FuturesTrades[Closed] = "", TODAY(), FuturesTrades[Closed]) - FuturesTrades[Opened], "")</f>
        <v/>
      </c>
      <c r="E189" s="6"/>
      <c r="F189" s="6"/>
      <c r="G189" s="22"/>
      <c r="H189" s="117"/>
      <c r="I189" s="165"/>
      <c r="J189" s="165"/>
      <c r="K189" s="117"/>
      <c r="L189" s="117"/>
      <c r="M189" s="117">
        <f t="shared" si="1"/>
        <v>0</v>
      </c>
    </row>
    <row r="190" ht="22.5" customHeight="1">
      <c r="A190" s="116"/>
      <c r="C190" s="166"/>
      <c r="D190" s="118" t="str">
        <f>IF(FuturesTrades[Opened] &lt;&gt; "",IF(FuturesTrades[Closed] = "", TODAY(), FuturesTrades[Closed]) - FuturesTrades[Opened], "")</f>
        <v/>
      </c>
      <c r="E190" s="6"/>
      <c r="F190" s="6"/>
      <c r="G190" s="22"/>
      <c r="H190" s="117"/>
      <c r="I190" s="165"/>
      <c r="J190" s="165"/>
      <c r="K190" s="117"/>
      <c r="L190" s="117"/>
      <c r="M190" s="117">
        <f t="shared" si="1"/>
        <v>0</v>
      </c>
    </row>
    <row r="191" ht="22.5" customHeight="1">
      <c r="A191" s="116"/>
      <c r="C191" s="166"/>
      <c r="D191" s="118" t="str">
        <f>IF(FuturesTrades[Opened] &lt;&gt; "",IF(FuturesTrades[Closed] = "", TODAY(), FuturesTrades[Closed]) - FuturesTrades[Opened], "")</f>
        <v/>
      </c>
      <c r="E191" s="6"/>
      <c r="F191" s="6"/>
      <c r="G191" s="22"/>
      <c r="H191" s="117"/>
      <c r="I191" s="165"/>
      <c r="J191" s="165"/>
      <c r="K191" s="117"/>
      <c r="L191" s="117"/>
      <c r="M191" s="117">
        <f t="shared" si="1"/>
        <v>0</v>
      </c>
    </row>
    <row r="192" ht="22.5" customHeight="1">
      <c r="A192" s="116"/>
      <c r="C192" s="166"/>
      <c r="D192" s="118" t="str">
        <f>IF(FuturesTrades[Opened] &lt;&gt; "",IF(FuturesTrades[Closed] = "", TODAY(), FuturesTrades[Closed]) - FuturesTrades[Opened], "")</f>
        <v/>
      </c>
      <c r="E192" s="6"/>
      <c r="F192" s="6"/>
      <c r="G192" s="22"/>
      <c r="H192" s="117"/>
      <c r="I192" s="165"/>
      <c r="J192" s="165"/>
      <c r="K192" s="117"/>
      <c r="L192" s="117"/>
      <c r="M192" s="117">
        <f t="shared" si="1"/>
        <v>0</v>
      </c>
    </row>
    <row r="193" ht="22.5" customHeight="1">
      <c r="A193" s="116"/>
      <c r="C193" s="166"/>
      <c r="D193" s="118" t="str">
        <f>IF(FuturesTrades[Opened] &lt;&gt; "",IF(FuturesTrades[Closed] = "", TODAY(), FuturesTrades[Closed]) - FuturesTrades[Opened], "")</f>
        <v/>
      </c>
      <c r="E193" s="6"/>
      <c r="F193" s="6"/>
      <c r="G193" s="22"/>
      <c r="H193" s="117"/>
      <c r="I193" s="165"/>
      <c r="J193" s="165"/>
      <c r="K193" s="117"/>
      <c r="L193" s="117"/>
      <c r="M193" s="117">
        <f t="shared" si="1"/>
        <v>0</v>
      </c>
    </row>
    <row r="194" ht="22.5" customHeight="1">
      <c r="A194" s="116"/>
      <c r="C194" s="166"/>
      <c r="D194" s="118" t="str">
        <f>IF(FuturesTrades[Opened] &lt;&gt; "",IF(FuturesTrades[Closed] = "", TODAY(), FuturesTrades[Closed]) - FuturesTrades[Opened], "")</f>
        <v/>
      </c>
      <c r="E194" s="6"/>
      <c r="F194" s="6"/>
      <c r="G194" s="22"/>
      <c r="H194" s="117"/>
      <c r="I194" s="165"/>
      <c r="J194" s="165"/>
      <c r="K194" s="117"/>
      <c r="L194" s="117"/>
      <c r="M194" s="117">
        <f t="shared" si="1"/>
        <v>0</v>
      </c>
    </row>
    <row r="195" ht="22.5" customHeight="1">
      <c r="A195" s="116"/>
      <c r="C195" s="166"/>
      <c r="D195" s="118" t="str">
        <f>IF(FuturesTrades[Opened] &lt;&gt; "",IF(FuturesTrades[Closed] = "", TODAY(), FuturesTrades[Closed]) - FuturesTrades[Opened], "")</f>
        <v/>
      </c>
      <c r="E195" s="6"/>
      <c r="F195" s="6"/>
      <c r="G195" s="22"/>
      <c r="H195" s="117"/>
      <c r="I195" s="165"/>
      <c r="J195" s="165"/>
      <c r="K195" s="117"/>
      <c r="L195" s="117"/>
      <c r="M195" s="117">
        <f t="shared" si="1"/>
        <v>0</v>
      </c>
    </row>
    <row r="196" ht="22.5" customHeight="1">
      <c r="A196" s="116"/>
      <c r="C196" s="166"/>
      <c r="D196" s="118" t="str">
        <f>IF(FuturesTrades[Opened] &lt;&gt; "",IF(FuturesTrades[Closed] = "", TODAY(), FuturesTrades[Closed]) - FuturesTrades[Opened], "")</f>
        <v/>
      </c>
      <c r="E196" s="6"/>
      <c r="F196" s="6"/>
      <c r="G196" s="22"/>
      <c r="H196" s="117"/>
      <c r="I196" s="165"/>
      <c r="J196" s="165"/>
      <c r="K196" s="117"/>
      <c r="L196" s="117"/>
      <c r="M196" s="117">
        <f t="shared" si="1"/>
        <v>0</v>
      </c>
    </row>
    <row r="197" ht="22.5" customHeight="1">
      <c r="A197" s="116"/>
      <c r="C197" s="166"/>
      <c r="D197" s="118" t="str">
        <f>IF(FuturesTrades[Opened] &lt;&gt; "",IF(FuturesTrades[Closed] = "", TODAY(), FuturesTrades[Closed]) - FuturesTrades[Opened], "")</f>
        <v/>
      </c>
      <c r="E197" s="6"/>
      <c r="F197" s="6"/>
      <c r="G197" s="22"/>
      <c r="H197" s="117"/>
      <c r="I197" s="165"/>
      <c r="J197" s="165"/>
      <c r="K197" s="117"/>
      <c r="L197" s="117"/>
      <c r="M197" s="117">
        <f t="shared" si="1"/>
        <v>0</v>
      </c>
    </row>
    <row r="198" ht="22.5" customHeight="1">
      <c r="A198" s="116"/>
      <c r="C198" s="166"/>
      <c r="D198" s="118" t="str">
        <f>IF(FuturesTrades[Opened] &lt;&gt; "",IF(FuturesTrades[Closed] = "", TODAY(), FuturesTrades[Closed]) - FuturesTrades[Opened], "")</f>
        <v/>
      </c>
      <c r="E198" s="6"/>
      <c r="F198" s="6"/>
      <c r="G198" s="22"/>
      <c r="H198" s="117"/>
      <c r="I198" s="165"/>
      <c r="J198" s="165"/>
      <c r="K198" s="117"/>
      <c r="L198" s="117"/>
      <c r="M198" s="117">
        <f t="shared" si="1"/>
        <v>0</v>
      </c>
    </row>
    <row r="199" ht="22.5" customHeight="1">
      <c r="A199" s="116"/>
      <c r="C199" s="166"/>
      <c r="D199" s="118" t="str">
        <f>IF(FuturesTrades[Opened] &lt;&gt; "",IF(FuturesTrades[Closed] = "", TODAY(), FuturesTrades[Closed]) - FuturesTrades[Opened], "")</f>
        <v/>
      </c>
      <c r="E199" s="6"/>
      <c r="F199" s="6"/>
      <c r="G199" s="22"/>
      <c r="H199" s="117"/>
      <c r="I199" s="165"/>
      <c r="J199" s="165"/>
      <c r="K199" s="117"/>
      <c r="L199" s="117"/>
      <c r="M199" s="117">
        <f t="shared" si="1"/>
        <v>0</v>
      </c>
    </row>
    <row r="200" ht="22.5" customHeight="1">
      <c r="A200" s="116"/>
      <c r="C200" s="166"/>
      <c r="D200" s="118" t="str">
        <f>IF(FuturesTrades[Opened] &lt;&gt; "",IF(FuturesTrades[Closed] = "", TODAY(), FuturesTrades[Closed]) - FuturesTrades[Opened], "")</f>
        <v/>
      </c>
      <c r="E200" s="6"/>
      <c r="F200" s="6"/>
      <c r="G200" s="22"/>
      <c r="H200" s="117"/>
      <c r="I200" s="165"/>
      <c r="J200" s="165"/>
      <c r="K200" s="117"/>
      <c r="L200" s="117"/>
      <c r="M200" s="117">
        <f t="shared" si="1"/>
        <v>0</v>
      </c>
    </row>
    <row r="201" ht="22.5" customHeight="1">
      <c r="A201" s="116"/>
      <c r="C201" s="166"/>
      <c r="D201" s="118" t="str">
        <f>IF(FuturesTrades[Opened] &lt;&gt; "",IF(FuturesTrades[Closed] = "", TODAY(), FuturesTrades[Closed]) - FuturesTrades[Opened], "")</f>
        <v/>
      </c>
      <c r="E201" s="6"/>
      <c r="F201" s="6"/>
      <c r="G201" s="22"/>
      <c r="H201" s="117"/>
      <c r="I201" s="165"/>
      <c r="J201" s="165"/>
      <c r="K201" s="117"/>
      <c r="L201" s="117"/>
      <c r="M201" s="117">
        <f t="shared" si="1"/>
        <v>0</v>
      </c>
    </row>
    <row r="202" ht="22.5" customHeight="1">
      <c r="A202" s="116"/>
      <c r="C202" s="166"/>
      <c r="D202" s="118" t="str">
        <f>IF(FuturesTrades[Opened] &lt;&gt; "",IF(FuturesTrades[Closed] = "", TODAY(), FuturesTrades[Closed]) - FuturesTrades[Opened], "")</f>
        <v/>
      </c>
      <c r="E202" s="6"/>
      <c r="F202" s="6"/>
      <c r="G202" s="22"/>
      <c r="H202" s="117"/>
      <c r="I202" s="165"/>
      <c r="J202" s="165"/>
      <c r="K202" s="117"/>
      <c r="L202" s="117"/>
      <c r="M202" s="117">
        <f t="shared" si="1"/>
        <v>0</v>
      </c>
    </row>
    <row r="203" ht="22.5" customHeight="1">
      <c r="A203" s="116"/>
      <c r="C203" s="166"/>
      <c r="D203" s="118" t="str">
        <f>IF(FuturesTrades[Opened] &lt;&gt; "",IF(FuturesTrades[Closed] = "", TODAY(), FuturesTrades[Closed]) - FuturesTrades[Opened], "")</f>
        <v/>
      </c>
      <c r="E203" s="6"/>
      <c r="F203" s="6"/>
      <c r="G203" s="22"/>
      <c r="H203" s="117"/>
      <c r="I203" s="165"/>
      <c r="J203" s="165"/>
      <c r="K203" s="117"/>
      <c r="L203" s="117"/>
      <c r="M203" s="117">
        <f t="shared" si="1"/>
        <v>0</v>
      </c>
    </row>
    <row r="204" ht="22.5" customHeight="1">
      <c r="A204" s="116"/>
      <c r="C204" s="166"/>
      <c r="D204" s="118" t="str">
        <f>IF(FuturesTrades[Opened] &lt;&gt; "",IF(FuturesTrades[Closed] = "", TODAY(), FuturesTrades[Closed]) - FuturesTrades[Opened], "")</f>
        <v/>
      </c>
      <c r="E204" s="6"/>
      <c r="F204" s="6"/>
      <c r="G204" s="22"/>
      <c r="H204" s="117"/>
      <c r="I204" s="165"/>
      <c r="J204" s="165"/>
      <c r="K204" s="117"/>
      <c r="L204" s="117"/>
      <c r="M204" s="117">
        <f t="shared" si="1"/>
        <v>0</v>
      </c>
    </row>
    <row r="205" ht="22.5" customHeight="1">
      <c r="A205" s="116"/>
      <c r="C205" s="166"/>
      <c r="D205" s="118" t="str">
        <f>IF(FuturesTrades[Opened] &lt;&gt; "",IF(FuturesTrades[Closed] = "", TODAY(), FuturesTrades[Closed]) - FuturesTrades[Opened], "")</f>
        <v/>
      </c>
      <c r="E205" s="6"/>
      <c r="F205" s="6"/>
      <c r="G205" s="22"/>
      <c r="H205" s="117"/>
      <c r="I205" s="165"/>
      <c r="J205" s="165"/>
      <c r="K205" s="117"/>
      <c r="L205" s="117"/>
      <c r="M205" s="117">
        <f t="shared" si="1"/>
        <v>0</v>
      </c>
    </row>
    <row r="206" ht="22.5" customHeight="1">
      <c r="A206" s="116"/>
      <c r="C206" s="166"/>
      <c r="D206" s="118" t="str">
        <f>IF(FuturesTrades[Opened] &lt;&gt; "",IF(FuturesTrades[Closed] = "", TODAY(), FuturesTrades[Closed]) - FuturesTrades[Opened], "")</f>
        <v/>
      </c>
      <c r="E206" s="6"/>
      <c r="F206" s="6"/>
      <c r="G206" s="22"/>
      <c r="H206" s="117"/>
      <c r="I206" s="165"/>
      <c r="J206" s="165"/>
      <c r="K206" s="117"/>
      <c r="L206" s="117"/>
      <c r="M206" s="117">
        <f t="shared" si="1"/>
        <v>0</v>
      </c>
    </row>
    <row r="207" ht="22.5" customHeight="1">
      <c r="A207" s="116"/>
      <c r="C207" s="166"/>
      <c r="D207" s="118" t="str">
        <f>IF(FuturesTrades[Opened] &lt;&gt; "",IF(FuturesTrades[Closed] = "", TODAY(), FuturesTrades[Closed]) - FuturesTrades[Opened], "")</f>
        <v/>
      </c>
      <c r="E207" s="6"/>
      <c r="F207" s="6"/>
      <c r="G207" s="22"/>
      <c r="H207" s="117"/>
      <c r="I207" s="165"/>
      <c r="J207" s="165"/>
      <c r="K207" s="117"/>
      <c r="L207" s="117"/>
      <c r="M207" s="117">
        <f t="shared" si="1"/>
        <v>0</v>
      </c>
    </row>
    <row r="208" ht="22.5" customHeight="1">
      <c r="A208" s="116"/>
      <c r="C208" s="166"/>
      <c r="D208" s="118" t="str">
        <f>IF(FuturesTrades[Opened] &lt;&gt; "",IF(FuturesTrades[Closed] = "", TODAY(), FuturesTrades[Closed]) - FuturesTrades[Opened], "")</f>
        <v/>
      </c>
      <c r="E208" s="6"/>
      <c r="F208" s="6"/>
      <c r="G208" s="22"/>
      <c r="H208" s="117"/>
      <c r="I208" s="165"/>
      <c r="J208" s="165"/>
      <c r="K208" s="117"/>
      <c r="L208" s="117"/>
      <c r="M208" s="117">
        <f t="shared" si="1"/>
        <v>0</v>
      </c>
    </row>
    <row r="209" ht="22.5" customHeight="1">
      <c r="A209" s="116"/>
      <c r="C209" s="166"/>
      <c r="D209" s="118" t="str">
        <f>IF(FuturesTrades[Opened] &lt;&gt; "",IF(FuturesTrades[Closed] = "", TODAY(), FuturesTrades[Closed]) - FuturesTrades[Opened], "")</f>
        <v/>
      </c>
      <c r="E209" s="6"/>
      <c r="F209" s="6"/>
      <c r="G209" s="22"/>
      <c r="H209" s="117"/>
      <c r="I209" s="165"/>
      <c r="J209" s="165"/>
      <c r="K209" s="117"/>
      <c r="L209" s="117"/>
      <c r="M209" s="117">
        <f t="shared" si="1"/>
        <v>0</v>
      </c>
    </row>
    <row r="210" ht="22.5" customHeight="1">
      <c r="A210" s="116"/>
      <c r="C210" s="166"/>
      <c r="D210" s="118" t="str">
        <f>IF(FuturesTrades[Opened] &lt;&gt; "",IF(FuturesTrades[Closed] = "", TODAY(), FuturesTrades[Closed]) - FuturesTrades[Opened], "")</f>
        <v/>
      </c>
      <c r="E210" s="6"/>
      <c r="F210" s="6"/>
      <c r="G210" s="22"/>
      <c r="H210" s="117"/>
      <c r="I210" s="165"/>
      <c r="J210" s="165"/>
      <c r="K210" s="117"/>
      <c r="L210" s="117"/>
      <c r="M210" s="117">
        <f t="shared" si="1"/>
        <v>0</v>
      </c>
    </row>
    <row r="211" ht="22.5" customHeight="1">
      <c r="A211" s="116"/>
      <c r="C211" s="166"/>
      <c r="D211" s="118" t="str">
        <f>IF(FuturesTrades[Opened] &lt;&gt; "",IF(FuturesTrades[Closed] = "", TODAY(), FuturesTrades[Closed]) - FuturesTrades[Opened], "")</f>
        <v/>
      </c>
      <c r="E211" s="6"/>
      <c r="F211" s="6"/>
      <c r="G211" s="22"/>
      <c r="H211" s="117"/>
      <c r="I211" s="165"/>
      <c r="J211" s="165"/>
      <c r="K211" s="117"/>
      <c r="L211" s="117"/>
      <c r="M211" s="117">
        <f t="shared" si="1"/>
        <v>0</v>
      </c>
    </row>
    <row r="212" ht="22.5" customHeight="1">
      <c r="A212" s="116"/>
      <c r="C212" s="166"/>
      <c r="D212" s="118" t="str">
        <f>IF(FuturesTrades[Opened] &lt;&gt; "",IF(FuturesTrades[Closed] = "", TODAY(), FuturesTrades[Closed]) - FuturesTrades[Opened], "")</f>
        <v/>
      </c>
      <c r="E212" s="6"/>
      <c r="F212" s="6"/>
      <c r="G212" s="22"/>
      <c r="H212" s="117"/>
      <c r="I212" s="165"/>
      <c r="J212" s="165"/>
      <c r="K212" s="117"/>
      <c r="L212" s="117"/>
      <c r="M212" s="117">
        <f t="shared" si="1"/>
        <v>0</v>
      </c>
    </row>
    <row r="213" ht="22.5" customHeight="1">
      <c r="A213" s="116"/>
      <c r="C213" s="166"/>
      <c r="D213" s="118" t="str">
        <f>IF(FuturesTrades[Opened] &lt;&gt; "",IF(FuturesTrades[Closed] = "", TODAY(), FuturesTrades[Closed]) - FuturesTrades[Opened], "")</f>
        <v/>
      </c>
      <c r="E213" s="6"/>
      <c r="F213" s="6"/>
      <c r="G213" s="22"/>
      <c r="H213" s="117"/>
      <c r="I213" s="165"/>
      <c r="J213" s="165"/>
      <c r="K213" s="117"/>
      <c r="L213" s="117"/>
      <c r="M213" s="117">
        <f t="shared" si="1"/>
        <v>0</v>
      </c>
    </row>
    <row r="214" ht="22.5" customHeight="1">
      <c r="A214" s="116"/>
      <c r="C214" s="166"/>
      <c r="D214" s="118" t="str">
        <f>IF(FuturesTrades[Opened] &lt;&gt; "",IF(FuturesTrades[Closed] = "", TODAY(), FuturesTrades[Closed]) - FuturesTrades[Opened], "")</f>
        <v/>
      </c>
      <c r="E214" s="6"/>
      <c r="F214" s="6"/>
      <c r="G214" s="22"/>
      <c r="H214" s="117"/>
      <c r="I214" s="165"/>
      <c r="J214" s="165"/>
      <c r="K214" s="117"/>
      <c r="L214" s="117"/>
      <c r="M214" s="117">
        <f t="shared" si="1"/>
        <v>0</v>
      </c>
    </row>
    <row r="215" ht="22.5" customHeight="1">
      <c r="A215" s="116"/>
      <c r="C215" s="166"/>
      <c r="D215" s="118" t="str">
        <f>IF(FuturesTrades[Opened] &lt;&gt; "",IF(FuturesTrades[Closed] = "", TODAY(), FuturesTrades[Closed]) - FuturesTrades[Opened], "")</f>
        <v/>
      </c>
      <c r="E215" s="6"/>
      <c r="F215" s="6"/>
      <c r="G215" s="22"/>
      <c r="H215" s="117"/>
      <c r="I215" s="165"/>
      <c r="J215" s="165"/>
      <c r="K215" s="117"/>
      <c r="L215" s="117"/>
      <c r="M215" s="117">
        <f t="shared" si="1"/>
        <v>0</v>
      </c>
    </row>
    <row r="216" ht="22.5" customHeight="1">
      <c r="A216" s="116"/>
      <c r="C216" s="166"/>
      <c r="D216" s="118" t="str">
        <f>IF(FuturesTrades[Opened] &lt;&gt; "",IF(FuturesTrades[Closed] = "", TODAY(), FuturesTrades[Closed]) - FuturesTrades[Opened], "")</f>
        <v/>
      </c>
      <c r="E216" s="6"/>
      <c r="F216" s="6"/>
      <c r="G216" s="22"/>
      <c r="H216" s="117"/>
      <c r="I216" s="165"/>
      <c r="J216" s="165"/>
      <c r="K216" s="117"/>
      <c r="L216" s="117"/>
      <c r="M216" s="117">
        <f t="shared" si="1"/>
        <v>0</v>
      </c>
    </row>
    <row r="217" ht="22.5" customHeight="1">
      <c r="A217" s="116"/>
      <c r="C217" s="166"/>
      <c r="D217" s="118" t="str">
        <f>IF(FuturesTrades[Opened] &lt;&gt; "",IF(FuturesTrades[Closed] = "", TODAY(), FuturesTrades[Closed]) - FuturesTrades[Opened], "")</f>
        <v/>
      </c>
      <c r="E217" s="6"/>
      <c r="F217" s="6"/>
      <c r="G217" s="22"/>
      <c r="H217" s="117"/>
      <c r="I217" s="165"/>
      <c r="J217" s="165"/>
      <c r="K217" s="117"/>
      <c r="L217" s="117"/>
      <c r="M217" s="117">
        <f t="shared" si="1"/>
        <v>0</v>
      </c>
    </row>
    <row r="218" ht="22.5" customHeight="1">
      <c r="A218" s="116"/>
      <c r="C218" s="166"/>
      <c r="D218" s="118" t="str">
        <f>IF(FuturesTrades[Opened] &lt;&gt; "",IF(FuturesTrades[Closed] = "", TODAY(), FuturesTrades[Closed]) - FuturesTrades[Opened], "")</f>
        <v/>
      </c>
      <c r="E218" s="6"/>
      <c r="F218" s="6"/>
      <c r="G218" s="22"/>
      <c r="H218" s="117"/>
      <c r="I218" s="165"/>
      <c r="J218" s="165"/>
      <c r="K218" s="117"/>
      <c r="L218" s="117"/>
      <c r="M218" s="117">
        <f t="shared" si="1"/>
        <v>0</v>
      </c>
    </row>
    <row r="219" ht="22.5" customHeight="1">
      <c r="A219" s="116"/>
      <c r="C219" s="166"/>
      <c r="D219" s="118" t="str">
        <f>IF(FuturesTrades[Opened] &lt;&gt; "",IF(FuturesTrades[Closed] = "", TODAY(), FuturesTrades[Closed]) - FuturesTrades[Opened], "")</f>
        <v/>
      </c>
      <c r="E219" s="6"/>
      <c r="F219" s="6"/>
      <c r="G219" s="22"/>
      <c r="H219" s="117"/>
      <c r="I219" s="165"/>
      <c r="J219" s="165"/>
      <c r="K219" s="117"/>
      <c r="L219" s="117"/>
      <c r="M219" s="117">
        <f t="shared" si="1"/>
        <v>0</v>
      </c>
    </row>
    <row r="220" ht="22.5" customHeight="1">
      <c r="A220" s="116"/>
      <c r="C220" s="166"/>
      <c r="D220" s="118" t="str">
        <f>IF(FuturesTrades[Opened] &lt;&gt; "",IF(FuturesTrades[Closed] = "", TODAY(), FuturesTrades[Closed]) - FuturesTrades[Opened], "")</f>
        <v/>
      </c>
      <c r="E220" s="6"/>
      <c r="F220" s="6"/>
      <c r="G220" s="22"/>
      <c r="H220" s="117"/>
      <c r="I220" s="165"/>
      <c r="J220" s="165"/>
      <c r="K220" s="117"/>
      <c r="L220" s="117"/>
      <c r="M220" s="117">
        <f t="shared" si="1"/>
        <v>0</v>
      </c>
    </row>
    <row r="221" ht="22.5" customHeight="1">
      <c r="A221" s="116"/>
      <c r="C221" s="166"/>
      <c r="D221" s="118" t="str">
        <f>IF(FuturesTrades[Opened] &lt;&gt; "",IF(FuturesTrades[Closed] = "", TODAY(), FuturesTrades[Closed]) - FuturesTrades[Opened], "")</f>
        <v/>
      </c>
      <c r="E221" s="6"/>
      <c r="F221" s="6"/>
      <c r="G221" s="22"/>
      <c r="H221" s="117"/>
      <c r="I221" s="165"/>
      <c r="J221" s="165"/>
      <c r="K221" s="117"/>
      <c r="L221" s="117"/>
      <c r="M221" s="117">
        <f t="shared" si="1"/>
        <v>0</v>
      </c>
    </row>
    <row r="222" ht="22.5" customHeight="1">
      <c r="A222" s="116"/>
      <c r="C222" s="166"/>
      <c r="D222" s="118" t="str">
        <f>IF(FuturesTrades[Opened] &lt;&gt; "",IF(FuturesTrades[Closed] = "", TODAY(), FuturesTrades[Closed]) - FuturesTrades[Opened], "")</f>
        <v/>
      </c>
      <c r="E222" s="6"/>
      <c r="F222" s="6"/>
      <c r="G222" s="22"/>
      <c r="H222" s="117"/>
      <c r="I222" s="165"/>
      <c r="J222" s="165"/>
      <c r="K222" s="117"/>
      <c r="L222" s="117"/>
      <c r="M222" s="117">
        <f t="shared" si="1"/>
        <v>0</v>
      </c>
    </row>
    <row r="223" ht="22.5" customHeight="1">
      <c r="A223" s="116"/>
      <c r="C223" s="166"/>
      <c r="D223" s="118" t="str">
        <f>IF(FuturesTrades[Opened] &lt;&gt; "",IF(FuturesTrades[Closed] = "", TODAY(), FuturesTrades[Closed]) - FuturesTrades[Opened], "")</f>
        <v/>
      </c>
      <c r="E223" s="6"/>
      <c r="F223" s="6"/>
      <c r="G223" s="22"/>
      <c r="H223" s="117"/>
      <c r="I223" s="165"/>
      <c r="J223" s="165"/>
      <c r="K223" s="117"/>
      <c r="L223" s="117"/>
      <c r="M223" s="117">
        <f t="shared" si="1"/>
        <v>0</v>
      </c>
    </row>
    <row r="224" ht="22.5" customHeight="1">
      <c r="A224" s="116"/>
      <c r="C224" s="166"/>
      <c r="D224" s="118" t="str">
        <f>IF(FuturesTrades[Opened] &lt;&gt; "",IF(FuturesTrades[Closed] = "", TODAY(), FuturesTrades[Closed]) - FuturesTrades[Opened], "")</f>
        <v/>
      </c>
      <c r="E224" s="6"/>
      <c r="F224" s="6"/>
      <c r="G224" s="22"/>
      <c r="H224" s="117"/>
      <c r="I224" s="165"/>
      <c r="J224" s="165"/>
      <c r="K224" s="117"/>
      <c r="L224" s="117"/>
      <c r="M224" s="117">
        <f t="shared" si="1"/>
        <v>0</v>
      </c>
    </row>
    <row r="225" ht="22.5" customHeight="1">
      <c r="A225" s="116"/>
      <c r="C225" s="166"/>
      <c r="D225" s="118" t="str">
        <f>IF(FuturesTrades[Opened] &lt;&gt; "",IF(FuturesTrades[Closed] = "", TODAY(), FuturesTrades[Closed]) - FuturesTrades[Opened], "")</f>
        <v/>
      </c>
      <c r="E225" s="6"/>
      <c r="F225" s="6"/>
      <c r="G225" s="22"/>
      <c r="H225" s="117"/>
      <c r="I225" s="165"/>
      <c r="J225" s="165"/>
      <c r="K225" s="117"/>
      <c r="L225" s="117"/>
      <c r="M225" s="117">
        <f t="shared" si="1"/>
        <v>0</v>
      </c>
    </row>
    <row r="226" ht="22.5" customHeight="1">
      <c r="A226" s="116"/>
      <c r="C226" s="166"/>
      <c r="D226" s="118" t="str">
        <f>IF(FuturesTrades[Opened] &lt;&gt; "",IF(FuturesTrades[Closed] = "", TODAY(), FuturesTrades[Closed]) - FuturesTrades[Opened], "")</f>
        <v/>
      </c>
      <c r="E226" s="6"/>
      <c r="F226" s="6"/>
      <c r="G226" s="22"/>
      <c r="H226" s="117"/>
      <c r="I226" s="165"/>
      <c r="J226" s="165"/>
      <c r="K226" s="117"/>
      <c r="L226" s="117"/>
      <c r="M226" s="117">
        <f t="shared" si="1"/>
        <v>0</v>
      </c>
    </row>
    <row r="227" ht="22.5" customHeight="1">
      <c r="A227" s="116"/>
      <c r="C227" s="166"/>
      <c r="D227" s="118" t="str">
        <f>IF(FuturesTrades[Opened] &lt;&gt; "",IF(FuturesTrades[Closed] = "", TODAY(), FuturesTrades[Closed]) - FuturesTrades[Opened], "")</f>
        <v/>
      </c>
      <c r="E227" s="6"/>
      <c r="F227" s="6"/>
      <c r="G227" s="22"/>
      <c r="H227" s="117"/>
      <c r="I227" s="165"/>
      <c r="J227" s="165"/>
      <c r="K227" s="117"/>
      <c r="L227" s="117"/>
      <c r="M227" s="117">
        <f t="shared" si="1"/>
        <v>0</v>
      </c>
    </row>
    <row r="228" ht="22.5" customHeight="1">
      <c r="A228" s="116"/>
      <c r="C228" s="166"/>
      <c r="D228" s="118" t="str">
        <f>IF(FuturesTrades[Opened] &lt;&gt; "",IF(FuturesTrades[Closed] = "", TODAY(), FuturesTrades[Closed]) - FuturesTrades[Opened], "")</f>
        <v/>
      </c>
      <c r="E228" s="6"/>
      <c r="F228" s="6"/>
      <c r="G228" s="22"/>
      <c r="H228" s="117"/>
      <c r="I228" s="165"/>
      <c r="J228" s="165"/>
      <c r="K228" s="117"/>
      <c r="L228" s="117"/>
      <c r="M228" s="117">
        <f t="shared" si="1"/>
        <v>0</v>
      </c>
    </row>
    <row r="229" ht="22.5" customHeight="1">
      <c r="A229" s="116"/>
      <c r="C229" s="166"/>
      <c r="D229" s="118" t="str">
        <f>IF(FuturesTrades[Opened] &lt;&gt; "",IF(FuturesTrades[Closed] = "", TODAY(), FuturesTrades[Closed]) - FuturesTrades[Opened], "")</f>
        <v/>
      </c>
      <c r="E229" s="6"/>
      <c r="F229" s="6"/>
      <c r="G229" s="22"/>
      <c r="H229" s="117"/>
      <c r="I229" s="165"/>
      <c r="J229" s="165"/>
      <c r="K229" s="117"/>
      <c r="L229" s="117"/>
      <c r="M229" s="117">
        <f t="shared" si="1"/>
        <v>0</v>
      </c>
    </row>
    <row r="230" ht="22.5" customHeight="1">
      <c r="A230" s="116"/>
      <c r="C230" s="166"/>
      <c r="D230" s="118" t="str">
        <f>IF(FuturesTrades[Opened] &lt;&gt; "",IF(FuturesTrades[Closed] = "", TODAY(), FuturesTrades[Closed]) - FuturesTrades[Opened], "")</f>
        <v/>
      </c>
      <c r="E230" s="6"/>
      <c r="F230" s="6"/>
      <c r="G230" s="22"/>
      <c r="H230" s="117"/>
      <c r="I230" s="165"/>
      <c r="J230" s="165"/>
      <c r="K230" s="117"/>
      <c r="L230" s="117"/>
      <c r="M230" s="117">
        <f t="shared" si="1"/>
        <v>0</v>
      </c>
    </row>
    <row r="231" ht="22.5" customHeight="1">
      <c r="A231" s="116"/>
      <c r="C231" s="166"/>
      <c r="D231" s="118" t="str">
        <f>IF(FuturesTrades[Opened] &lt;&gt; "",IF(FuturesTrades[Closed] = "", TODAY(), FuturesTrades[Closed]) - FuturesTrades[Opened], "")</f>
        <v/>
      </c>
      <c r="E231" s="6"/>
      <c r="F231" s="6"/>
      <c r="G231" s="22"/>
      <c r="H231" s="117"/>
      <c r="I231" s="165"/>
      <c r="J231" s="165"/>
      <c r="K231" s="117"/>
      <c r="L231" s="117"/>
      <c r="M231" s="117">
        <f t="shared" si="1"/>
        <v>0</v>
      </c>
    </row>
    <row r="232" ht="22.5" customHeight="1">
      <c r="A232" s="116"/>
      <c r="C232" s="166"/>
      <c r="D232" s="118" t="str">
        <f>IF(FuturesTrades[Opened] &lt;&gt; "",IF(FuturesTrades[Closed] = "", TODAY(), FuturesTrades[Closed]) - FuturesTrades[Opened], "")</f>
        <v/>
      </c>
      <c r="E232" s="6"/>
      <c r="F232" s="6"/>
      <c r="G232" s="22"/>
      <c r="H232" s="117"/>
      <c r="I232" s="165"/>
      <c r="J232" s="165"/>
      <c r="K232" s="117"/>
      <c r="L232" s="117"/>
      <c r="M232" s="117">
        <f t="shared" si="1"/>
        <v>0</v>
      </c>
    </row>
    <row r="233" ht="22.5" customHeight="1">
      <c r="A233" s="116"/>
      <c r="C233" s="166"/>
      <c r="D233" s="118" t="str">
        <f>IF(FuturesTrades[Opened] &lt;&gt; "",IF(FuturesTrades[Closed] = "", TODAY(), FuturesTrades[Closed]) - FuturesTrades[Opened], "")</f>
        <v/>
      </c>
      <c r="E233" s="6"/>
      <c r="F233" s="6"/>
      <c r="G233" s="22"/>
      <c r="H233" s="117"/>
      <c r="I233" s="165"/>
      <c r="J233" s="165"/>
      <c r="K233" s="117"/>
      <c r="L233" s="117"/>
      <c r="M233" s="117">
        <f t="shared" si="1"/>
        <v>0</v>
      </c>
    </row>
    <row r="234" ht="22.5" customHeight="1">
      <c r="A234" s="116"/>
      <c r="C234" s="166"/>
      <c r="D234" s="118" t="str">
        <f>IF(FuturesTrades[Opened] &lt;&gt; "",IF(FuturesTrades[Closed] = "", TODAY(), FuturesTrades[Closed]) - FuturesTrades[Opened], "")</f>
        <v/>
      </c>
      <c r="E234" s="6"/>
      <c r="F234" s="6"/>
      <c r="G234" s="22"/>
      <c r="H234" s="117"/>
      <c r="I234" s="165"/>
      <c r="J234" s="165"/>
      <c r="K234" s="117"/>
      <c r="L234" s="117"/>
      <c r="M234" s="117">
        <f t="shared" si="1"/>
        <v>0</v>
      </c>
    </row>
    <row r="235" ht="22.5" customHeight="1">
      <c r="A235" s="116"/>
      <c r="C235" s="166"/>
      <c r="D235" s="118" t="str">
        <f>IF(FuturesTrades[Opened] &lt;&gt; "",IF(FuturesTrades[Closed] = "", TODAY(), FuturesTrades[Closed]) - FuturesTrades[Opened], "")</f>
        <v/>
      </c>
      <c r="E235" s="6"/>
      <c r="F235" s="6"/>
      <c r="G235" s="22"/>
      <c r="H235" s="117"/>
      <c r="I235" s="165"/>
      <c r="J235" s="165"/>
      <c r="K235" s="117"/>
      <c r="L235" s="117"/>
      <c r="M235" s="117">
        <f t="shared" si="1"/>
        <v>0</v>
      </c>
    </row>
    <row r="236" ht="22.5" customHeight="1">
      <c r="A236" s="116"/>
      <c r="C236" s="166"/>
      <c r="D236" s="118" t="str">
        <f>IF(FuturesTrades[Opened] &lt;&gt; "",IF(FuturesTrades[Closed] = "", TODAY(), FuturesTrades[Closed]) - FuturesTrades[Opened], "")</f>
        <v/>
      </c>
      <c r="E236" s="6"/>
      <c r="F236" s="6"/>
      <c r="G236" s="22"/>
      <c r="H236" s="117"/>
      <c r="I236" s="165"/>
      <c r="J236" s="165"/>
      <c r="K236" s="117"/>
      <c r="L236" s="117"/>
      <c r="M236" s="117">
        <f t="shared" si="1"/>
        <v>0</v>
      </c>
    </row>
    <row r="237" ht="22.5" customHeight="1">
      <c r="A237" s="116"/>
      <c r="C237" s="166"/>
      <c r="D237" s="118" t="str">
        <f>IF(FuturesTrades[Opened] &lt;&gt; "",IF(FuturesTrades[Closed] = "", TODAY(), FuturesTrades[Closed]) - FuturesTrades[Opened], "")</f>
        <v/>
      </c>
      <c r="E237" s="6"/>
      <c r="F237" s="6"/>
      <c r="G237" s="22"/>
      <c r="H237" s="117"/>
      <c r="I237" s="165"/>
      <c r="J237" s="165"/>
      <c r="K237" s="117"/>
      <c r="L237" s="117"/>
      <c r="M237" s="117">
        <f t="shared" si="1"/>
        <v>0</v>
      </c>
    </row>
    <row r="238" ht="22.5" customHeight="1">
      <c r="A238" s="116"/>
      <c r="C238" s="166"/>
      <c r="D238" s="118" t="str">
        <f>IF(FuturesTrades[Opened] &lt;&gt; "",IF(FuturesTrades[Closed] = "", TODAY(), FuturesTrades[Closed]) - FuturesTrades[Opened], "")</f>
        <v/>
      </c>
      <c r="E238" s="6"/>
      <c r="F238" s="6"/>
      <c r="G238" s="22"/>
      <c r="H238" s="117"/>
      <c r="I238" s="165"/>
      <c r="J238" s="165"/>
      <c r="K238" s="117"/>
      <c r="L238" s="117"/>
      <c r="M238" s="117">
        <f t="shared" si="1"/>
        <v>0</v>
      </c>
    </row>
    <row r="239" ht="22.5" customHeight="1">
      <c r="A239" s="116"/>
      <c r="C239" s="166"/>
      <c r="D239" s="118" t="str">
        <f>IF(FuturesTrades[Opened] &lt;&gt; "",IF(FuturesTrades[Closed] = "", TODAY(), FuturesTrades[Closed]) - FuturesTrades[Opened], "")</f>
        <v/>
      </c>
      <c r="E239" s="6"/>
      <c r="F239" s="6"/>
      <c r="G239" s="22"/>
      <c r="H239" s="117"/>
      <c r="I239" s="165"/>
      <c r="J239" s="165"/>
      <c r="K239" s="117"/>
      <c r="L239" s="117"/>
      <c r="M239" s="117">
        <f t="shared" si="1"/>
        <v>0</v>
      </c>
    </row>
    <row r="240" ht="22.5" customHeight="1">
      <c r="A240" s="116"/>
      <c r="C240" s="166"/>
      <c r="D240" s="118" t="str">
        <f>IF(FuturesTrades[Opened] &lt;&gt; "",IF(FuturesTrades[Closed] = "", TODAY(), FuturesTrades[Closed]) - FuturesTrades[Opened], "")</f>
        <v/>
      </c>
      <c r="E240" s="6"/>
      <c r="F240" s="6"/>
      <c r="G240" s="22"/>
      <c r="H240" s="117"/>
      <c r="I240" s="165"/>
      <c r="J240" s="165"/>
      <c r="K240" s="117"/>
      <c r="L240" s="117"/>
      <c r="M240" s="117">
        <f t="shared" si="1"/>
        <v>0</v>
      </c>
    </row>
    <row r="241" ht="22.5" customHeight="1">
      <c r="A241" s="116"/>
      <c r="C241" s="166"/>
      <c r="D241" s="118" t="str">
        <f>IF(FuturesTrades[Opened] &lt;&gt; "",IF(FuturesTrades[Closed] = "", TODAY(), FuturesTrades[Closed]) - FuturesTrades[Opened], "")</f>
        <v/>
      </c>
      <c r="E241" s="6"/>
      <c r="F241" s="6"/>
      <c r="G241" s="22"/>
      <c r="H241" s="117"/>
      <c r="I241" s="165"/>
      <c r="J241" s="165"/>
      <c r="K241" s="117"/>
      <c r="L241" s="117"/>
      <c r="M241" s="117">
        <f t="shared" si="1"/>
        <v>0</v>
      </c>
    </row>
    <row r="242" ht="22.5" customHeight="1">
      <c r="A242" s="116"/>
      <c r="C242" s="166"/>
      <c r="D242" s="118" t="str">
        <f>IF(FuturesTrades[Opened] &lt;&gt; "",IF(FuturesTrades[Closed] = "", TODAY(), FuturesTrades[Closed]) - FuturesTrades[Opened], "")</f>
        <v/>
      </c>
      <c r="E242" s="6"/>
      <c r="F242" s="6"/>
      <c r="G242" s="22"/>
      <c r="H242" s="117"/>
      <c r="I242" s="165"/>
      <c r="J242" s="165"/>
      <c r="K242" s="117"/>
      <c r="L242" s="117"/>
      <c r="M242" s="117">
        <f t="shared" si="1"/>
        <v>0</v>
      </c>
    </row>
    <row r="243" ht="22.5" customHeight="1">
      <c r="A243" s="116"/>
      <c r="C243" s="166"/>
      <c r="D243" s="118" t="str">
        <f>IF(FuturesTrades[Opened] &lt;&gt; "",IF(FuturesTrades[Closed] = "", TODAY(), FuturesTrades[Closed]) - FuturesTrades[Opened], "")</f>
        <v/>
      </c>
      <c r="E243" s="6"/>
      <c r="F243" s="6"/>
      <c r="G243" s="22"/>
      <c r="H243" s="117"/>
      <c r="I243" s="165"/>
      <c r="J243" s="165"/>
      <c r="K243" s="117"/>
      <c r="L243" s="117"/>
      <c r="M243" s="117">
        <f t="shared" si="1"/>
        <v>0</v>
      </c>
    </row>
    <row r="244" ht="22.5" customHeight="1">
      <c r="A244" s="116"/>
      <c r="C244" s="166"/>
      <c r="D244" s="118" t="str">
        <f>IF(FuturesTrades[Opened] &lt;&gt; "",IF(FuturesTrades[Closed] = "", TODAY(), FuturesTrades[Closed]) - FuturesTrades[Opened], "")</f>
        <v/>
      </c>
      <c r="E244" s="6"/>
      <c r="F244" s="6"/>
      <c r="G244" s="22"/>
      <c r="H244" s="117"/>
      <c r="I244" s="165"/>
      <c r="J244" s="165"/>
      <c r="K244" s="117"/>
      <c r="L244" s="117"/>
      <c r="M244" s="117">
        <f t="shared" si="1"/>
        <v>0</v>
      </c>
    </row>
    <row r="245" ht="22.5" customHeight="1">
      <c r="A245" s="116"/>
      <c r="C245" s="166"/>
      <c r="D245" s="118" t="str">
        <f>IF(FuturesTrades[Opened] &lt;&gt; "",IF(FuturesTrades[Closed] = "", TODAY(), FuturesTrades[Closed]) - FuturesTrades[Opened], "")</f>
        <v/>
      </c>
      <c r="E245" s="6"/>
      <c r="F245" s="6"/>
      <c r="G245" s="22"/>
      <c r="H245" s="117"/>
      <c r="I245" s="165"/>
      <c r="J245" s="165"/>
      <c r="K245" s="117"/>
      <c r="L245" s="117"/>
      <c r="M245" s="117">
        <f t="shared" si="1"/>
        <v>0</v>
      </c>
    </row>
    <row r="246" ht="22.5" customHeight="1">
      <c r="A246" s="116"/>
      <c r="C246" s="166"/>
      <c r="D246" s="118" t="str">
        <f>IF(FuturesTrades[Opened] &lt;&gt; "",IF(FuturesTrades[Closed] = "", TODAY(), FuturesTrades[Closed]) - FuturesTrades[Opened], "")</f>
        <v/>
      </c>
      <c r="E246" s="6"/>
      <c r="F246" s="6"/>
      <c r="G246" s="22"/>
      <c r="H246" s="117"/>
      <c r="I246" s="165"/>
      <c r="J246" s="165"/>
      <c r="K246" s="117"/>
      <c r="L246" s="117"/>
      <c r="M246" s="117">
        <f t="shared" si="1"/>
        <v>0</v>
      </c>
    </row>
    <row r="247" ht="22.5" customHeight="1">
      <c r="A247" s="116"/>
      <c r="C247" s="166"/>
      <c r="D247" s="118" t="str">
        <f>IF(FuturesTrades[Opened] &lt;&gt; "",IF(FuturesTrades[Closed] = "", TODAY(), FuturesTrades[Closed]) - FuturesTrades[Opened], "")</f>
        <v/>
      </c>
      <c r="E247" s="6"/>
      <c r="F247" s="6"/>
      <c r="G247" s="22"/>
      <c r="H247" s="117"/>
      <c r="I247" s="165"/>
      <c r="J247" s="165"/>
      <c r="K247" s="117"/>
      <c r="L247" s="117"/>
      <c r="M247" s="117">
        <f t="shared" si="1"/>
        <v>0</v>
      </c>
    </row>
    <row r="248" ht="22.5" customHeight="1">
      <c r="A248" s="116"/>
      <c r="C248" s="166"/>
      <c r="D248" s="118" t="str">
        <f>IF(FuturesTrades[Opened] &lt;&gt; "",IF(FuturesTrades[Closed] = "", TODAY(), FuturesTrades[Closed]) - FuturesTrades[Opened], "")</f>
        <v/>
      </c>
      <c r="E248" s="6"/>
      <c r="F248" s="6"/>
      <c r="G248" s="22"/>
      <c r="H248" s="117"/>
      <c r="I248" s="165"/>
      <c r="J248" s="165"/>
      <c r="K248" s="117"/>
      <c r="L248" s="117"/>
      <c r="M248" s="117">
        <f t="shared" si="1"/>
        <v>0</v>
      </c>
    </row>
    <row r="249" ht="22.5" customHeight="1">
      <c r="A249" s="116"/>
      <c r="C249" s="166"/>
      <c r="D249" s="118" t="str">
        <f>IF(FuturesTrades[Opened] &lt;&gt; "",IF(FuturesTrades[Closed] = "", TODAY(), FuturesTrades[Closed]) - FuturesTrades[Opened], "")</f>
        <v/>
      </c>
      <c r="E249" s="6"/>
      <c r="F249" s="6"/>
      <c r="G249" s="22"/>
      <c r="H249" s="117"/>
      <c r="I249" s="165"/>
      <c r="J249" s="165"/>
      <c r="K249" s="117"/>
      <c r="L249" s="117"/>
      <c r="M249" s="117">
        <f t="shared" si="1"/>
        <v>0</v>
      </c>
    </row>
    <row r="250" ht="22.5" customHeight="1">
      <c r="A250" s="116"/>
      <c r="C250" s="166"/>
      <c r="D250" s="118" t="str">
        <f>IF(FuturesTrades[Opened] &lt;&gt; "",IF(FuturesTrades[Closed] = "", TODAY(), FuturesTrades[Closed]) - FuturesTrades[Opened], "")</f>
        <v/>
      </c>
      <c r="E250" s="6"/>
      <c r="F250" s="6"/>
      <c r="G250" s="22"/>
      <c r="H250" s="117"/>
      <c r="I250" s="165"/>
      <c r="J250" s="165"/>
      <c r="K250" s="117"/>
      <c r="L250" s="117"/>
      <c r="M250" s="117">
        <f t="shared" si="1"/>
        <v>0</v>
      </c>
    </row>
    <row r="251" ht="22.5" customHeight="1">
      <c r="A251" s="116"/>
      <c r="C251" s="166"/>
      <c r="D251" s="118" t="str">
        <f>IF(FuturesTrades[Opened] &lt;&gt; "",IF(FuturesTrades[Closed] = "", TODAY(), FuturesTrades[Closed]) - FuturesTrades[Opened], "")</f>
        <v/>
      </c>
      <c r="E251" s="6"/>
      <c r="F251" s="6"/>
      <c r="G251" s="22"/>
      <c r="H251" s="117"/>
      <c r="I251" s="165"/>
      <c r="J251" s="165"/>
      <c r="K251" s="117"/>
      <c r="L251" s="117"/>
      <c r="M251" s="117">
        <f t="shared" si="1"/>
        <v>0</v>
      </c>
    </row>
    <row r="252" ht="22.5" customHeight="1">
      <c r="A252" s="116"/>
      <c r="C252" s="166"/>
      <c r="D252" s="118" t="str">
        <f>IF(FuturesTrades[Opened] &lt;&gt; "",IF(FuturesTrades[Closed] = "", TODAY(), FuturesTrades[Closed]) - FuturesTrades[Opened], "")</f>
        <v/>
      </c>
      <c r="E252" s="6"/>
      <c r="F252" s="6"/>
      <c r="G252" s="22"/>
      <c r="H252" s="117"/>
      <c r="I252" s="165"/>
      <c r="J252" s="165"/>
      <c r="K252" s="117"/>
      <c r="L252" s="117"/>
      <c r="M252" s="117">
        <f t="shared" si="1"/>
        <v>0</v>
      </c>
    </row>
    <row r="253" ht="22.5" customHeight="1">
      <c r="A253" s="116"/>
      <c r="C253" s="166"/>
      <c r="D253" s="118" t="str">
        <f>IF(FuturesTrades[Opened] &lt;&gt; "",IF(FuturesTrades[Closed] = "", TODAY(), FuturesTrades[Closed]) - FuturesTrades[Opened], "")</f>
        <v/>
      </c>
      <c r="E253" s="6"/>
      <c r="F253" s="6"/>
      <c r="G253" s="22"/>
      <c r="H253" s="117"/>
      <c r="I253" s="165"/>
      <c r="J253" s="165"/>
      <c r="K253" s="117"/>
      <c r="L253" s="117"/>
      <c r="M253" s="117">
        <f t="shared" si="1"/>
        <v>0</v>
      </c>
    </row>
    <row r="254" ht="22.5" customHeight="1">
      <c r="A254" s="116"/>
      <c r="C254" s="166"/>
      <c r="D254" s="118" t="str">
        <f>IF(FuturesTrades[Opened] &lt;&gt; "",IF(FuturesTrades[Closed] = "", TODAY(), FuturesTrades[Closed]) - FuturesTrades[Opened], "")</f>
        <v/>
      </c>
      <c r="E254" s="6"/>
      <c r="F254" s="6"/>
      <c r="G254" s="22"/>
      <c r="H254" s="117"/>
      <c r="I254" s="165"/>
      <c r="J254" s="165"/>
      <c r="K254" s="117"/>
      <c r="L254" s="117"/>
      <c r="M254" s="117">
        <f t="shared" si="1"/>
        <v>0</v>
      </c>
    </row>
    <row r="255" ht="22.5" customHeight="1">
      <c r="A255" s="116"/>
      <c r="C255" s="166"/>
      <c r="D255" s="118" t="str">
        <f>IF(FuturesTrades[Opened] &lt;&gt; "",IF(FuturesTrades[Closed] = "", TODAY(), FuturesTrades[Closed]) - FuturesTrades[Opened], "")</f>
        <v/>
      </c>
      <c r="E255" s="6"/>
      <c r="F255" s="6"/>
      <c r="G255" s="22"/>
      <c r="H255" s="117"/>
      <c r="I255" s="165"/>
      <c r="J255" s="165"/>
      <c r="K255" s="117"/>
      <c r="L255" s="117"/>
      <c r="M255" s="117">
        <f t="shared" si="1"/>
        <v>0</v>
      </c>
    </row>
    <row r="256" ht="22.5" customHeight="1">
      <c r="A256" s="116"/>
      <c r="C256" s="166"/>
      <c r="D256" s="118" t="str">
        <f>IF(FuturesTrades[Opened] &lt;&gt; "",IF(FuturesTrades[Closed] = "", TODAY(), FuturesTrades[Closed]) - FuturesTrades[Opened], "")</f>
        <v/>
      </c>
      <c r="E256" s="6"/>
      <c r="F256" s="6"/>
      <c r="G256" s="22"/>
      <c r="H256" s="117"/>
      <c r="I256" s="165"/>
      <c r="J256" s="165"/>
      <c r="K256" s="117"/>
      <c r="L256" s="117"/>
      <c r="M256" s="117">
        <f t="shared" si="1"/>
        <v>0</v>
      </c>
    </row>
    <row r="257" ht="22.5" customHeight="1">
      <c r="A257" s="116"/>
      <c r="C257" s="166"/>
      <c r="D257" s="118" t="str">
        <f>IF(FuturesTrades[Opened] &lt;&gt; "",IF(FuturesTrades[Closed] = "", TODAY(), FuturesTrades[Closed]) - FuturesTrades[Opened], "")</f>
        <v/>
      </c>
      <c r="E257" s="6"/>
      <c r="F257" s="6"/>
      <c r="G257" s="22"/>
      <c r="H257" s="117"/>
      <c r="I257" s="165"/>
      <c r="J257" s="165"/>
      <c r="K257" s="117"/>
      <c r="L257" s="117"/>
      <c r="M257" s="117">
        <f t="shared" si="1"/>
        <v>0</v>
      </c>
    </row>
    <row r="258" ht="22.5" customHeight="1">
      <c r="A258" s="116"/>
      <c r="C258" s="166"/>
      <c r="D258" s="118" t="str">
        <f>IF(FuturesTrades[Opened] &lt;&gt; "",IF(FuturesTrades[Closed] = "", TODAY(), FuturesTrades[Closed]) - FuturesTrades[Opened], "")</f>
        <v/>
      </c>
      <c r="E258" s="6"/>
      <c r="F258" s="6"/>
      <c r="G258" s="22"/>
      <c r="H258" s="117"/>
      <c r="I258" s="165"/>
      <c r="J258" s="165"/>
      <c r="K258" s="117"/>
      <c r="L258" s="117"/>
      <c r="M258" s="117">
        <f t="shared" si="1"/>
        <v>0</v>
      </c>
    </row>
    <row r="259" ht="22.5" customHeight="1">
      <c r="A259" s="116"/>
      <c r="C259" s="166"/>
      <c r="D259" s="118" t="str">
        <f>IF(FuturesTrades[Opened] &lt;&gt; "",IF(FuturesTrades[Closed] = "", TODAY(), FuturesTrades[Closed]) - FuturesTrades[Opened], "")</f>
        <v/>
      </c>
      <c r="E259" s="6"/>
      <c r="F259" s="6"/>
      <c r="G259" s="22"/>
      <c r="H259" s="117"/>
      <c r="I259" s="165"/>
      <c r="J259" s="165"/>
      <c r="K259" s="117"/>
      <c r="L259" s="117"/>
      <c r="M259" s="117">
        <f t="shared" si="1"/>
        <v>0</v>
      </c>
    </row>
    <row r="260" ht="22.5" customHeight="1">
      <c r="A260" s="116"/>
      <c r="C260" s="166"/>
      <c r="D260" s="118" t="str">
        <f>IF(FuturesTrades[Opened] &lt;&gt; "",IF(FuturesTrades[Closed] = "", TODAY(), FuturesTrades[Closed]) - FuturesTrades[Opened], "")</f>
        <v/>
      </c>
      <c r="E260" s="6"/>
      <c r="F260" s="6"/>
      <c r="G260" s="22"/>
      <c r="H260" s="117"/>
      <c r="I260" s="165"/>
      <c r="J260" s="165"/>
      <c r="K260" s="117"/>
      <c r="L260" s="117"/>
      <c r="M260" s="117">
        <f t="shared" si="1"/>
        <v>0</v>
      </c>
    </row>
    <row r="261" ht="22.5" customHeight="1">
      <c r="A261" s="116"/>
      <c r="C261" s="166"/>
      <c r="D261" s="118" t="str">
        <f>IF(FuturesTrades[Opened] &lt;&gt; "",IF(FuturesTrades[Closed] = "", TODAY(), FuturesTrades[Closed]) - FuturesTrades[Opened], "")</f>
        <v/>
      </c>
      <c r="E261" s="6"/>
      <c r="F261" s="6"/>
      <c r="G261" s="22"/>
      <c r="H261" s="117"/>
      <c r="I261" s="165"/>
      <c r="J261" s="165"/>
      <c r="K261" s="117"/>
      <c r="L261" s="117"/>
      <c r="M261" s="117">
        <f t="shared" si="1"/>
        <v>0</v>
      </c>
    </row>
    <row r="262" ht="22.5" customHeight="1">
      <c r="A262" s="116"/>
      <c r="C262" s="166"/>
      <c r="D262" s="118" t="str">
        <f>IF(FuturesTrades[Opened] &lt;&gt; "",IF(FuturesTrades[Closed] = "", TODAY(), FuturesTrades[Closed]) - FuturesTrades[Opened], "")</f>
        <v/>
      </c>
      <c r="E262" s="6"/>
      <c r="F262" s="6"/>
      <c r="G262" s="22"/>
      <c r="H262" s="117"/>
      <c r="I262" s="165"/>
      <c r="J262" s="165"/>
      <c r="K262" s="117"/>
      <c r="L262" s="117"/>
      <c r="M262" s="117">
        <f t="shared" si="1"/>
        <v>0</v>
      </c>
    </row>
    <row r="263" ht="22.5" customHeight="1">
      <c r="A263" s="116"/>
      <c r="C263" s="166"/>
      <c r="D263" s="118" t="str">
        <f>IF(FuturesTrades[Opened] &lt;&gt; "",IF(FuturesTrades[Closed] = "", TODAY(), FuturesTrades[Closed]) - FuturesTrades[Opened], "")</f>
        <v/>
      </c>
      <c r="E263" s="6"/>
      <c r="F263" s="6"/>
      <c r="G263" s="22"/>
      <c r="H263" s="117"/>
      <c r="I263" s="165"/>
      <c r="J263" s="165"/>
      <c r="K263" s="117"/>
      <c r="L263" s="117"/>
      <c r="M263" s="117">
        <f t="shared" si="1"/>
        <v>0</v>
      </c>
    </row>
    <row r="264" ht="22.5" customHeight="1">
      <c r="A264" s="116"/>
      <c r="C264" s="166"/>
      <c r="D264" s="118" t="str">
        <f>IF(FuturesTrades[Opened] &lt;&gt; "",IF(FuturesTrades[Closed] = "", TODAY(), FuturesTrades[Closed]) - FuturesTrades[Opened], "")</f>
        <v/>
      </c>
      <c r="E264" s="6"/>
      <c r="F264" s="6"/>
      <c r="G264" s="22"/>
      <c r="H264" s="117"/>
      <c r="I264" s="165"/>
      <c r="J264" s="165"/>
      <c r="K264" s="117"/>
      <c r="L264" s="117"/>
      <c r="M264" s="117">
        <f t="shared" si="1"/>
        <v>0</v>
      </c>
    </row>
    <row r="265" ht="22.5" customHeight="1">
      <c r="A265" s="116"/>
      <c r="C265" s="166"/>
      <c r="D265" s="118" t="str">
        <f>IF(FuturesTrades[Opened] &lt;&gt; "",IF(FuturesTrades[Closed] = "", TODAY(), FuturesTrades[Closed]) - FuturesTrades[Opened], "")</f>
        <v/>
      </c>
      <c r="E265" s="6"/>
      <c r="F265" s="6"/>
      <c r="G265" s="22"/>
      <c r="H265" s="117"/>
      <c r="I265" s="165"/>
      <c r="J265" s="165"/>
      <c r="K265" s="117"/>
      <c r="L265" s="117"/>
      <c r="M265" s="117">
        <f t="shared" si="1"/>
        <v>0</v>
      </c>
    </row>
    <row r="266" ht="22.5" customHeight="1">
      <c r="A266" s="116"/>
      <c r="C266" s="166"/>
      <c r="D266" s="118" t="str">
        <f>IF(FuturesTrades[Opened] &lt;&gt; "",IF(FuturesTrades[Closed] = "", TODAY(), FuturesTrades[Closed]) - FuturesTrades[Opened], "")</f>
        <v/>
      </c>
      <c r="E266" s="6"/>
      <c r="F266" s="6"/>
      <c r="G266" s="22"/>
      <c r="H266" s="117"/>
      <c r="I266" s="165"/>
      <c r="J266" s="165"/>
      <c r="K266" s="117"/>
      <c r="L266" s="117"/>
      <c r="M266" s="117">
        <f t="shared" si="1"/>
        <v>0</v>
      </c>
    </row>
    <row r="267" ht="22.5" customHeight="1">
      <c r="A267" s="116"/>
      <c r="C267" s="166"/>
      <c r="D267" s="118" t="str">
        <f>IF(FuturesTrades[Opened] &lt;&gt; "",IF(FuturesTrades[Closed] = "", TODAY(), FuturesTrades[Closed]) - FuturesTrades[Opened], "")</f>
        <v/>
      </c>
      <c r="E267" s="6"/>
      <c r="F267" s="6"/>
      <c r="G267" s="22"/>
      <c r="H267" s="117"/>
      <c r="I267" s="165"/>
      <c r="J267" s="165"/>
      <c r="K267" s="117"/>
      <c r="L267" s="117"/>
      <c r="M267" s="117">
        <f t="shared" si="1"/>
        <v>0</v>
      </c>
    </row>
    <row r="268" ht="22.5" customHeight="1">
      <c r="A268" s="116"/>
      <c r="C268" s="166"/>
      <c r="D268" s="118" t="str">
        <f>IF(FuturesTrades[Opened] &lt;&gt; "",IF(FuturesTrades[Closed] = "", TODAY(), FuturesTrades[Closed]) - FuturesTrades[Opened], "")</f>
        <v/>
      </c>
      <c r="E268" s="6"/>
      <c r="F268" s="6"/>
      <c r="G268" s="22"/>
      <c r="H268" s="117"/>
      <c r="I268" s="165"/>
      <c r="J268" s="165"/>
      <c r="K268" s="117"/>
      <c r="L268" s="117"/>
      <c r="M268" s="117">
        <f t="shared" si="1"/>
        <v>0</v>
      </c>
    </row>
    <row r="269" ht="22.5" customHeight="1">
      <c r="A269" s="116"/>
      <c r="C269" s="166"/>
      <c r="D269" s="118" t="str">
        <f>IF(FuturesTrades[Opened] &lt;&gt; "",IF(FuturesTrades[Closed] = "", TODAY(), FuturesTrades[Closed]) - FuturesTrades[Opened], "")</f>
        <v/>
      </c>
      <c r="E269" s="6"/>
      <c r="F269" s="6"/>
      <c r="G269" s="22"/>
      <c r="H269" s="117"/>
      <c r="I269" s="165"/>
      <c r="J269" s="165"/>
      <c r="K269" s="117"/>
      <c r="L269" s="117"/>
      <c r="M269" s="117">
        <f t="shared" si="1"/>
        <v>0</v>
      </c>
    </row>
    <row r="270" ht="22.5" customHeight="1">
      <c r="A270" s="116"/>
      <c r="C270" s="166"/>
      <c r="D270" s="118" t="str">
        <f>IF(FuturesTrades[Opened] &lt;&gt; "",IF(FuturesTrades[Closed] = "", TODAY(), FuturesTrades[Closed]) - FuturesTrades[Opened], "")</f>
        <v/>
      </c>
      <c r="E270" s="6"/>
      <c r="F270" s="6"/>
      <c r="G270" s="22"/>
      <c r="H270" s="117"/>
      <c r="I270" s="165"/>
      <c r="J270" s="165"/>
      <c r="K270" s="117"/>
      <c r="L270" s="117"/>
      <c r="M270" s="117">
        <f t="shared" si="1"/>
        <v>0</v>
      </c>
    </row>
    <row r="271" ht="22.5" customHeight="1">
      <c r="A271" s="116"/>
      <c r="C271" s="166"/>
      <c r="D271" s="118" t="str">
        <f>IF(FuturesTrades[Opened] &lt;&gt; "",IF(FuturesTrades[Closed] = "", TODAY(), FuturesTrades[Closed]) - FuturesTrades[Opened], "")</f>
        <v/>
      </c>
      <c r="E271" s="6"/>
      <c r="F271" s="6"/>
      <c r="G271" s="22"/>
      <c r="H271" s="117"/>
      <c r="I271" s="165"/>
      <c r="J271" s="165"/>
      <c r="K271" s="117"/>
      <c r="L271" s="117"/>
      <c r="M271" s="117">
        <f t="shared" si="1"/>
        <v>0</v>
      </c>
    </row>
    <row r="272" ht="22.5" customHeight="1">
      <c r="A272" s="116"/>
      <c r="C272" s="166"/>
      <c r="D272" s="118" t="str">
        <f>IF(FuturesTrades[Opened] &lt;&gt; "",IF(FuturesTrades[Closed] = "", TODAY(), FuturesTrades[Closed]) - FuturesTrades[Opened], "")</f>
        <v/>
      </c>
      <c r="E272" s="6"/>
      <c r="F272" s="6"/>
      <c r="G272" s="22"/>
      <c r="H272" s="117"/>
      <c r="I272" s="165"/>
      <c r="J272" s="165"/>
      <c r="K272" s="117"/>
      <c r="L272" s="117"/>
      <c r="M272" s="117">
        <f t="shared" si="1"/>
        <v>0</v>
      </c>
    </row>
    <row r="273" ht="22.5" customHeight="1">
      <c r="A273" s="116"/>
      <c r="C273" s="166"/>
      <c r="D273" s="118" t="str">
        <f>IF(FuturesTrades[Opened] &lt;&gt; "",IF(FuturesTrades[Closed] = "", TODAY(), FuturesTrades[Closed]) - FuturesTrades[Opened], "")</f>
        <v/>
      </c>
      <c r="E273" s="6"/>
      <c r="F273" s="6"/>
      <c r="G273" s="22"/>
      <c r="H273" s="117"/>
      <c r="I273" s="165"/>
      <c r="J273" s="165"/>
      <c r="K273" s="117"/>
      <c r="L273" s="117"/>
      <c r="M273" s="117">
        <f t="shared" si="1"/>
        <v>0</v>
      </c>
    </row>
    <row r="274" ht="22.5" customHeight="1">
      <c r="A274" s="116"/>
      <c r="C274" s="166"/>
      <c r="D274" s="118" t="str">
        <f>IF(FuturesTrades[Opened] &lt;&gt; "",IF(FuturesTrades[Closed] = "", TODAY(), FuturesTrades[Closed]) - FuturesTrades[Opened], "")</f>
        <v/>
      </c>
      <c r="E274" s="6"/>
      <c r="F274" s="6"/>
      <c r="G274" s="22"/>
      <c r="H274" s="117"/>
      <c r="I274" s="165"/>
      <c r="J274" s="165"/>
      <c r="K274" s="117"/>
      <c r="L274" s="117"/>
      <c r="M274" s="117">
        <f t="shared" si="1"/>
        <v>0</v>
      </c>
    </row>
    <row r="275" ht="22.5" customHeight="1">
      <c r="A275" s="116"/>
      <c r="C275" s="166"/>
      <c r="D275" s="118" t="str">
        <f>IF(FuturesTrades[Opened] &lt;&gt; "",IF(FuturesTrades[Closed] = "", TODAY(), FuturesTrades[Closed]) - FuturesTrades[Opened], "")</f>
        <v/>
      </c>
      <c r="E275" s="6"/>
      <c r="F275" s="6"/>
      <c r="G275" s="22"/>
      <c r="H275" s="117"/>
      <c r="I275" s="165"/>
      <c r="J275" s="165"/>
      <c r="K275" s="117"/>
      <c r="L275" s="117"/>
      <c r="M275" s="117">
        <f t="shared" si="1"/>
        <v>0</v>
      </c>
    </row>
    <row r="276" ht="22.5" customHeight="1">
      <c r="A276" s="116"/>
      <c r="C276" s="166"/>
      <c r="D276" s="118" t="str">
        <f>IF(FuturesTrades[Opened] &lt;&gt; "",IF(FuturesTrades[Closed] = "", TODAY(), FuturesTrades[Closed]) - FuturesTrades[Opened], "")</f>
        <v/>
      </c>
      <c r="E276" s="6"/>
      <c r="F276" s="6"/>
      <c r="G276" s="22"/>
      <c r="H276" s="117"/>
      <c r="I276" s="165"/>
      <c r="J276" s="165"/>
      <c r="K276" s="117"/>
      <c r="L276" s="117"/>
      <c r="M276" s="117">
        <f t="shared" si="1"/>
        <v>0</v>
      </c>
    </row>
    <row r="277" ht="22.5" customHeight="1">
      <c r="A277" s="116"/>
      <c r="C277" s="166"/>
      <c r="D277" s="118" t="str">
        <f>IF(FuturesTrades[Opened] &lt;&gt; "",IF(FuturesTrades[Closed] = "", TODAY(), FuturesTrades[Closed]) - FuturesTrades[Opened], "")</f>
        <v/>
      </c>
      <c r="E277" s="6"/>
      <c r="F277" s="6"/>
      <c r="G277" s="22"/>
      <c r="H277" s="117"/>
      <c r="I277" s="165"/>
      <c r="J277" s="165"/>
      <c r="K277" s="117"/>
      <c r="L277" s="117"/>
      <c r="M277" s="117">
        <f t="shared" si="1"/>
        <v>0</v>
      </c>
    </row>
    <row r="278" ht="22.5" customHeight="1">
      <c r="A278" s="116"/>
      <c r="C278" s="166"/>
      <c r="D278" s="118" t="str">
        <f>IF(FuturesTrades[Opened] &lt;&gt; "",IF(FuturesTrades[Closed] = "", TODAY(), FuturesTrades[Closed]) - FuturesTrades[Opened], "")</f>
        <v/>
      </c>
      <c r="E278" s="6"/>
      <c r="F278" s="6"/>
      <c r="G278" s="22"/>
      <c r="H278" s="117"/>
      <c r="I278" s="165"/>
      <c r="J278" s="165"/>
      <c r="K278" s="117"/>
      <c r="L278" s="117"/>
      <c r="M278" s="117">
        <f t="shared" si="1"/>
        <v>0</v>
      </c>
    </row>
    <row r="279" ht="22.5" customHeight="1">
      <c r="A279" s="116"/>
      <c r="C279" s="166"/>
      <c r="D279" s="118" t="str">
        <f>IF(FuturesTrades[Opened] &lt;&gt; "",IF(FuturesTrades[Closed] = "", TODAY(), FuturesTrades[Closed]) - FuturesTrades[Opened], "")</f>
        <v/>
      </c>
      <c r="E279" s="6"/>
      <c r="F279" s="6"/>
      <c r="G279" s="22"/>
      <c r="H279" s="117"/>
      <c r="I279" s="165"/>
      <c r="J279" s="165"/>
      <c r="K279" s="117"/>
      <c r="L279" s="117"/>
      <c r="M279" s="117">
        <f t="shared" si="1"/>
        <v>0</v>
      </c>
    </row>
    <row r="280" ht="22.5" customHeight="1">
      <c r="A280" s="116"/>
      <c r="C280" s="166"/>
      <c r="D280" s="118" t="str">
        <f>IF(FuturesTrades[Opened] &lt;&gt; "",IF(FuturesTrades[Closed] = "", TODAY(), FuturesTrades[Closed]) - FuturesTrades[Opened], "")</f>
        <v/>
      </c>
      <c r="E280" s="6"/>
      <c r="F280" s="6"/>
      <c r="G280" s="22"/>
      <c r="H280" s="117"/>
      <c r="I280" s="165"/>
      <c r="J280" s="165"/>
      <c r="K280" s="117"/>
      <c r="L280" s="117"/>
      <c r="M280" s="117">
        <f t="shared" si="1"/>
        <v>0</v>
      </c>
    </row>
    <row r="281" ht="22.5" customHeight="1">
      <c r="A281" s="116"/>
      <c r="C281" s="166"/>
      <c r="D281" s="118" t="str">
        <f>IF(FuturesTrades[Opened] &lt;&gt; "",IF(FuturesTrades[Closed] = "", TODAY(), FuturesTrades[Closed]) - FuturesTrades[Opened], "")</f>
        <v/>
      </c>
      <c r="E281" s="6"/>
      <c r="F281" s="6"/>
      <c r="G281" s="22"/>
      <c r="H281" s="117"/>
      <c r="I281" s="165"/>
      <c r="J281" s="165"/>
      <c r="K281" s="117"/>
      <c r="L281" s="117"/>
      <c r="M281" s="117">
        <f t="shared" si="1"/>
        <v>0</v>
      </c>
    </row>
    <row r="282" ht="22.5" customHeight="1">
      <c r="A282" s="116"/>
      <c r="C282" s="166"/>
      <c r="D282" s="118" t="str">
        <f>IF(FuturesTrades[Opened] &lt;&gt; "",IF(FuturesTrades[Closed] = "", TODAY(), FuturesTrades[Closed]) - FuturesTrades[Opened], "")</f>
        <v/>
      </c>
      <c r="E282" s="6"/>
      <c r="F282" s="6"/>
      <c r="G282" s="22"/>
      <c r="H282" s="117"/>
      <c r="I282" s="165"/>
      <c r="J282" s="165"/>
      <c r="K282" s="117"/>
      <c r="L282" s="117"/>
      <c r="M282" s="117">
        <f t="shared" si="1"/>
        <v>0</v>
      </c>
    </row>
    <row r="283" ht="22.5" customHeight="1">
      <c r="A283" s="116"/>
      <c r="C283" s="166"/>
      <c r="D283" s="118" t="str">
        <f>IF(FuturesTrades[Opened] &lt;&gt; "",IF(FuturesTrades[Closed] = "", TODAY(), FuturesTrades[Closed]) - FuturesTrades[Opened], "")</f>
        <v/>
      </c>
      <c r="E283" s="6"/>
      <c r="F283" s="6"/>
      <c r="G283" s="22"/>
      <c r="H283" s="117"/>
      <c r="I283" s="165"/>
      <c r="J283" s="165"/>
      <c r="K283" s="117"/>
      <c r="L283" s="117"/>
      <c r="M283" s="117">
        <f t="shared" si="1"/>
        <v>0</v>
      </c>
    </row>
    <row r="284" ht="22.5" customHeight="1">
      <c r="A284" s="116"/>
      <c r="C284" s="166"/>
      <c r="D284" s="118" t="str">
        <f>IF(FuturesTrades[Opened] &lt;&gt; "",IF(FuturesTrades[Closed] = "", TODAY(), FuturesTrades[Closed]) - FuturesTrades[Opened], "")</f>
        <v/>
      </c>
      <c r="E284" s="6"/>
      <c r="F284" s="6"/>
      <c r="G284" s="22"/>
      <c r="H284" s="117"/>
      <c r="I284" s="165"/>
      <c r="J284" s="165"/>
      <c r="K284" s="117"/>
      <c r="L284" s="117"/>
      <c r="M284" s="117">
        <f t="shared" si="1"/>
        <v>0</v>
      </c>
    </row>
    <row r="285" ht="22.5" customHeight="1">
      <c r="A285" s="116"/>
      <c r="C285" s="166"/>
      <c r="D285" s="118" t="str">
        <f>IF(FuturesTrades[Opened] &lt;&gt; "",IF(FuturesTrades[Closed] = "", TODAY(), FuturesTrades[Closed]) - FuturesTrades[Opened], "")</f>
        <v/>
      </c>
      <c r="E285" s="6"/>
      <c r="F285" s="6"/>
      <c r="G285" s="22"/>
      <c r="H285" s="117"/>
      <c r="I285" s="165"/>
      <c r="J285" s="165"/>
      <c r="K285" s="117"/>
      <c r="L285" s="117"/>
      <c r="M285" s="117">
        <f t="shared" si="1"/>
        <v>0</v>
      </c>
    </row>
    <row r="286" ht="22.5" customHeight="1">
      <c r="A286" s="116"/>
      <c r="C286" s="166"/>
      <c r="D286" s="118" t="str">
        <f>IF(FuturesTrades[Opened] &lt;&gt; "",IF(FuturesTrades[Closed] = "", TODAY(), FuturesTrades[Closed]) - FuturesTrades[Opened], "")</f>
        <v/>
      </c>
      <c r="E286" s="6"/>
      <c r="F286" s="6"/>
      <c r="G286" s="22"/>
      <c r="H286" s="117"/>
      <c r="I286" s="165"/>
      <c r="J286" s="165"/>
      <c r="K286" s="117"/>
      <c r="L286" s="117"/>
      <c r="M286" s="117">
        <f t="shared" si="1"/>
        <v>0</v>
      </c>
    </row>
    <row r="287" ht="22.5" customHeight="1">
      <c r="A287" s="116"/>
      <c r="C287" s="166"/>
      <c r="D287" s="118" t="str">
        <f>IF(FuturesTrades[Opened] &lt;&gt; "",IF(FuturesTrades[Closed] = "", TODAY(), FuturesTrades[Closed]) - FuturesTrades[Opened], "")</f>
        <v/>
      </c>
      <c r="E287" s="6"/>
      <c r="F287" s="6"/>
      <c r="G287" s="22"/>
      <c r="H287" s="117"/>
      <c r="I287" s="165"/>
      <c r="J287" s="165"/>
      <c r="K287" s="117"/>
      <c r="L287" s="117"/>
      <c r="M287" s="117">
        <f t="shared" si="1"/>
        <v>0</v>
      </c>
    </row>
    <row r="288" ht="22.5" customHeight="1">
      <c r="A288" s="116"/>
      <c r="C288" s="166"/>
      <c r="D288" s="118" t="str">
        <f>IF(FuturesTrades[Opened] &lt;&gt; "",IF(FuturesTrades[Closed] = "", TODAY(), FuturesTrades[Closed]) - FuturesTrades[Opened], "")</f>
        <v/>
      </c>
      <c r="E288" s="6"/>
      <c r="F288" s="6"/>
      <c r="G288" s="22"/>
      <c r="H288" s="117"/>
      <c r="I288" s="165"/>
      <c r="J288" s="165"/>
      <c r="K288" s="117"/>
      <c r="L288" s="117"/>
      <c r="M288" s="117">
        <f t="shared" si="1"/>
        <v>0</v>
      </c>
    </row>
    <row r="289" ht="22.5" customHeight="1">
      <c r="A289" s="116"/>
      <c r="C289" s="166"/>
      <c r="D289" s="118" t="str">
        <f>IF(FuturesTrades[Opened] &lt;&gt; "",IF(FuturesTrades[Closed] = "", TODAY(), FuturesTrades[Closed]) - FuturesTrades[Opened], "")</f>
        <v/>
      </c>
      <c r="E289" s="6"/>
      <c r="F289" s="6"/>
      <c r="G289" s="22"/>
      <c r="H289" s="117"/>
      <c r="I289" s="165"/>
      <c r="J289" s="165"/>
      <c r="K289" s="117"/>
      <c r="L289" s="117"/>
      <c r="M289" s="117">
        <f t="shared" si="1"/>
        <v>0</v>
      </c>
    </row>
    <row r="290" ht="22.5" customHeight="1">
      <c r="A290" s="116"/>
      <c r="C290" s="166"/>
      <c r="D290" s="118" t="str">
        <f>IF(FuturesTrades[Opened] &lt;&gt; "",IF(FuturesTrades[Closed] = "", TODAY(), FuturesTrades[Closed]) - FuturesTrades[Opened], "")</f>
        <v/>
      </c>
      <c r="E290" s="6"/>
      <c r="F290" s="6"/>
      <c r="G290" s="22"/>
      <c r="H290" s="117"/>
      <c r="I290" s="165"/>
      <c r="J290" s="165"/>
      <c r="K290" s="117"/>
      <c r="L290" s="117"/>
      <c r="M290" s="117">
        <f t="shared" si="1"/>
        <v>0</v>
      </c>
    </row>
    <row r="291" ht="22.5" customHeight="1">
      <c r="A291" s="116"/>
      <c r="C291" s="166"/>
      <c r="D291" s="118" t="str">
        <f>IF(FuturesTrades[Opened] &lt;&gt; "",IF(FuturesTrades[Closed] = "", TODAY(), FuturesTrades[Closed]) - FuturesTrades[Opened], "")</f>
        <v/>
      </c>
      <c r="E291" s="6"/>
      <c r="F291" s="6"/>
      <c r="G291" s="22"/>
      <c r="H291" s="117"/>
      <c r="I291" s="165"/>
      <c r="J291" s="165"/>
      <c r="K291" s="117"/>
      <c r="L291" s="117"/>
      <c r="M291" s="117">
        <f t="shared" si="1"/>
        <v>0</v>
      </c>
    </row>
    <row r="292" ht="22.5" customHeight="1">
      <c r="A292" s="116"/>
      <c r="C292" s="166"/>
      <c r="D292" s="118" t="str">
        <f>IF(FuturesTrades[Opened] &lt;&gt; "",IF(FuturesTrades[Closed] = "", TODAY(), FuturesTrades[Closed]) - FuturesTrades[Opened], "")</f>
        <v/>
      </c>
      <c r="E292" s="6"/>
      <c r="F292" s="6"/>
      <c r="G292" s="22"/>
      <c r="H292" s="117"/>
      <c r="I292" s="165"/>
      <c r="J292" s="165"/>
      <c r="K292" s="117"/>
      <c r="L292" s="117"/>
      <c r="M292" s="117">
        <f t="shared" si="1"/>
        <v>0</v>
      </c>
    </row>
    <row r="293" ht="22.5" customHeight="1">
      <c r="A293" s="116"/>
      <c r="C293" s="166"/>
      <c r="D293" s="118" t="str">
        <f>IF(FuturesTrades[Opened] &lt;&gt; "",IF(FuturesTrades[Closed] = "", TODAY(), FuturesTrades[Closed]) - FuturesTrades[Opened], "")</f>
        <v/>
      </c>
      <c r="E293" s="6"/>
      <c r="F293" s="6"/>
      <c r="G293" s="22"/>
      <c r="H293" s="117"/>
      <c r="I293" s="165"/>
      <c r="J293" s="165"/>
      <c r="K293" s="117"/>
      <c r="L293" s="117"/>
      <c r="M293" s="117">
        <f t="shared" si="1"/>
        <v>0</v>
      </c>
    </row>
    <row r="294" ht="22.5" customHeight="1">
      <c r="A294" s="116"/>
      <c r="C294" s="166"/>
      <c r="D294" s="118" t="str">
        <f>IF(FuturesTrades[Opened] &lt;&gt; "",IF(FuturesTrades[Closed] = "", TODAY(), FuturesTrades[Closed]) - FuturesTrades[Opened], "")</f>
        <v/>
      </c>
      <c r="E294" s="6"/>
      <c r="F294" s="6"/>
      <c r="G294" s="22"/>
      <c r="H294" s="117"/>
      <c r="I294" s="165"/>
      <c r="J294" s="165"/>
      <c r="K294" s="117"/>
      <c r="L294" s="117"/>
      <c r="M294" s="117">
        <f t="shared" si="1"/>
        <v>0</v>
      </c>
    </row>
    <row r="295" ht="22.5" customHeight="1">
      <c r="A295" s="116"/>
      <c r="C295" s="166"/>
      <c r="D295" s="118" t="str">
        <f>IF(FuturesTrades[Opened] &lt;&gt; "",IF(FuturesTrades[Closed] = "", TODAY(), FuturesTrades[Closed]) - FuturesTrades[Opened], "")</f>
        <v/>
      </c>
      <c r="E295" s="6"/>
      <c r="F295" s="6"/>
      <c r="G295" s="22"/>
      <c r="H295" s="117"/>
      <c r="I295" s="165"/>
      <c r="J295" s="165"/>
      <c r="K295" s="117"/>
      <c r="L295" s="117"/>
      <c r="M295" s="117">
        <f t="shared" si="1"/>
        <v>0</v>
      </c>
    </row>
    <row r="296" ht="22.5" customHeight="1">
      <c r="A296" s="116"/>
      <c r="C296" s="166"/>
      <c r="D296" s="118" t="str">
        <f>IF(FuturesTrades[Opened] &lt;&gt; "",IF(FuturesTrades[Closed] = "", TODAY(), FuturesTrades[Closed]) - FuturesTrades[Opened], "")</f>
        <v/>
      </c>
      <c r="E296" s="6"/>
      <c r="F296" s="6"/>
      <c r="G296" s="22"/>
      <c r="H296" s="117"/>
      <c r="I296" s="165"/>
      <c r="J296" s="165"/>
      <c r="K296" s="117"/>
      <c r="L296" s="117"/>
      <c r="M296" s="117">
        <f t="shared" si="1"/>
        <v>0</v>
      </c>
    </row>
    <row r="297" ht="22.5" customHeight="1">
      <c r="A297" s="116"/>
      <c r="C297" s="166"/>
      <c r="D297" s="118" t="str">
        <f>IF(FuturesTrades[Opened] &lt;&gt; "",IF(FuturesTrades[Closed] = "", TODAY(), FuturesTrades[Closed]) - FuturesTrades[Opened], "")</f>
        <v/>
      </c>
      <c r="E297" s="6"/>
      <c r="F297" s="6"/>
      <c r="G297" s="22"/>
      <c r="H297" s="117"/>
      <c r="I297" s="165"/>
      <c r="J297" s="165"/>
      <c r="K297" s="117"/>
      <c r="L297" s="117"/>
      <c r="M297" s="117">
        <f t="shared" si="1"/>
        <v>0</v>
      </c>
    </row>
    <row r="298" ht="22.5" customHeight="1">
      <c r="A298" s="116"/>
      <c r="C298" s="166"/>
      <c r="D298" s="118" t="str">
        <f>IF(FuturesTrades[Opened] &lt;&gt; "",IF(FuturesTrades[Closed] = "", TODAY(), FuturesTrades[Closed]) - FuturesTrades[Opened], "")</f>
        <v/>
      </c>
      <c r="E298" s="6"/>
      <c r="F298" s="6"/>
      <c r="G298" s="22"/>
      <c r="H298" s="117"/>
      <c r="I298" s="165"/>
      <c r="J298" s="165"/>
      <c r="K298" s="117"/>
      <c r="L298" s="117"/>
      <c r="M298" s="117">
        <f t="shared" si="1"/>
        <v>0</v>
      </c>
    </row>
    <row r="299" ht="22.5" customHeight="1">
      <c r="A299" s="116"/>
      <c r="C299" s="166"/>
      <c r="D299" s="118" t="str">
        <f>IF(FuturesTrades[Opened] &lt;&gt; "",IF(FuturesTrades[Closed] = "", TODAY(), FuturesTrades[Closed]) - FuturesTrades[Opened], "")</f>
        <v/>
      </c>
      <c r="E299" s="6"/>
      <c r="F299" s="6"/>
      <c r="G299" s="22"/>
      <c r="H299" s="117"/>
      <c r="I299" s="165"/>
      <c r="J299" s="165"/>
      <c r="K299" s="117"/>
      <c r="L299" s="117"/>
      <c r="M299" s="117">
        <f t="shared" si="1"/>
        <v>0</v>
      </c>
    </row>
    <row r="300" ht="22.5" customHeight="1">
      <c r="A300" s="116"/>
      <c r="C300" s="166"/>
      <c r="D300" s="118" t="str">
        <f>IF(FuturesTrades[Opened] &lt;&gt; "",IF(FuturesTrades[Closed] = "", TODAY(), FuturesTrades[Closed]) - FuturesTrades[Opened], "")</f>
        <v/>
      </c>
      <c r="E300" s="6"/>
      <c r="F300" s="6"/>
      <c r="G300" s="22"/>
      <c r="H300" s="117"/>
      <c r="I300" s="165"/>
      <c r="J300" s="165"/>
      <c r="K300" s="117"/>
      <c r="L300" s="117"/>
      <c r="M300" s="117">
        <f t="shared" si="1"/>
        <v>0</v>
      </c>
    </row>
    <row r="301" ht="22.5" customHeight="1">
      <c r="A301" s="116"/>
      <c r="C301" s="166"/>
      <c r="D301" s="118" t="str">
        <f>IF(FuturesTrades[Opened] &lt;&gt; "",IF(FuturesTrades[Closed] = "", TODAY(), FuturesTrades[Closed]) - FuturesTrades[Opened], "")</f>
        <v/>
      </c>
      <c r="E301" s="6"/>
      <c r="F301" s="6"/>
      <c r="G301" s="22"/>
      <c r="H301" s="117"/>
      <c r="I301" s="165"/>
      <c r="J301" s="165"/>
      <c r="K301" s="117"/>
      <c r="L301" s="117"/>
      <c r="M301" s="117">
        <f t="shared" si="1"/>
        <v>0</v>
      </c>
    </row>
    <row r="302" ht="22.5" customHeight="1">
      <c r="A302" s="116"/>
      <c r="C302" s="166"/>
      <c r="D302" s="118" t="str">
        <f>IF(FuturesTrades[Opened] &lt;&gt; "",IF(FuturesTrades[Closed] = "", TODAY(), FuturesTrades[Closed]) - FuturesTrades[Opened], "")</f>
        <v/>
      </c>
      <c r="E302" s="6"/>
      <c r="F302" s="6"/>
      <c r="G302" s="22"/>
      <c r="H302" s="117"/>
      <c r="I302" s="165"/>
      <c r="J302" s="165"/>
      <c r="K302" s="117"/>
      <c r="L302" s="117"/>
      <c r="M302" s="117">
        <f t="shared" si="1"/>
        <v>0</v>
      </c>
    </row>
    <row r="303" ht="22.5" customHeight="1">
      <c r="A303" s="116"/>
      <c r="C303" s="166"/>
      <c r="D303" s="118" t="str">
        <f>IF(FuturesTrades[Opened] &lt;&gt; "",IF(FuturesTrades[Closed] = "", TODAY(), FuturesTrades[Closed]) - FuturesTrades[Opened], "")</f>
        <v/>
      </c>
      <c r="E303" s="6"/>
      <c r="F303" s="6"/>
      <c r="G303" s="22"/>
      <c r="H303" s="117"/>
      <c r="I303" s="165"/>
      <c r="J303" s="165"/>
      <c r="K303" s="117"/>
      <c r="L303" s="117"/>
      <c r="M303" s="117">
        <f t="shared" si="1"/>
        <v>0</v>
      </c>
    </row>
    <row r="304" ht="22.5" customHeight="1">
      <c r="A304" s="116"/>
      <c r="C304" s="166"/>
      <c r="D304" s="118" t="str">
        <f>IF(FuturesTrades[Opened] &lt;&gt; "",IF(FuturesTrades[Closed] = "", TODAY(), FuturesTrades[Closed]) - FuturesTrades[Opened], "")</f>
        <v/>
      </c>
      <c r="E304" s="6"/>
      <c r="F304" s="6"/>
      <c r="G304" s="22"/>
      <c r="H304" s="117"/>
      <c r="I304" s="165"/>
      <c r="J304" s="165"/>
      <c r="K304" s="117"/>
      <c r="L304" s="117"/>
      <c r="M304" s="117">
        <f t="shared" si="1"/>
        <v>0</v>
      </c>
    </row>
    <row r="305" ht="22.5" customHeight="1">
      <c r="A305" s="116"/>
      <c r="C305" s="166"/>
      <c r="D305" s="118" t="str">
        <f>IF(FuturesTrades[Opened] &lt;&gt; "",IF(FuturesTrades[Closed] = "", TODAY(), FuturesTrades[Closed]) - FuturesTrades[Opened], "")</f>
        <v/>
      </c>
      <c r="E305" s="6"/>
      <c r="F305" s="6"/>
      <c r="G305" s="22"/>
      <c r="H305" s="117"/>
      <c r="I305" s="165"/>
      <c r="J305" s="165"/>
      <c r="K305" s="117"/>
      <c r="L305" s="117"/>
      <c r="M305" s="117">
        <f t="shared" si="1"/>
        <v>0</v>
      </c>
    </row>
    <row r="306" ht="22.5" customHeight="1">
      <c r="A306" s="116"/>
      <c r="C306" s="166"/>
      <c r="D306" s="118" t="str">
        <f>IF(FuturesTrades[Opened] &lt;&gt; "",IF(FuturesTrades[Closed] = "", TODAY(), FuturesTrades[Closed]) - FuturesTrades[Opened], "")</f>
        <v/>
      </c>
      <c r="E306" s="6"/>
      <c r="F306" s="6"/>
      <c r="G306" s="22"/>
      <c r="H306" s="117"/>
      <c r="I306" s="165"/>
      <c r="J306" s="165"/>
      <c r="K306" s="117"/>
      <c r="L306" s="117"/>
      <c r="M306" s="117">
        <f t="shared" si="1"/>
        <v>0</v>
      </c>
    </row>
    <row r="307" ht="22.5" customHeight="1">
      <c r="A307" s="116"/>
      <c r="C307" s="166"/>
      <c r="D307" s="118" t="str">
        <f>IF(FuturesTrades[Opened] &lt;&gt; "",IF(FuturesTrades[Closed] = "", TODAY(), FuturesTrades[Closed]) - FuturesTrades[Opened], "")</f>
        <v/>
      </c>
      <c r="E307" s="6"/>
      <c r="F307" s="6"/>
      <c r="G307" s="22"/>
      <c r="H307" s="117"/>
      <c r="I307" s="165"/>
      <c r="J307" s="165"/>
      <c r="K307" s="117"/>
      <c r="L307" s="117"/>
      <c r="M307" s="117">
        <f t="shared" si="1"/>
        <v>0</v>
      </c>
    </row>
    <row r="308" ht="22.5" customHeight="1">
      <c r="A308" s="116"/>
      <c r="C308" s="166"/>
      <c r="D308" s="118" t="str">
        <f>IF(FuturesTrades[Opened] &lt;&gt; "",IF(FuturesTrades[Closed] = "", TODAY(), FuturesTrades[Closed]) - FuturesTrades[Opened], "")</f>
        <v/>
      </c>
      <c r="E308" s="6"/>
      <c r="F308" s="6"/>
      <c r="G308" s="22"/>
      <c r="H308" s="117"/>
      <c r="I308" s="165"/>
      <c r="J308" s="165"/>
      <c r="K308" s="117"/>
      <c r="L308" s="117"/>
      <c r="M308" s="117">
        <f t="shared" si="1"/>
        <v>0</v>
      </c>
    </row>
    <row r="309" ht="22.5" customHeight="1">
      <c r="A309" s="116"/>
      <c r="C309" s="166"/>
      <c r="D309" s="118" t="str">
        <f>IF(FuturesTrades[Opened] &lt;&gt; "",IF(FuturesTrades[Closed] = "", TODAY(), FuturesTrades[Closed]) - FuturesTrades[Opened], "")</f>
        <v/>
      </c>
      <c r="E309" s="6"/>
      <c r="F309" s="6"/>
      <c r="G309" s="22"/>
      <c r="H309" s="117"/>
      <c r="I309" s="165"/>
      <c r="J309" s="165"/>
      <c r="K309" s="117"/>
      <c r="L309" s="117"/>
      <c r="M309" s="117">
        <f t="shared" si="1"/>
        <v>0</v>
      </c>
    </row>
    <row r="310" ht="22.5" customHeight="1">
      <c r="A310" s="116"/>
      <c r="C310" s="166"/>
      <c r="D310" s="118" t="str">
        <f>IF(FuturesTrades[Opened] &lt;&gt; "",IF(FuturesTrades[Closed] = "", TODAY(), FuturesTrades[Closed]) - FuturesTrades[Opened], "")</f>
        <v/>
      </c>
      <c r="E310" s="6"/>
      <c r="F310" s="6"/>
      <c r="G310" s="22"/>
      <c r="H310" s="117"/>
      <c r="I310" s="165"/>
      <c r="J310" s="165"/>
      <c r="K310" s="117"/>
      <c r="L310" s="117"/>
      <c r="M310" s="117">
        <f t="shared" si="1"/>
        <v>0</v>
      </c>
    </row>
    <row r="311" ht="22.5" customHeight="1">
      <c r="A311" s="116"/>
      <c r="C311" s="166"/>
      <c r="D311" s="118" t="str">
        <f>IF(FuturesTrades[Opened] &lt;&gt; "",IF(FuturesTrades[Closed] = "", TODAY(), FuturesTrades[Closed]) - FuturesTrades[Opened], "")</f>
        <v/>
      </c>
      <c r="E311" s="6"/>
      <c r="F311" s="6"/>
      <c r="G311" s="22"/>
      <c r="H311" s="117"/>
      <c r="I311" s="165"/>
      <c r="J311" s="165"/>
      <c r="K311" s="117"/>
      <c r="L311" s="117"/>
      <c r="M311" s="117">
        <f t="shared" si="1"/>
        <v>0</v>
      </c>
    </row>
    <row r="312" ht="22.5" customHeight="1">
      <c r="A312" s="116"/>
      <c r="C312" s="166"/>
      <c r="D312" s="118" t="str">
        <f>IF(FuturesTrades[Opened] &lt;&gt; "",IF(FuturesTrades[Closed] = "", TODAY(), FuturesTrades[Closed]) - FuturesTrades[Opened], "")</f>
        <v/>
      </c>
      <c r="E312" s="6"/>
      <c r="F312" s="6"/>
      <c r="G312" s="22"/>
      <c r="H312" s="117"/>
      <c r="I312" s="165"/>
      <c r="J312" s="165"/>
      <c r="K312" s="117"/>
      <c r="L312" s="117"/>
      <c r="M312" s="117">
        <f t="shared" si="1"/>
        <v>0</v>
      </c>
    </row>
    <row r="313" ht="22.5" customHeight="1">
      <c r="A313" s="116"/>
      <c r="C313" s="166"/>
      <c r="D313" s="118" t="str">
        <f>IF(FuturesTrades[Opened] &lt;&gt; "",IF(FuturesTrades[Closed] = "", TODAY(), FuturesTrades[Closed]) - FuturesTrades[Opened], "")</f>
        <v/>
      </c>
      <c r="E313" s="6"/>
      <c r="F313" s="6"/>
      <c r="G313" s="22"/>
      <c r="H313" s="117"/>
      <c r="I313" s="165"/>
      <c r="J313" s="165"/>
      <c r="K313" s="117"/>
      <c r="L313" s="117"/>
      <c r="M313" s="117">
        <f t="shared" si="1"/>
        <v>0</v>
      </c>
    </row>
    <row r="314" ht="22.5" customHeight="1">
      <c r="A314" s="116"/>
      <c r="C314" s="166"/>
      <c r="D314" s="118" t="str">
        <f>IF(FuturesTrades[Opened] &lt;&gt; "",IF(FuturesTrades[Closed] = "", TODAY(), FuturesTrades[Closed]) - FuturesTrades[Opened], "")</f>
        <v/>
      </c>
      <c r="E314" s="6"/>
      <c r="F314" s="6"/>
      <c r="G314" s="22"/>
      <c r="H314" s="117"/>
      <c r="I314" s="165"/>
      <c r="J314" s="165"/>
      <c r="K314" s="117"/>
      <c r="L314" s="117"/>
      <c r="M314" s="117">
        <f t="shared" si="1"/>
        <v>0</v>
      </c>
    </row>
    <row r="315" ht="22.5" customHeight="1">
      <c r="A315" s="116"/>
      <c r="C315" s="166"/>
      <c r="D315" s="118" t="str">
        <f>IF(FuturesTrades[Opened] &lt;&gt; "",IF(FuturesTrades[Closed] = "", TODAY(), FuturesTrades[Closed]) - FuturesTrades[Opened], "")</f>
        <v/>
      </c>
      <c r="E315" s="6"/>
      <c r="F315" s="6"/>
      <c r="G315" s="22"/>
      <c r="H315" s="117"/>
      <c r="I315" s="165"/>
      <c r="J315" s="165"/>
      <c r="K315" s="117"/>
      <c r="L315" s="117"/>
      <c r="M315" s="117">
        <f t="shared" si="1"/>
        <v>0</v>
      </c>
    </row>
    <row r="316" ht="22.5" customHeight="1">
      <c r="A316" s="116"/>
      <c r="C316" s="166"/>
      <c r="D316" s="118" t="str">
        <f>IF(FuturesTrades[Opened] &lt;&gt; "",IF(FuturesTrades[Closed] = "", TODAY(), FuturesTrades[Closed]) - FuturesTrades[Opened], "")</f>
        <v/>
      </c>
      <c r="E316" s="6"/>
      <c r="F316" s="6"/>
      <c r="G316" s="22"/>
      <c r="H316" s="117"/>
      <c r="I316" s="165"/>
      <c r="J316" s="165"/>
      <c r="K316" s="117"/>
      <c r="L316" s="117"/>
      <c r="M316" s="117">
        <f t="shared" si="1"/>
        <v>0</v>
      </c>
    </row>
    <row r="317" ht="22.5" customHeight="1">
      <c r="A317" s="116"/>
      <c r="C317" s="166"/>
      <c r="D317" s="118" t="str">
        <f>IF(FuturesTrades[Opened] &lt;&gt; "",IF(FuturesTrades[Closed] = "", TODAY(), FuturesTrades[Closed]) - FuturesTrades[Opened], "")</f>
        <v/>
      </c>
      <c r="E317" s="6"/>
      <c r="F317" s="6"/>
      <c r="G317" s="22"/>
      <c r="H317" s="117"/>
      <c r="I317" s="165"/>
      <c r="J317" s="165"/>
      <c r="K317" s="117"/>
      <c r="L317" s="117"/>
      <c r="M317" s="117">
        <f t="shared" si="1"/>
        <v>0</v>
      </c>
    </row>
    <row r="318" ht="22.5" customHeight="1">
      <c r="A318" s="116"/>
      <c r="C318" s="166"/>
      <c r="D318" s="118" t="str">
        <f>IF(FuturesTrades[Opened] &lt;&gt; "",IF(FuturesTrades[Closed] = "", TODAY(), FuturesTrades[Closed]) - FuturesTrades[Opened], "")</f>
        <v/>
      </c>
      <c r="E318" s="6"/>
      <c r="F318" s="6"/>
      <c r="G318" s="22"/>
      <c r="H318" s="117"/>
      <c r="I318" s="165"/>
      <c r="J318" s="165"/>
      <c r="K318" s="117"/>
      <c r="L318" s="117"/>
      <c r="M318" s="117">
        <f t="shared" si="1"/>
        <v>0</v>
      </c>
    </row>
    <row r="319" ht="22.5" customHeight="1">
      <c r="A319" s="116"/>
      <c r="C319" s="166"/>
      <c r="D319" s="118" t="str">
        <f>IF(FuturesTrades[Opened] &lt;&gt; "",IF(FuturesTrades[Closed] = "", TODAY(), FuturesTrades[Closed]) - FuturesTrades[Opened], "")</f>
        <v/>
      </c>
      <c r="E319" s="6"/>
      <c r="F319" s="6"/>
      <c r="G319" s="22"/>
      <c r="H319" s="117"/>
      <c r="I319" s="165"/>
      <c r="J319" s="165"/>
      <c r="K319" s="117"/>
      <c r="L319" s="117"/>
      <c r="M319" s="117">
        <f t="shared" si="1"/>
        <v>0</v>
      </c>
    </row>
    <row r="320" ht="22.5" customHeight="1">
      <c r="A320" s="116"/>
      <c r="C320" s="166"/>
      <c r="D320" s="118" t="str">
        <f>IF(FuturesTrades[Opened] &lt;&gt; "",IF(FuturesTrades[Closed] = "", TODAY(), FuturesTrades[Closed]) - FuturesTrades[Opened], "")</f>
        <v/>
      </c>
      <c r="E320" s="6"/>
      <c r="F320" s="6"/>
      <c r="G320" s="22"/>
      <c r="H320" s="117"/>
      <c r="I320" s="165"/>
      <c r="J320" s="165"/>
      <c r="K320" s="117"/>
      <c r="L320" s="117"/>
      <c r="M320" s="117">
        <f t="shared" si="1"/>
        <v>0</v>
      </c>
    </row>
    <row r="321" ht="22.5" customHeight="1">
      <c r="A321" s="116"/>
      <c r="C321" s="166"/>
      <c r="D321" s="118" t="str">
        <f>IF(FuturesTrades[Opened] &lt;&gt; "",IF(FuturesTrades[Closed] = "", TODAY(), FuturesTrades[Closed]) - FuturesTrades[Opened], "")</f>
        <v/>
      </c>
      <c r="E321" s="6"/>
      <c r="F321" s="6"/>
      <c r="G321" s="22"/>
      <c r="H321" s="117"/>
      <c r="I321" s="165"/>
      <c r="J321" s="165"/>
      <c r="K321" s="117"/>
      <c r="L321" s="117"/>
      <c r="M321" s="117">
        <f t="shared" si="1"/>
        <v>0</v>
      </c>
    </row>
    <row r="322" ht="22.5" customHeight="1">
      <c r="A322" s="116"/>
      <c r="C322" s="166"/>
      <c r="D322" s="118" t="str">
        <f>IF(FuturesTrades[Opened] &lt;&gt; "",IF(FuturesTrades[Closed] = "", TODAY(), FuturesTrades[Closed]) - FuturesTrades[Opened], "")</f>
        <v/>
      </c>
      <c r="E322" s="6"/>
      <c r="F322" s="6"/>
      <c r="G322" s="22"/>
      <c r="H322" s="117"/>
      <c r="I322" s="165"/>
      <c r="J322" s="165"/>
      <c r="K322" s="117"/>
      <c r="L322" s="117"/>
      <c r="M322" s="117">
        <f t="shared" si="1"/>
        <v>0</v>
      </c>
    </row>
    <row r="323" ht="22.5" customHeight="1">
      <c r="A323" s="116"/>
      <c r="C323" s="166"/>
      <c r="D323" s="118" t="str">
        <f>IF(FuturesTrades[Opened] &lt;&gt; "",IF(FuturesTrades[Closed] = "", TODAY(), FuturesTrades[Closed]) - FuturesTrades[Opened], "")</f>
        <v/>
      </c>
      <c r="E323" s="6"/>
      <c r="F323" s="6"/>
      <c r="G323" s="22"/>
      <c r="H323" s="117"/>
      <c r="I323" s="165"/>
      <c r="J323" s="165"/>
      <c r="K323" s="117"/>
      <c r="L323" s="117"/>
      <c r="M323" s="117">
        <f t="shared" si="1"/>
        <v>0</v>
      </c>
    </row>
    <row r="324" ht="22.5" customHeight="1">
      <c r="A324" s="116"/>
      <c r="C324" s="166"/>
      <c r="D324" s="118" t="str">
        <f>IF(FuturesTrades[Opened] &lt;&gt; "",IF(FuturesTrades[Closed] = "", TODAY(), FuturesTrades[Closed]) - FuturesTrades[Opened], "")</f>
        <v/>
      </c>
      <c r="E324" s="6"/>
      <c r="F324" s="6"/>
      <c r="G324" s="22"/>
      <c r="H324" s="117"/>
      <c r="I324" s="165"/>
      <c r="J324" s="165"/>
      <c r="K324" s="117"/>
      <c r="L324" s="117"/>
      <c r="M324" s="117">
        <f t="shared" si="1"/>
        <v>0</v>
      </c>
    </row>
    <row r="325" ht="22.5" customHeight="1">
      <c r="A325" s="116"/>
      <c r="C325" s="166"/>
      <c r="D325" s="118" t="str">
        <f>IF(FuturesTrades[Opened] &lt;&gt; "",IF(FuturesTrades[Closed] = "", TODAY(), FuturesTrades[Closed]) - FuturesTrades[Opened], "")</f>
        <v/>
      </c>
      <c r="E325" s="6"/>
      <c r="F325" s="6"/>
      <c r="G325" s="22"/>
      <c r="H325" s="117"/>
      <c r="I325" s="165"/>
      <c r="J325" s="165"/>
      <c r="K325" s="117"/>
      <c r="L325" s="117"/>
      <c r="M325" s="117">
        <f t="shared" si="1"/>
        <v>0</v>
      </c>
    </row>
    <row r="326" ht="22.5" customHeight="1">
      <c r="A326" s="116"/>
      <c r="C326" s="166"/>
      <c r="D326" s="118" t="str">
        <f>IF(FuturesTrades[Opened] &lt;&gt; "",IF(FuturesTrades[Closed] = "", TODAY(), FuturesTrades[Closed]) - FuturesTrades[Opened], "")</f>
        <v/>
      </c>
      <c r="E326" s="6"/>
      <c r="F326" s="6"/>
      <c r="G326" s="22"/>
      <c r="H326" s="117"/>
      <c r="I326" s="165"/>
      <c r="J326" s="165"/>
      <c r="K326" s="117"/>
      <c r="L326" s="117"/>
      <c r="M326" s="117">
        <f t="shared" si="1"/>
        <v>0</v>
      </c>
    </row>
    <row r="327" ht="22.5" customHeight="1">
      <c r="A327" s="116"/>
      <c r="C327" s="166"/>
      <c r="D327" s="118" t="str">
        <f>IF(FuturesTrades[Opened] &lt;&gt; "",IF(FuturesTrades[Closed] = "", TODAY(), FuturesTrades[Closed]) - FuturesTrades[Opened], "")</f>
        <v/>
      </c>
      <c r="E327" s="6"/>
      <c r="F327" s="6"/>
      <c r="G327" s="22"/>
      <c r="H327" s="117"/>
      <c r="I327" s="165"/>
      <c r="J327" s="165"/>
      <c r="K327" s="117"/>
      <c r="L327" s="117"/>
      <c r="M327" s="117">
        <f t="shared" si="1"/>
        <v>0</v>
      </c>
    </row>
    <row r="328" ht="22.5" customHeight="1">
      <c r="A328" s="116"/>
      <c r="C328" s="166"/>
      <c r="D328" s="118" t="str">
        <f>IF(FuturesTrades[Opened] &lt;&gt; "",IF(FuturesTrades[Closed] = "", TODAY(), FuturesTrades[Closed]) - FuturesTrades[Opened], "")</f>
        <v/>
      </c>
      <c r="E328" s="6"/>
      <c r="F328" s="6"/>
      <c r="G328" s="22"/>
      <c r="H328" s="117"/>
      <c r="I328" s="165"/>
      <c r="J328" s="165"/>
      <c r="K328" s="117"/>
      <c r="L328" s="117"/>
      <c r="M328" s="117">
        <f t="shared" si="1"/>
        <v>0</v>
      </c>
    </row>
    <row r="329" ht="22.5" customHeight="1">
      <c r="A329" s="116"/>
      <c r="C329" s="166"/>
      <c r="D329" s="118" t="str">
        <f>IF(FuturesTrades[Opened] &lt;&gt; "",IF(FuturesTrades[Closed] = "", TODAY(), FuturesTrades[Closed]) - FuturesTrades[Opened], "")</f>
        <v/>
      </c>
      <c r="E329" s="6"/>
      <c r="F329" s="6"/>
      <c r="G329" s="22"/>
      <c r="H329" s="117"/>
      <c r="I329" s="165"/>
      <c r="J329" s="165"/>
      <c r="K329" s="117"/>
      <c r="L329" s="117"/>
      <c r="M329" s="117">
        <f t="shared" si="1"/>
        <v>0</v>
      </c>
    </row>
    <row r="330" ht="22.5" customHeight="1">
      <c r="A330" s="116"/>
      <c r="C330" s="166"/>
      <c r="D330" s="118" t="str">
        <f>IF(FuturesTrades[Opened] &lt;&gt; "",IF(FuturesTrades[Closed] = "", TODAY(), FuturesTrades[Closed]) - FuturesTrades[Opened], "")</f>
        <v/>
      </c>
      <c r="E330" s="6"/>
      <c r="F330" s="6"/>
      <c r="G330" s="22"/>
      <c r="H330" s="117"/>
      <c r="I330" s="165"/>
      <c r="J330" s="165"/>
      <c r="K330" s="117"/>
      <c r="L330" s="117"/>
      <c r="M330" s="117">
        <f t="shared" si="1"/>
        <v>0</v>
      </c>
    </row>
    <row r="331" ht="22.5" customHeight="1">
      <c r="A331" s="116"/>
      <c r="C331" s="166"/>
      <c r="D331" s="118" t="str">
        <f>IF(FuturesTrades[Opened] &lt;&gt; "",IF(FuturesTrades[Closed] = "", TODAY(), FuturesTrades[Closed]) - FuturesTrades[Opened], "")</f>
        <v/>
      </c>
      <c r="E331" s="6"/>
      <c r="F331" s="6"/>
      <c r="G331" s="22"/>
      <c r="H331" s="117"/>
      <c r="I331" s="165"/>
      <c r="J331" s="165"/>
      <c r="K331" s="117"/>
      <c r="L331" s="117"/>
      <c r="M331" s="117">
        <f t="shared" si="1"/>
        <v>0</v>
      </c>
    </row>
    <row r="332" ht="22.5" customHeight="1">
      <c r="A332" s="116"/>
      <c r="C332" s="166"/>
      <c r="D332" s="118" t="str">
        <f>IF(FuturesTrades[Opened] &lt;&gt; "",IF(FuturesTrades[Closed] = "", TODAY(), FuturesTrades[Closed]) - FuturesTrades[Opened], "")</f>
        <v/>
      </c>
      <c r="E332" s="6"/>
      <c r="F332" s="6"/>
      <c r="G332" s="22"/>
      <c r="H332" s="117"/>
      <c r="I332" s="165"/>
      <c r="J332" s="165"/>
      <c r="K332" s="117"/>
      <c r="L332" s="117"/>
      <c r="M332" s="117">
        <f t="shared" si="1"/>
        <v>0</v>
      </c>
    </row>
    <row r="333" ht="22.5" customHeight="1">
      <c r="A333" s="116"/>
      <c r="C333" s="166"/>
      <c r="D333" s="118" t="str">
        <f>IF(FuturesTrades[Opened] &lt;&gt; "",IF(FuturesTrades[Closed] = "", TODAY(), FuturesTrades[Closed]) - FuturesTrades[Opened], "")</f>
        <v/>
      </c>
      <c r="E333" s="6"/>
      <c r="F333" s="6"/>
      <c r="G333" s="22"/>
      <c r="H333" s="117"/>
      <c r="I333" s="165"/>
      <c r="J333" s="165"/>
      <c r="K333" s="117"/>
      <c r="L333" s="117"/>
      <c r="M333" s="117">
        <f t="shared" si="1"/>
        <v>0</v>
      </c>
    </row>
    <row r="334" ht="22.5" customHeight="1">
      <c r="A334" s="116"/>
      <c r="C334" s="166"/>
      <c r="D334" s="118" t="str">
        <f>IF(FuturesTrades[Opened] &lt;&gt; "",IF(FuturesTrades[Closed] = "", TODAY(), FuturesTrades[Closed]) - FuturesTrades[Opened], "")</f>
        <v/>
      </c>
      <c r="E334" s="6"/>
      <c r="F334" s="6"/>
      <c r="G334" s="22"/>
      <c r="H334" s="117"/>
      <c r="I334" s="165"/>
      <c r="J334" s="165"/>
      <c r="K334" s="117"/>
      <c r="L334" s="117"/>
      <c r="M334" s="117">
        <f t="shared" si="1"/>
        <v>0</v>
      </c>
    </row>
    <row r="335" ht="22.5" customHeight="1">
      <c r="A335" s="116"/>
      <c r="C335" s="166"/>
      <c r="D335" s="118" t="str">
        <f>IF(FuturesTrades[Opened] &lt;&gt; "",IF(FuturesTrades[Closed] = "", TODAY(), FuturesTrades[Closed]) - FuturesTrades[Opened], "")</f>
        <v/>
      </c>
      <c r="E335" s="6"/>
      <c r="F335" s="6"/>
      <c r="G335" s="22"/>
      <c r="H335" s="117"/>
      <c r="I335" s="165"/>
      <c r="J335" s="165"/>
      <c r="K335" s="117"/>
      <c r="L335" s="117"/>
      <c r="M335" s="117">
        <f t="shared" si="1"/>
        <v>0</v>
      </c>
    </row>
    <row r="336" ht="22.5" customHeight="1">
      <c r="A336" s="116"/>
      <c r="C336" s="166"/>
      <c r="D336" s="118" t="str">
        <f>IF(FuturesTrades[Opened] &lt;&gt; "",IF(FuturesTrades[Closed] = "", TODAY(), FuturesTrades[Closed]) - FuturesTrades[Opened], "")</f>
        <v/>
      </c>
      <c r="E336" s="6"/>
      <c r="F336" s="6"/>
      <c r="G336" s="22"/>
      <c r="H336" s="117"/>
      <c r="I336" s="165"/>
      <c r="J336" s="165"/>
      <c r="K336" s="117"/>
      <c r="L336" s="117"/>
      <c r="M336" s="117">
        <f t="shared" si="1"/>
        <v>0</v>
      </c>
    </row>
    <row r="337" ht="22.5" customHeight="1">
      <c r="A337" s="116"/>
      <c r="C337" s="166"/>
      <c r="D337" s="118" t="str">
        <f>IF(FuturesTrades[Opened] &lt;&gt; "",IF(FuturesTrades[Closed] = "", TODAY(), FuturesTrades[Closed]) - FuturesTrades[Opened], "")</f>
        <v/>
      </c>
      <c r="E337" s="6"/>
      <c r="F337" s="6"/>
      <c r="G337" s="22"/>
      <c r="H337" s="117"/>
      <c r="I337" s="165"/>
      <c r="J337" s="165"/>
      <c r="K337" s="117"/>
      <c r="L337" s="117"/>
      <c r="M337" s="117">
        <f t="shared" si="1"/>
        <v>0</v>
      </c>
    </row>
    <row r="338" ht="22.5" customHeight="1">
      <c r="A338" s="116"/>
      <c r="C338" s="166"/>
      <c r="D338" s="118" t="str">
        <f>IF(FuturesTrades[Opened] &lt;&gt; "",IF(FuturesTrades[Closed] = "", TODAY(), FuturesTrades[Closed]) - FuturesTrades[Opened], "")</f>
        <v/>
      </c>
      <c r="E338" s="6"/>
      <c r="F338" s="6"/>
      <c r="G338" s="22"/>
      <c r="H338" s="117"/>
      <c r="I338" s="165"/>
      <c r="J338" s="165"/>
      <c r="K338" s="117"/>
      <c r="L338" s="117"/>
      <c r="M338" s="117">
        <f t="shared" si="1"/>
        <v>0</v>
      </c>
    </row>
    <row r="339" ht="22.5" customHeight="1">
      <c r="A339" s="116"/>
      <c r="C339" s="166"/>
      <c r="D339" s="118" t="str">
        <f>IF(FuturesTrades[Opened] &lt;&gt; "",IF(FuturesTrades[Closed] = "", TODAY(), FuturesTrades[Closed]) - FuturesTrades[Opened], "")</f>
        <v/>
      </c>
      <c r="E339" s="6"/>
      <c r="F339" s="6"/>
      <c r="G339" s="22"/>
      <c r="H339" s="117"/>
      <c r="I339" s="165"/>
      <c r="J339" s="165"/>
      <c r="K339" s="117"/>
      <c r="L339" s="117"/>
      <c r="M339" s="117">
        <f t="shared" si="1"/>
        <v>0</v>
      </c>
    </row>
    <row r="340" ht="22.5" customHeight="1">
      <c r="A340" s="116"/>
      <c r="C340" s="166"/>
      <c r="D340" s="118" t="str">
        <f>IF(FuturesTrades[Opened] &lt;&gt; "",IF(FuturesTrades[Closed] = "", TODAY(), FuturesTrades[Closed]) - FuturesTrades[Opened], "")</f>
        <v/>
      </c>
      <c r="E340" s="6"/>
      <c r="F340" s="6"/>
      <c r="G340" s="22"/>
      <c r="H340" s="117"/>
      <c r="I340" s="165"/>
      <c r="J340" s="165"/>
      <c r="K340" s="117"/>
      <c r="L340" s="117"/>
      <c r="M340" s="117">
        <f t="shared" si="1"/>
        <v>0</v>
      </c>
    </row>
    <row r="341" ht="22.5" customHeight="1">
      <c r="A341" s="116"/>
      <c r="C341" s="166"/>
      <c r="D341" s="118" t="str">
        <f>IF(FuturesTrades[Opened] &lt;&gt; "",IF(FuturesTrades[Closed] = "", TODAY(), FuturesTrades[Closed]) - FuturesTrades[Opened], "")</f>
        <v/>
      </c>
      <c r="E341" s="6"/>
      <c r="F341" s="6"/>
      <c r="G341" s="22"/>
      <c r="H341" s="117"/>
      <c r="I341" s="165"/>
      <c r="J341" s="165"/>
      <c r="K341" s="117"/>
      <c r="L341" s="117"/>
      <c r="M341" s="117">
        <f t="shared" si="1"/>
        <v>0</v>
      </c>
    </row>
    <row r="342" ht="22.5" customHeight="1">
      <c r="A342" s="116"/>
      <c r="C342" s="166"/>
      <c r="D342" s="118" t="str">
        <f>IF(FuturesTrades[Opened] &lt;&gt; "",IF(FuturesTrades[Closed] = "", TODAY(), FuturesTrades[Closed]) - FuturesTrades[Opened], "")</f>
        <v/>
      </c>
      <c r="E342" s="6"/>
      <c r="F342" s="6"/>
      <c r="G342" s="22"/>
      <c r="H342" s="117"/>
      <c r="I342" s="165"/>
      <c r="J342" s="165"/>
      <c r="K342" s="117"/>
      <c r="L342" s="117"/>
      <c r="M342" s="117">
        <f t="shared" si="1"/>
        <v>0</v>
      </c>
    </row>
    <row r="343" ht="22.5" customHeight="1">
      <c r="A343" s="116"/>
      <c r="C343" s="166"/>
      <c r="D343" s="118" t="str">
        <f>IF(FuturesTrades[Opened] &lt;&gt; "",IF(FuturesTrades[Closed] = "", TODAY(), FuturesTrades[Closed]) - FuturesTrades[Opened], "")</f>
        <v/>
      </c>
      <c r="E343" s="6"/>
      <c r="F343" s="6"/>
      <c r="G343" s="22"/>
      <c r="H343" s="117"/>
      <c r="I343" s="165"/>
      <c r="J343" s="165"/>
      <c r="K343" s="117"/>
      <c r="L343" s="117"/>
      <c r="M343" s="117">
        <f t="shared" si="1"/>
        <v>0</v>
      </c>
    </row>
    <row r="344" ht="22.5" customHeight="1">
      <c r="A344" s="116"/>
      <c r="C344" s="166"/>
      <c r="D344" s="118" t="str">
        <f>IF(FuturesTrades[Opened] &lt;&gt; "",IF(FuturesTrades[Closed] = "", TODAY(), FuturesTrades[Closed]) - FuturesTrades[Opened], "")</f>
        <v/>
      </c>
      <c r="E344" s="6"/>
      <c r="F344" s="6"/>
      <c r="G344" s="22"/>
      <c r="H344" s="117"/>
      <c r="I344" s="165"/>
      <c r="J344" s="165"/>
      <c r="K344" s="117"/>
      <c r="L344" s="117"/>
      <c r="M344" s="117">
        <f t="shared" si="1"/>
        <v>0</v>
      </c>
    </row>
    <row r="345" ht="22.5" customHeight="1">
      <c r="A345" s="116"/>
      <c r="C345" s="166"/>
      <c r="D345" s="118" t="str">
        <f>IF(FuturesTrades[Opened] &lt;&gt; "",IF(FuturesTrades[Closed] = "", TODAY(), FuturesTrades[Closed]) - FuturesTrades[Opened], "")</f>
        <v/>
      </c>
      <c r="E345" s="6"/>
      <c r="F345" s="6"/>
      <c r="G345" s="22"/>
      <c r="H345" s="117"/>
      <c r="I345" s="165"/>
      <c r="J345" s="165"/>
      <c r="K345" s="117"/>
      <c r="L345" s="117"/>
      <c r="M345" s="117">
        <f t="shared" si="1"/>
        <v>0</v>
      </c>
    </row>
    <row r="346" ht="22.5" customHeight="1">
      <c r="A346" s="116"/>
      <c r="C346" s="166"/>
      <c r="D346" s="118" t="str">
        <f>IF(FuturesTrades[Opened] &lt;&gt; "",IF(FuturesTrades[Closed] = "", TODAY(), FuturesTrades[Closed]) - FuturesTrades[Opened], "")</f>
        <v/>
      </c>
      <c r="E346" s="6"/>
      <c r="F346" s="6"/>
      <c r="G346" s="22"/>
      <c r="H346" s="117"/>
      <c r="I346" s="165"/>
      <c r="J346" s="165"/>
      <c r="K346" s="117"/>
      <c r="L346" s="117"/>
      <c r="M346" s="117">
        <f t="shared" si="1"/>
        <v>0</v>
      </c>
    </row>
    <row r="347" ht="22.5" customHeight="1">
      <c r="A347" s="116"/>
      <c r="C347" s="166"/>
      <c r="D347" s="118" t="str">
        <f>IF(FuturesTrades[Opened] &lt;&gt; "",IF(FuturesTrades[Closed] = "", TODAY(), FuturesTrades[Closed]) - FuturesTrades[Opened], "")</f>
        <v/>
      </c>
      <c r="E347" s="6"/>
      <c r="F347" s="6"/>
      <c r="G347" s="22"/>
      <c r="H347" s="117"/>
      <c r="I347" s="165"/>
      <c r="J347" s="165"/>
      <c r="K347" s="117"/>
      <c r="L347" s="117"/>
      <c r="M347" s="117">
        <f t="shared" si="1"/>
        <v>0</v>
      </c>
    </row>
    <row r="348" ht="22.5" customHeight="1">
      <c r="A348" s="116"/>
      <c r="C348" s="166"/>
      <c r="D348" s="118" t="str">
        <f>IF(FuturesTrades[Opened] &lt;&gt; "",IF(FuturesTrades[Closed] = "", TODAY(), FuturesTrades[Closed]) - FuturesTrades[Opened], "")</f>
        <v/>
      </c>
      <c r="E348" s="6"/>
      <c r="F348" s="6"/>
      <c r="G348" s="22"/>
      <c r="H348" s="117"/>
      <c r="I348" s="165"/>
      <c r="J348" s="165"/>
      <c r="K348" s="117"/>
      <c r="L348" s="117"/>
      <c r="M348" s="117">
        <f t="shared" si="1"/>
        <v>0</v>
      </c>
    </row>
    <row r="349" ht="22.5" customHeight="1">
      <c r="A349" s="116"/>
      <c r="C349" s="166"/>
      <c r="D349" s="118" t="str">
        <f>IF(FuturesTrades[Opened] &lt;&gt; "",IF(FuturesTrades[Closed] = "", TODAY(), FuturesTrades[Closed]) - FuturesTrades[Opened], "")</f>
        <v/>
      </c>
      <c r="E349" s="6"/>
      <c r="F349" s="6"/>
      <c r="G349" s="22"/>
      <c r="H349" s="117"/>
      <c r="I349" s="165"/>
      <c r="J349" s="165"/>
      <c r="K349" s="117"/>
      <c r="L349" s="117"/>
      <c r="M349" s="117">
        <f t="shared" si="1"/>
        <v>0</v>
      </c>
    </row>
    <row r="350" ht="22.5" customHeight="1">
      <c r="A350" s="116"/>
      <c r="C350" s="166"/>
      <c r="D350" s="118" t="str">
        <f>IF(FuturesTrades[Opened] &lt;&gt; "",IF(FuturesTrades[Closed] = "", TODAY(), FuturesTrades[Closed]) - FuturesTrades[Opened], "")</f>
        <v/>
      </c>
      <c r="E350" s="6"/>
      <c r="F350" s="6"/>
      <c r="G350" s="22"/>
      <c r="H350" s="117"/>
      <c r="I350" s="165"/>
      <c r="J350" s="165"/>
      <c r="K350" s="117"/>
      <c r="L350" s="117"/>
      <c r="M350" s="117">
        <f t="shared" si="1"/>
        <v>0</v>
      </c>
    </row>
    <row r="351" ht="22.5" customHeight="1">
      <c r="A351" s="116"/>
      <c r="C351" s="166"/>
      <c r="D351" s="118" t="str">
        <f>IF(FuturesTrades[Opened] &lt;&gt; "",IF(FuturesTrades[Closed] = "", TODAY(), FuturesTrades[Closed]) - FuturesTrades[Opened], "")</f>
        <v/>
      </c>
      <c r="E351" s="6"/>
      <c r="F351" s="6"/>
      <c r="G351" s="22"/>
      <c r="H351" s="117"/>
      <c r="I351" s="165"/>
      <c r="J351" s="165"/>
      <c r="K351" s="117"/>
      <c r="L351" s="117"/>
      <c r="M351" s="117">
        <f t="shared" si="1"/>
        <v>0</v>
      </c>
    </row>
    <row r="352" ht="22.5" customHeight="1">
      <c r="A352" s="116"/>
      <c r="C352" s="166"/>
      <c r="D352" s="118" t="str">
        <f>IF(FuturesTrades[Opened] &lt;&gt; "",IF(FuturesTrades[Closed] = "", TODAY(), FuturesTrades[Closed]) - FuturesTrades[Opened], "")</f>
        <v/>
      </c>
      <c r="E352" s="6"/>
      <c r="F352" s="6"/>
      <c r="G352" s="22"/>
      <c r="H352" s="117"/>
      <c r="I352" s="165"/>
      <c r="J352" s="165"/>
      <c r="K352" s="117"/>
      <c r="L352" s="117"/>
      <c r="M352" s="117">
        <f t="shared" si="1"/>
        <v>0</v>
      </c>
    </row>
    <row r="353" ht="22.5" customHeight="1">
      <c r="A353" s="116"/>
      <c r="C353" s="166"/>
      <c r="D353" s="118" t="str">
        <f>IF(FuturesTrades[Opened] &lt;&gt; "",IF(FuturesTrades[Closed] = "", TODAY(), FuturesTrades[Closed]) - FuturesTrades[Opened], "")</f>
        <v/>
      </c>
      <c r="E353" s="6"/>
      <c r="F353" s="6"/>
      <c r="G353" s="22"/>
      <c r="H353" s="117"/>
      <c r="I353" s="165"/>
      <c r="J353" s="165"/>
      <c r="K353" s="117"/>
      <c r="L353" s="117"/>
      <c r="M353" s="117">
        <f t="shared" si="1"/>
        <v>0</v>
      </c>
    </row>
    <row r="354" ht="22.5" customHeight="1">
      <c r="A354" s="116"/>
      <c r="C354" s="166"/>
      <c r="D354" s="118" t="str">
        <f>IF(FuturesTrades[Opened] &lt;&gt; "",IF(FuturesTrades[Closed] = "", TODAY(), FuturesTrades[Closed]) - FuturesTrades[Opened], "")</f>
        <v/>
      </c>
      <c r="E354" s="6"/>
      <c r="F354" s="6"/>
      <c r="G354" s="22"/>
      <c r="H354" s="117"/>
      <c r="I354" s="165"/>
      <c r="J354" s="165"/>
      <c r="K354" s="117"/>
      <c r="L354" s="117"/>
      <c r="M354" s="117">
        <f t="shared" si="1"/>
        <v>0</v>
      </c>
    </row>
    <row r="355" ht="22.5" customHeight="1">
      <c r="A355" s="116"/>
      <c r="C355" s="166"/>
      <c r="D355" s="118" t="str">
        <f>IF(FuturesTrades[Opened] &lt;&gt; "",IF(FuturesTrades[Closed] = "", TODAY(), FuturesTrades[Closed]) - FuturesTrades[Opened], "")</f>
        <v/>
      </c>
      <c r="E355" s="6"/>
      <c r="F355" s="6"/>
      <c r="G355" s="22"/>
      <c r="H355" s="117"/>
      <c r="I355" s="165"/>
      <c r="J355" s="165"/>
      <c r="K355" s="117"/>
      <c r="L355" s="117"/>
      <c r="M355" s="117">
        <f t="shared" si="1"/>
        <v>0</v>
      </c>
    </row>
    <row r="356" ht="22.5" customHeight="1">
      <c r="A356" s="116"/>
      <c r="C356" s="166"/>
      <c r="D356" s="118" t="str">
        <f>IF(FuturesTrades[Opened] &lt;&gt; "",IF(FuturesTrades[Closed] = "", TODAY(), FuturesTrades[Closed]) - FuturesTrades[Opened], "")</f>
        <v/>
      </c>
      <c r="E356" s="6"/>
      <c r="F356" s="6"/>
      <c r="G356" s="22"/>
      <c r="H356" s="117"/>
      <c r="I356" s="165"/>
      <c r="J356" s="165"/>
      <c r="K356" s="117"/>
      <c r="L356" s="117"/>
      <c r="M356" s="117">
        <f t="shared" si="1"/>
        <v>0</v>
      </c>
    </row>
    <row r="357" ht="22.5" customHeight="1">
      <c r="A357" s="116"/>
      <c r="C357" s="166"/>
      <c r="D357" s="118" t="str">
        <f>IF(FuturesTrades[Opened] &lt;&gt; "",IF(FuturesTrades[Closed] = "", TODAY(), FuturesTrades[Closed]) - FuturesTrades[Opened], "")</f>
        <v/>
      </c>
      <c r="E357" s="6"/>
      <c r="F357" s="6"/>
      <c r="G357" s="22"/>
      <c r="H357" s="117"/>
      <c r="I357" s="165"/>
      <c r="J357" s="165"/>
      <c r="K357" s="117"/>
      <c r="L357" s="117"/>
      <c r="M357" s="117">
        <f t="shared" si="1"/>
        <v>0</v>
      </c>
    </row>
    <row r="358" ht="22.5" customHeight="1">
      <c r="A358" s="116"/>
      <c r="C358" s="166"/>
      <c r="D358" s="118" t="str">
        <f>IF(FuturesTrades[Opened] &lt;&gt; "",IF(FuturesTrades[Closed] = "", TODAY(), FuturesTrades[Closed]) - FuturesTrades[Opened], "")</f>
        <v/>
      </c>
      <c r="E358" s="6"/>
      <c r="F358" s="6"/>
      <c r="G358" s="22"/>
      <c r="H358" s="117"/>
      <c r="I358" s="165"/>
      <c r="J358" s="165"/>
      <c r="K358" s="117"/>
      <c r="L358" s="117"/>
      <c r="M358" s="117">
        <f t="shared" si="1"/>
        <v>0</v>
      </c>
    </row>
    <row r="359" ht="22.5" customHeight="1">
      <c r="A359" s="116"/>
      <c r="C359" s="166"/>
      <c r="D359" s="118" t="str">
        <f>IF(FuturesTrades[Opened] &lt;&gt; "",IF(FuturesTrades[Closed] = "", TODAY(), FuturesTrades[Closed]) - FuturesTrades[Opened], "")</f>
        <v/>
      </c>
      <c r="E359" s="6"/>
      <c r="F359" s="6"/>
      <c r="G359" s="22"/>
      <c r="H359" s="117"/>
      <c r="I359" s="165"/>
      <c r="J359" s="165"/>
      <c r="K359" s="117"/>
      <c r="L359" s="117"/>
      <c r="M359" s="117">
        <f t="shared" si="1"/>
        <v>0</v>
      </c>
    </row>
    <row r="360" ht="22.5" customHeight="1">
      <c r="A360" s="116"/>
      <c r="C360" s="166"/>
      <c r="D360" s="118" t="str">
        <f>IF(FuturesTrades[Opened] &lt;&gt; "",IF(FuturesTrades[Closed] = "", TODAY(), FuturesTrades[Closed]) - FuturesTrades[Opened], "")</f>
        <v/>
      </c>
      <c r="E360" s="6"/>
      <c r="F360" s="6"/>
      <c r="G360" s="22"/>
      <c r="H360" s="117"/>
      <c r="I360" s="165"/>
      <c r="J360" s="165"/>
      <c r="K360" s="117"/>
      <c r="L360" s="117"/>
      <c r="M360" s="117">
        <f t="shared" si="1"/>
        <v>0</v>
      </c>
    </row>
    <row r="361" ht="22.5" customHeight="1">
      <c r="A361" s="116"/>
      <c r="C361" s="166"/>
      <c r="D361" s="118" t="str">
        <f>IF(FuturesTrades[Opened] &lt;&gt; "",IF(FuturesTrades[Closed] = "", TODAY(), FuturesTrades[Closed]) - FuturesTrades[Opened], "")</f>
        <v/>
      </c>
      <c r="E361" s="6"/>
      <c r="F361" s="6"/>
      <c r="G361" s="22"/>
      <c r="H361" s="117"/>
      <c r="I361" s="165"/>
      <c r="J361" s="165"/>
      <c r="K361" s="117"/>
      <c r="L361" s="117"/>
      <c r="M361" s="117">
        <f t="shared" si="1"/>
        <v>0</v>
      </c>
    </row>
    <row r="362" ht="22.5" customHeight="1">
      <c r="A362" s="116"/>
      <c r="C362" s="166"/>
      <c r="D362" s="118" t="str">
        <f>IF(FuturesTrades[Opened] &lt;&gt; "",IF(FuturesTrades[Closed] = "", TODAY(), FuturesTrades[Closed]) - FuturesTrades[Opened], "")</f>
        <v/>
      </c>
      <c r="E362" s="6"/>
      <c r="F362" s="6"/>
      <c r="G362" s="22"/>
      <c r="H362" s="117"/>
      <c r="I362" s="165"/>
      <c r="J362" s="165"/>
      <c r="K362" s="117"/>
      <c r="L362" s="117"/>
      <c r="M362" s="117">
        <f t="shared" si="1"/>
        <v>0</v>
      </c>
    </row>
    <row r="363" ht="22.5" customHeight="1">
      <c r="A363" s="116"/>
      <c r="C363" s="166"/>
      <c r="D363" s="118" t="str">
        <f>IF(FuturesTrades[Opened] &lt;&gt; "",IF(FuturesTrades[Closed] = "", TODAY(), FuturesTrades[Closed]) - FuturesTrades[Opened], "")</f>
        <v/>
      </c>
      <c r="E363" s="6"/>
      <c r="F363" s="6"/>
      <c r="G363" s="22"/>
      <c r="H363" s="117"/>
      <c r="I363" s="165"/>
      <c r="J363" s="165"/>
      <c r="K363" s="117"/>
      <c r="L363" s="117"/>
      <c r="M363" s="117">
        <f t="shared" si="1"/>
        <v>0</v>
      </c>
    </row>
    <row r="364" ht="22.5" customHeight="1">
      <c r="A364" s="116"/>
      <c r="C364" s="166"/>
      <c r="D364" s="118" t="str">
        <f>IF(FuturesTrades[Opened] &lt;&gt; "",IF(FuturesTrades[Closed] = "", TODAY(), FuturesTrades[Closed]) - FuturesTrades[Opened], "")</f>
        <v/>
      </c>
      <c r="E364" s="6"/>
      <c r="F364" s="6"/>
      <c r="G364" s="22"/>
      <c r="H364" s="117"/>
      <c r="I364" s="165"/>
      <c r="J364" s="165"/>
      <c r="K364" s="117"/>
      <c r="L364" s="117"/>
      <c r="M364" s="117">
        <f t="shared" si="1"/>
        <v>0</v>
      </c>
    </row>
    <row r="365" ht="22.5" customHeight="1">
      <c r="A365" s="116"/>
      <c r="C365" s="166"/>
      <c r="D365" s="118" t="str">
        <f>IF(FuturesTrades[Opened] &lt;&gt; "",IF(FuturesTrades[Closed] = "", TODAY(), FuturesTrades[Closed]) - FuturesTrades[Opened], "")</f>
        <v/>
      </c>
      <c r="E365" s="6"/>
      <c r="F365" s="6"/>
      <c r="G365" s="22"/>
      <c r="H365" s="117"/>
      <c r="I365" s="165"/>
      <c r="J365" s="165"/>
      <c r="K365" s="117"/>
      <c r="L365" s="117"/>
      <c r="M365" s="117">
        <f t="shared" si="1"/>
        <v>0</v>
      </c>
    </row>
    <row r="366" ht="22.5" customHeight="1">
      <c r="A366" s="116"/>
      <c r="C366" s="166"/>
      <c r="D366" s="118" t="str">
        <f>IF(FuturesTrades[Opened] &lt;&gt; "",IF(FuturesTrades[Closed] = "", TODAY(), FuturesTrades[Closed]) - FuturesTrades[Opened], "")</f>
        <v/>
      </c>
      <c r="E366" s="6"/>
      <c r="F366" s="6"/>
      <c r="G366" s="22"/>
      <c r="H366" s="117"/>
      <c r="I366" s="165"/>
      <c r="J366" s="165"/>
      <c r="K366" s="117"/>
      <c r="L366" s="117"/>
      <c r="M366" s="117">
        <f t="shared" si="1"/>
        <v>0</v>
      </c>
    </row>
    <row r="367" ht="22.5" customHeight="1">
      <c r="A367" s="116"/>
      <c r="C367" s="166"/>
      <c r="D367" s="118" t="str">
        <f>IF(FuturesTrades[Opened] &lt;&gt; "",IF(FuturesTrades[Closed] = "", TODAY(), FuturesTrades[Closed]) - FuturesTrades[Opened], "")</f>
        <v/>
      </c>
      <c r="E367" s="6"/>
      <c r="F367" s="6"/>
      <c r="G367" s="22"/>
      <c r="H367" s="117"/>
      <c r="I367" s="165"/>
      <c r="J367" s="165"/>
      <c r="K367" s="117"/>
      <c r="L367" s="117"/>
      <c r="M367" s="117">
        <f t="shared" si="1"/>
        <v>0</v>
      </c>
    </row>
    <row r="368" ht="22.5" customHeight="1">
      <c r="A368" s="116"/>
      <c r="C368" s="166"/>
      <c r="D368" s="118" t="str">
        <f>IF(FuturesTrades[Opened] &lt;&gt; "",IF(FuturesTrades[Closed] = "", TODAY(), FuturesTrades[Closed]) - FuturesTrades[Opened], "")</f>
        <v/>
      </c>
      <c r="E368" s="6"/>
      <c r="F368" s="6"/>
      <c r="G368" s="22"/>
      <c r="H368" s="117"/>
      <c r="I368" s="165"/>
      <c r="J368" s="165"/>
      <c r="K368" s="117"/>
      <c r="L368" s="117"/>
      <c r="M368" s="117">
        <f t="shared" si="1"/>
        <v>0</v>
      </c>
    </row>
    <row r="369" ht="22.5" customHeight="1">
      <c r="A369" s="116"/>
      <c r="C369" s="166"/>
      <c r="D369" s="118" t="str">
        <f>IF(FuturesTrades[Opened] &lt;&gt; "",IF(FuturesTrades[Closed] = "", TODAY(), FuturesTrades[Closed]) - FuturesTrades[Opened], "")</f>
        <v/>
      </c>
      <c r="E369" s="6"/>
      <c r="F369" s="6"/>
      <c r="G369" s="22"/>
      <c r="H369" s="117"/>
      <c r="I369" s="165"/>
      <c r="J369" s="165"/>
      <c r="K369" s="117"/>
      <c r="L369" s="117"/>
      <c r="M369" s="117">
        <f t="shared" si="1"/>
        <v>0</v>
      </c>
    </row>
    <row r="370" ht="22.5" customHeight="1">
      <c r="A370" s="116"/>
      <c r="C370" s="166"/>
      <c r="D370" s="118" t="str">
        <f>IF(FuturesTrades[Opened] &lt;&gt; "",IF(FuturesTrades[Closed] = "", TODAY(), FuturesTrades[Closed]) - FuturesTrades[Opened], "")</f>
        <v/>
      </c>
      <c r="E370" s="6"/>
      <c r="F370" s="6"/>
      <c r="G370" s="22"/>
      <c r="H370" s="117"/>
      <c r="I370" s="165"/>
      <c r="J370" s="165"/>
      <c r="K370" s="117"/>
      <c r="L370" s="117"/>
      <c r="M370" s="117">
        <f t="shared" si="1"/>
        <v>0</v>
      </c>
    </row>
    <row r="371" ht="22.5" customHeight="1">
      <c r="A371" s="116"/>
      <c r="C371" s="166"/>
      <c r="D371" s="118" t="str">
        <f>IF(FuturesTrades[Opened] &lt;&gt; "",IF(FuturesTrades[Closed] = "", TODAY(), FuturesTrades[Closed]) - FuturesTrades[Opened], "")</f>
        <v/>
      </c>
      <c r="E371" s="6"/>
      <c r="F371" s="6"/>
      <c r="G371" s="22"/>
      <c r="H371" s="117"/>
      <c r="I371" s="165"/>
      <c r="J371" s="165"/>
      <c r="K371" s="117"/>
      <c r="L371" s="117"/>
      <c r="M371" s="117">
        <f t="shared" si="1"/>
        <v>0</v>
      </c>
    </row>
    <row r="372" ht="22.5" customHeight="1">
      <c r="A372" s="116"/>
      <c r="C372" s="166"/>
      <c r="D372" s="118" t="str">
        <f>IF(FuturesTrades[Opened] &lt;&gt; "",IF(FuturesTrades[Closed] = "", TODAY(), FuturesTrades[Closed]) - FuturesTrades[Opened], "")</f>
        <v/>
      </c>
      <c r="E372" s="6"/>
      <c r="F372" s="6"/>
      <c r="G372" s="22"/>
      <c r="H372" s="117"/>
      <c r="I372" s="165"/>
      <c r="J372" s="165"/>
      <c r="K372" s="117"/>
      <c r="L372" s="117"/>
      <c r="M372" s="117">
        <f t="shared" si="1"/>
        <v>0</v>
      </c>
    </row>
    <row r="373" ht="22.5" customHeight="1">
      <c r="A373" s="116"/>
      <c r="C373" s="166"/>
      <c r="D373" s="118" t="str">
        <f>IF(FuturesTrades[Opened] &lt;&gt; "",IF(FuturesTrades[Closed] = "", TODAY(), FuturesTrades[Closed]) - FuturesTrades[Opened], "")</f>
        <v/>
      </c>
      <c r="E373" s="6"/>
      <c r="F373" s="6"/>
      <c r="G373" s="22"/>
      <c r="H373" s="117"/>
      <c r="I373" s="165"/>
      <c r="J373" s="165"/>
      <c r="K373" s="117"/>
      <c r="L373" s="117"/>
      <c r="M373" s="117">
        <f t="shared" si="1"/>
        <v>0</v>
      </c>
    </row>
    <row r="374" ht="22.5" customHeight="1">
      <c r="A374" s="116"/>
      <c r="C374" s="166"/>
      <c r="D374" s="118" t="str">
        <f>IF(FuturesTrades[Opened] &lt;&gt; "",IF(FuturesTrades[Closed] = "", TODAY(), FuturesTrades[Closed]) - FuturesTrades[Opened], "")</f>
        <v/>
      </c>
      <c r="E374" s="6"/>
      <c r="F374" s="6"/>
      <c r="G374" s="22"/>
      <c r="H374" s="117"/>
      <c r="I374" s="165"/>
      <c r="J374" s="165"/>
      <c r="K374" s="117"/>
      <c r="L374" s="117"/>
      <c r="M374" s="117">
        <f t="shared" si="1"/>
        <v>0</v>
      </c>
    </row>
    <row r="375" ht="22.5" customHeight="1">
      <c r="A375" s="116"/>
      <c r="C375" s="166"/>
      <c r="D375" s="118" t="str">
        <f>IF(FuturesTrades[Opened] &lt;&gt; "",IF(FuturesTrades[Closed] = "", TODAY(), FuturesTrades[Closed]) - FuturesTrades[Opened], "")</f>
        <v/>
      </c>
      <c r="E375" s="6"/>
      <c r="F375" s="6"/>
      <c r="G375" s="22"/>
      <c r="H375" s="117"/>
      <c r="I375" s="165"/>
      <c r="J375" s="165"/>
      <c r="K375" s="117"/>
      <c r="L375" s="117"/>
      <c r="M375" s="117">
        <f t="shared" si="1"/>
        <v>0</v>
      </c>
    </row>
    <row r="376" ht="22.5" customHeight="1">
      <c r="A376" s="116"/>
      <c r="C376" s="166"/>
      <c r="D376" s="118" t="str">
        <f>IF(FuturesTrades[Opened] &lt;&gt; "",IF(FuturesTrades[Closed] = "", TODAY(), FuturesTrades[Closed]) - FuturesTrades[Opened], "")</f>
        <v/>
      </c>
      <c r="E376" s="6"/>
      <c r="F376" s="6"/>
      <c r="G376" s="22"/>
      <c r="H376" s="117"/>
      <c r="I376" s="165"/>
      <c r="J376" s="165"/>
      <c r="K376" s="117"/>
      <c r="L376" s="117"/>
      <c r="M376" s="117">
        <f t="shared" si="1"/>
        <v>0</v>
      </c>
    </row>
    <row r="377" ht="22.5" customHeight="1">
      <c r="A377" s="116"/>
      <c r="C377" s="166"/>
      <c r="D377" s="118" t="str">
        <f>IF(FuturesTrades[Opened] &lt;&gt; "",IF(FuturesTrades[Closed] = "", TODAY(), FuturesTrades[Closed]) - FuturesTrades[Opened], "")</f>
        <v/>
      </c>
      <c r="E377" s="6"/>
      <c r="F377" s="6"/>
      <c r="G377" s="22"/>
      <c r="H377" s="117"/>
      <c r="I377" s="165"/>
      <c r="J377" s="165"/>
      <c r="K377" s="117"/>
      <c r="L377" s="117"/>
      <c r="M377" s="117">
        <f t="shared" si="1"/>
        <v>0</v>
      </c>
    </row>
    <row r="378" ht="22.5" customHeight="1">
      <c r="A378" s="116"/>
      <c r="C378" s="166"/>
      <c r="D378" s="118" t="str">
        <f>IF(FuturesTrades[Opened] &lt;&gt; "",IF(FuturesTrades[Closed] = "", TODAY(), FuturesTrades[Closed]) - FuturesTrades[Opened], "")</f>
        <v/>
      </c>
      <c r="E378" s="6"/>
      <c r="F378" s="6"/>
      <c r="G378" s="22"/>
      <c r="H378" s="117"/>
      <c r="I378" s="165"/>
      <c r="J378" s="165"/>
      <c r="K378" s="117"/>
      <c r="L378" s="117"/>
      <c r="M378" s="117">
        <f t="shared" si="1"/>
        <v>0</v>
      </c>
    </row>
    <row r="379" ht="22.5" customHeight="1">
      <c r="A379" s="116"/>
      <c r="C379" s="166"/>
      <c r="D379" s="118" t="str">
        <f>IF(FuturesTrades[Opened] &lt;&gt; "",IF(FuturesTrades[Closed] = "", TODAY(), FuturesTrades[Closed]) - FuturesTrades[Opened], "")</f>
        <v/>
      </c>
      <c r="E379" s="6"/>
      <c r="F379" s="6"/>
      <c r="G379" s="22"/>
      <c r="H379" s="117"/>
      <c r="I379" s="165"/>
      <c r="J379" s="165"/>
      <c r="K379" s="117"/>
      <c r="L379" s="117"/>
      <c r="M379" s="117">
        <f t="shared" si="1"/>
        <v>0</v>
      </c>
    </row>
    <row r="380" ht="22.5" customHeight="1">
      <c r="A380" s="116"/>
      <c r="C380" s="166"/>
      <c r="D380" s="118" t="str">
        <f>IF(FuturesTrades[Opened] &lt;&gt; "",IF(FuturesTrades[Closed] = "", TODAY(), FuturesTrades[Closed]) - FuturesTrades[Opened], "")</f>
        <v/>
      </c>
      <c r="E380" s="6"/>
      <c r="F380" s="6"/>
      <c r="G380" s="22"/>
      <c r="H380" s="117"/>
      <c r="I380" s="165"/>
      <c r="J380" s="165"/>
      <c r="K380" s="117"/>
      <c r="L380" s="117"/>
      <c r="M380" s="117">
        <f t="shared" si="1"/>
        <v>0</v>
      </c>
    </row>
    <row r="381" ht="22.5" customHeight="1">
      <c r="A381" s="116"/>
      <c r="C381" s="166"/>
      <c r="D381" s="118" t="str">
        <f>IF(FuturesTrades[Opened] &lt;&gt; "",IF(FuturesTrades[Closed] = "", TODAY(), FuturesTrades[Closed]) - FuturesTrades[Opened], "")</f>
        <v/>
      </c>
      <c r="E381" s="6"/>
      <c r="F381" s="6"/>
      <c r="G381" s="22"/>
      <c r="H381" s="117"/>
      <c r="I381" s="165"/>
      <c r="J381" s="165"/>
      <c r="K381" s="117"/>
      <c r="L381" s="117"/>
      <c r="M381" s="117">
        <f t="shared" si="1"/>
        <v>0</v>
      </c>
    </row>
    <row r="382" ht="22.5" customHeight="1">
      <c r="A382" s="116"/>
      <c r="C382" s="166"/>
      <c r="D382" s="118" t="str">
        <f>IF(FuturesTrades[Opened] &lt;&gt; "",IF(FuturesTrades[Closed] = "", TODAY(), FuturesTrades[Closed]) - FuturesTrades[Opened], "")</f>
        <v/>
      </c>
      <c r="E382" s="6"/>
      <c r="F382" s="6"/>
      <c r="G382" s="22"/>
      <c r="H382" s="117"/>
      <c r="I382" s="165"/>
      <c r="J382" s="165"/>
      <c r="K382" s="117"/>
      <c r="L382" s="117"/>
      <c r="M382" s="117">
        <f t="shared" si="1"/>
        <v>0</v>
      </c>
    </row>
    <row r="383" ht="22.5" customHeight="1">
      <c r="A383" s="116"/>
      <c r="C383" s="166"/>
      <c r="D383" s="118" t="str">
        <f>IF(FuturesTrades[Opened] &lt;&gt; "",IF(FuturesTrades[Closed] = "", TODAY(), FuturesTrades[Closed]) - FuturesTrades[Opened], "")</f>
        <v/>
      </c>
      <c r="E383" s="6"/>
      <c r="F383" s="6"/>
      <c r="G383" s="22"/>
      <c r="H383" s="117"/>
      <c r="I383" s="165"/>
      <c r="J383" s="165"/>
      <c r="K383" s="117"/>
      <c r="L383" s="117"/>
      <c r="M383" s="117">
        <f t="shared" si="1"/>
        <v>0</v>
      </c>
    </row>
    <row r="384" ht="22.5" customHeight="1">
      <c r="A384" s="116"/>
      <c r="C384" s="166"/>
      <c r="D384" s="118" t="str">
        <f>IF(FuturesTrades[Opened] &lt;&gt; "",IF(FuturesTrades[Closed] = "", TODAY(), FuturesTrades[Closed]) - FuturesTrades[Opened], "")</f>
        <v/>
      </c>
      <c r="E384" s="6"/>
      <c r="F384" s="6"/>
      <c r="G384" s="22"/>
      <c r="H384" s="117"/>
      <c r="I384" s="165"/>
      <c r="J384" s="165"/>
      <c r="K384" s="117"/>
      <c r="L384" s="117"/>
      <c r="M384" s="117">
        <f t="shared" si="1"/>
        <v>0</v>
      </c>
    </row>
    <row r="385" ht="22.5" customHeight="1">
      <c r="A385" s="116"/>
      <c r="C385" s="166"/>
      <c r="D385" s="118" t="str">
        <f>IF(FuturesTrades[Opened] &lt;&gt; "",IF(FuturesTrades[Closed] = "", TODAY(), FuturesTrades[Closed]) - FuturesTrades[Opened], "")</f>
        <v/>
      </c>
      <c r="E385" s="6"/>
      <c r="F385" s="6"/>
      <c r="G385" s="22"/>
      <c r="H385" s="117"/>
      <c r="I385" s="165"/>
      <c r="J385" s="165"/>
      <c r="K385" s="117"/>
      <c r="L385" s="117"/>
      <c r="M385" s="117">
        <f t="shared" si="1"/>
        <v>0</v>
      </c>
    </row>
    <row r="386" ht="22.5" customHeight="1">
      <c r="A386" s="116"/>
      <c r="C386" s="166"/>
      <c r="D386" s="118" t="str">
        <f>IF(FuturesTrades[Opened] &lt;&gt; "",IF(FuturesTrades[Closed] = "", TODAY(), FuturesTrades[Closed]) - FuturesTrades[Opened], "")</f>
        <v/>
      </c>
      <c r="E386" s="6"/>
      <c r="F386" s="6"/>
      <c r="G386" s="22"/>
      <c r="H386" s="117"/>
      <c r="I386" s="165"/>
      <c r="J386" s="165"/>
      <c r="K386" s="117"/>
      <c r="L386" s="117"/>
      <c r="M386" s="117">
        <f t="shared" si="1"/>
        <v>0</v>
      </c>
    </row>
    <row r="387" ht="22.5" customHeight="1">
      <c r="A387" s="116"/>
      <c r="C387" s="166"/>
      <c r="D387" s="118" t="str">
        <f>IF(FuturesTrades[Opened] &lt;&gt; "",IF(FuturesTrades[Closed] = "", TODAY(), FuturesTrades[Closed]) - FuturesTrades[Opened], "")</f>
        <v/>
      </c>
      <c r="E387" s="6"/>
      <c r="F387" s="6"/>
      <c r="G387" s="22"/>
      <c r="H387" s="117"/>
      <c r="I387" s="165"/>
      <c r="J387" s="165"/>
      <c r="K387" s="117"/>
      <c r="L387" s="117"/>
      <c r="M387" s="117">
        <f t="shared" si="1"/>
        <v>0</v>
      </c>
    </row>
    <row r="388" ht="22.5" customHeight="1">
      <c r="A388" s="116"/>
      <c r="C388" s="166"/>
      <c r="D388" s="118" t="str">
        <f>IF(FuturesTrades[Opened] &lt;&gt; "",IF(FuturesTrades[Closed] = "", TODAY(), FuturesTrades[Closed]) - FuturesTrades[Opened], "")</f>
        <v/>
      </c>
      <c r="E388" s="6"/>
      <c r="F388" s="6"/>
      <c r="G388" s="22"/>
      <c r="H388" s="117"/>
      <c r="I388" s="165"/>
      <c r="J388" s="165"/>
      <c r="K388" s="117"/>
      <c r="L388" s="117"/>
      <c r="M388" s="117">
        <f t="shared" si="1"/>
        <v>0</v>
      </c>
    </row>
    <row r="389" ht="22.5" customHeight="1">
      <c r="A389" s="116"/>
      <c r="C389" s="166"/>
      <c r="D389" s="118" t="str">
        <f>IF(FuturesTrades[Opened] &lt;&gt; "",IF(FuturesTrades[Closed] = "", TODAY(), FuturesTrades[Closed]) - FuturesTrades[Opened], "")</f>
        <v/>
      </c>
      <c r="E389" s="6"/>
      <c r="F389" s="6"/>
      <c r="G389" s="22"/>
      <c r="H389" s="117"/>
      <c r="I389" s="165"/>
      <c r="J389" s="165"/>
      <c r="K389" s="117"/>
      <c r="L389" s="117"/>
      <c r="M389" s="117">
        <f t="shared" si="1"/>
        <v>0</v>
      </c>
    </row>
    <row r="390" ht="22.5" customHeight="1">
      <c r="A390" s="116"/>
      <c r="C390" s="166"/>
      <c r="D390" s="118" t="str">
        <f>IF(FuturesTrades[Opened] &lt;&gt; "",IF(FuturesTrades[Closed] = "", TODAY(), FuturesTrades[Closed]) - FuturesTrades[Opened], "")</f>
        <v/>
      </c>
      <c r="E390" s="6"/>
      <c r="F390" s="6"/>
      <c r="G390" s="22"/>
      <c r="H390" s="117"/>
      <c r="I390" s="165"/>
      <c r="J390" s="165"/>
      <c r="K390" s="117"/>
      <c r="L390" s="117"/>
      <c r="M390" s="117">
        <f t="shared" si="1"/>
        <v>0</v>
      </c>
    </row>
    <row r="391" ht="22.5" customHeight="1">
      <c r="A391" s="116"/>
      <c r="C391" s="166"/>
      <c r="D391" s="118" t="str">
        <f>IF(FuturesTrades[Opened] &lt;&gt; "",IF(FuturesTrades[Closed] = "", TODAY(), FuturesTrades[Closed]) - FuturesTrades[Opened], "")</f>
        <v/>
      </c>
      <c r="E391" s="6"/>
      <c r="F391" s="6"/>
      <c r="G391" s="22"/>
      <c r="H391" s="117"/>
      <c r="I391" s="165"/>
      <c r="J391" s="165"/>
      <c r="K391" s="117"/>
      <c r="L391" s="117"/>
      <c r="M391" s="117">
        <f t="shared" si="1"/>
        <v>0</v>
      </c>
    </row>
    <row r="392" ht="22.5" customHeight="1">
      <c r="A392" s="116"/>
      <c r="C392" s="166"/>
      <c r="D392" s="118" t="str">
        <f>IF(FuturesTrades[Opened] &lt;&gt; "",IF(FuturesTrades[Closed] = "", TODAY(), FuturesTrades[Closed]) - FuturesTrades[Opened], "")</f>
        <v/>
      </c>
      <c r="E392" s="6"/>
      <c r="F392" s="6"/>
      <c r="G392" s="22"/>
      <c r="H392" s="117"/>
      <c r="I392" s="165"/>
      <c r="J392" s="165"/>
      <c r="K392" s="117"/>
      <c r="L392" s="117"/>
      <c r="M392" s="117">
        <f t="shared" si="1"/>
        <v>0</v>
      </c>
    </row>
    <row r="393" ht="22.5" customHeight="1">
      <c r="A393" s="116"/>
      <c r="C393" s="166"/>
      <c r="D393" s="118" t="str">
        <f>IF(FuturesTrades[Opened] &lt;&gt; "",IF(FuturesTrades[Closed] = "", TODAY(), FuturesTrades[Closed]) - FuturesTrades[Opened], "")</f>
        <v/>
      </c>
      <c r="E393" s="6"/>
      <c r="F393" s="6"/>
      <c r="G393" s="22"/>
      <c r="H393" s="117"/>
      <c r="I393" s="165"/>
      <c r="J393" s="165"/>
      <c r="K393" s="117"/>
      <c r="L393" s="117"/>
      <c r="M393" s="117">
        <f t="shared" si="1"/>
        <v>0</v>
      </c>
    </row>
    <row r="394" ht="22.5" customHeight="1">
      <c r="A394" s="116"/>
      <c r="C394" s="166"/>
      <c r="D394" s="118" t="str">
        <f>IF(FuturesTrades[Opened] &lt;&gt; "",IF(FuturesTrades[Closed] = "", TODAY(), FuturesTrades[Closed]) - FuturesTrades[Opened], "")</f>
        <v/>
      </c>
      <c r="E394" s="6"/>
      <c r="F394" s="6"/>
      <c r="G394" s="22"/>
      <c r="H394" s="117"/>
      <c r="I394" s="165"/>
      <c r="J394" s="165"/>
      <c r="K394" s="117"/>
      <c r="L394" s="117"/>
      <c r="M394" s="117">
        <f t="shared" si="1"/>
        <v>0</v>
      </c>
    </row>
    <row r="395" ht="22.5" customHeight="1">
      <c r="A395" s="116"/>
      <c r="C395" s="166"/>
      <c r="D395" s="118" t="str">
        <f>IF(FuturesTrades[Opened] &lt;&gt; "",IF(FuturesTrades[Closed] = "", TODAY(), FuturesTrades[Closed]) - FuturesTrades[Opened], "")</f>
        <v/>
      </c>
      <c r="E395" s="6"/>
      <c r="F395" s="6"/>
      <c r="G395" s="22"/>
      <c r="H395" s="117"/>
      <c r="I395" s="165"/>
      <c r="J395" s="165"/>
      <c r="K395" s="117"/>
      <c r="L395" s="117"/>
      <c r="M395" s="117">
        <f t="shared" si="1"/>
        <v>0</v>
      </c>
    </row>
    <row r="396" ht="22.5" customHeight="1">
      <c r="A396" s="116"/>
      <c r="C396" s="166"/>
      <c r="D396" s="118" t="str">
        <f>IF(FuturesTrades[Opened] &lt;&gt; "",IF(FuturesTrades[Closed] = "", TODAY(), FuturesTrades[Closed]) - FuturesTrades[Opened], "")</f>
        <v/>
      </c>
      <c r="E396" s="6"/>
      <c r="F396" s="6"/>
      <c r="G396" s="22"/>
      <c r="H396" s="117"/>
      <c r="I396" s="165"/>
      <c r="J396" s="165"/>
      <c r="K396" s="117"/>
      <c r="L396" s="117"/>
      <c r="M396" s="117">
        <f t="shared" si="1"/>
        <v>0</v>
      </c>
    </row>
    <row r="397" ht="22.5" customHeight="1">
      <c r="A397" s="116"/>
      <c r="C397" s="166"/>
      <c r="D397" s="118" t="str">
        <f>IF(FuturesTrades[Opened] &lt;&gt; "",IF(FuturesTrades[Closed] = "", TODAY(), FuturesTrades[Closed]) - FuturesTrades[Opened], "")</f>
        <v/>
      </c>
      <c r="E397" s="6"/>
      <c r="F397" s="6"/>
      <c r="G397" s="22"/>
      <c r="H397" s="117"/>
      <c r="I397" s="165"/>
      <c r="J397" s="165"/>
      <c r="K397" s="117"/>
      <c r="L397" s="117"/>
      <c r="M397" s="117">
        <f t="shared" si="1"/>
        <v>0</v>
      </c>
    </row>
    <row r="398" ht="22.5" customHeight="1">
      <c r="A398" s="116"/>
      <c r="C398" s="166"/>
      <c r="D398" s="118" t="str">
        <f>IF(FuturesTrades[Opened] &lt;&gt; "",IF(FuturesTrades[Closed] = "", TODAY(), FuturesTrades[Closed]) - FuturesTrades[Opened], "")</f>
        <v/>
      </c>
      <c r="E398" s="6"/>
      <c r="F398" s="6"/>
      <c r="G398" s="22"/>
      <c r="H398" s="117"/>
      <c r="I398" s="165"/>
      <c r="J398" s="165"/>
      <c r="K398" s="117"/>
      <c r="L398" s="117"/>
      <c r="M398" s="117">
        <f t="shared" si="1"/>
        <v>0</v>
      </c>
    </row>
    <row r="399" ht="22.5" customHeight="1">
      <c r="A399" s="116"/>
      <c r="C399" s="166"/>
      <c r="D399" s="118" t="str">
        <f>IF(FuturesTrades[Opened] &lt;&gt; "",IF(FuturesTrades[Closed] = "", TODAY(), FuturesTrades[Closed]) - FuturesTrades[Opened], "")</f>
        <v/>
      </c>
      <c r="E399" s="6"/>
      <c r="F399" s="6"/>
      <c r="G399" s="22"/>
      <c r="H399" s="117"/>
      <c r="I399" s="165"/>
      <c r="J399" s="165"/>
      <c r="K399" s="117"/>
      <c r="L399" s="117"/>
      <c r="M399" s="117">
        <f t="shared" si="1"/>
        <v>0</v>
      </c>
    </row>
    <row r="400" ht="22.5" customHeight="1">
      <c r="A400" s="116"/>
      <c r="C400" s="166"/>
      <c r="D400" s="118" t="str">
        <f>IF(FuturesTrades[Opened] &lt;&gt; "",IF(FuturesTrades[Closed] = "", TODAY(), FuturesTrades[Closed]) - FuturesTrades[Opened], "")</f>
        <v/>
      </c>
      <c r="E400" s="6"/>
      <c r="F400" s="6"/>
      <c r="G400" s="22"/>
      <c r="H400" s="117"/>
      <c r="I400" s="165"/>
      <c r="J400" s="165"/>
      <c r="K400" s="117"/>
      <c r="L400" s="117"/>
      <c r="M400" s="117">
        <f t="shared" si="1"/>
        <v>0</v>
      </c>
    </row>
    <row r="401" ht="22.5" customHeight="1">
      <c r="A401" s="116"/>
      <c r="C401" s="166"/>
      <c r="D401" s="118" t="str">
        <f>IF(FuturesTrades[Opened] &lt;&gt; "",IF(FuturesTrades[Closed] = "", TODAY(), FuturesTrades[Closed]) - FuturesTrades[Opened], "")</f>
        <v/>
      </c>
      <c r="E401" s="6"/>
      <c r="F401" s="6"/>
      <c r="G401" s="22"/>
      <c r="H401" s="117"/>
      <c r="I401" s="165"/>
      <c r="J401" s="165"/>
      <c r="K401" s="117"/>
      <c r="L401" s="117"/>
      <c r="M401" s="117">
        <f t="shared" si="1"/>
        <v>0</v>
      </c>
    </row>
    <row r="402" ht="22.5" customHeight="1">
      <c r="A402" s="116"/>
      <c r="C402" s="166"/>
      <c r="D402" s="118" t="str">
        <f>IF(FuturesTrades[Opened] &lt;&gt; "",IF(FuturesTrades[Closed] = "", TODAY(), FuturesTrades[Closed]) - FuturesTrades[Opened], "")</f>
        <v/>
      </c>
      <c r="E402" s="6"/>
      <c r="F402" s="6"/>
      <c r="G402" s="22"/>
      <c r="H402" s="117"/>
      <c r="I402" s="165"/>
      <c r="J402" s="165"/>
      <c r="K402" s="117"/>
      <c r="L402" s="117"/>
      <c r="M402" s="117">
        <f t="shared" si="1"/>
        <v>0</v>
      </c>
    </row>
    <row r="403" ht="22.5" customHeight="1">
      <c r="A403" s="116"/>
      <c r="C403" s="166"/>
      <c r="D403" s="118" t="str">
        <f>IF(FuturesTrades[Opened] &lt;&gt; "",IF(FuturesTrades[Closed] = "", TODAY(), FuturesTrades[Closed]) - FuturesTrades[Opened], "")</f>
        <v/>
      </c>
      <c r="E403" s="6"/>
      <c r="F403" s="6"/>
      <c r="G403" s="22"/>
      <c r="H403" s="117"/>
      <c r="I403" s="165"/>
      <c r="J403" s="165"/>
      <c r="K403" s="117"/>
      <c r="L403" s="117"/>
      <c r="M403" s="117">
        <f t="shared" si="1"/>
        <v>0</v>
      </c>
    </row>
    <row r="404" ht="22.5" customHeight="1">
      <c r="A404" s="116"/>
      <c r="C404" s="166"/>
      <c r="D404" s="118" t="str">
        <f>IF(FuturesTrades[Opened] &lt;&gt; "",IF(FuturesTrades[Closed] = "", TODAY(), FuturesTrades[Closed]) - FuturesTrades[Opened], "")</f>
        <v/>
      </c>
      <c r="E404" s="6"/>
      <c r="F404" s="6"/>
      <c r="G404" s="22"/>
      <c r="H404" s="117"/>
      <c r="I404" s="165"/>
      <c r="J404" s="165"/>
      <c r="K404" s="117"/>
      <c r="L404" s="117"/>
      <c r="M404" s="117">
        <f t="shared" si="1"/>
        <v>0</v>
      </c>
    </row>
    <row r="405" ht="22.5" customHeight="1">
      <c r="A405" s="116"/>
      <c r="C405" s="166"/>
      <c r="D405" s="118" t="str">
        <f>IF(FuturesTrades[Opened] &lt;&gt; "",IF(FuturesTrades[Closed] = "", TODAY(), FuturesTrades[Closed]) - FuturesTrades[Opened], "")</f>
        <v/>
      </c>
      <c r="E405" s="6"/>
      <c r="F405" s="6"/>
      <c r="G405" s="22"/>
      <c r="H405" s="117"/>
      <c r="I405" s="165"/>
      <c r="J405" s="165"/>
      <c r="K405" s="117"/>
      <c r="L405" s="117"/>
      <c r="M405" s="117">
        <f t="shared" si="1"/>
        <v>0</v>
      </c>
    </row>
    <row r="406" ht="22.5" customHeight="1">
      <c r="A406" s="116"/>
      <c r="C406" s="166"/>
      <c r="D406" s="118" t="str">
        <f>IF(FuturesTrades[Opened] &lt;&gt; "",IF(FuturesTrades[Closed] = "", TODAY(), FuturesTrades[Closed]) - FuturesTrades[Opened], "")</f>
        <v/>
      </c>
      <c r="E406" s="6"/>
      <c r="F406" s="6"/>
      <c r="G406" s="22"/>
      <c r="H406" s="117"/>
      <c r="I406" s="165"/>
      <c r="J406" s="165"/>
      <c r="K406" s="117"/>
      <c r="L406" s="117"/>
      <c r="M406" s="117">
        <f t="shared" si="1"/>
        <v>0</v>
      </c>
    </row>
    <row r="407" ht="22.5" customHeight="1">
      <c r="A407" s="116"/>
      <c r="C407" s="166"/>
      <c r="D407" s="118" t="str">
        <f>IF(FuturesTrades[Opened] &lt;&gt; "",IF(FuturesTrades[Closed] = "", TODAY(), FuturesTrades[Closed]) - FuturesTrades[Opened], "")</f>
        <v/>
      </c>
      <c r="E407" s="6"/>
      <c r="F407" s="6"/>
      <c r="G407" s="22"/>
      <c r="H407" s="117"/>
      <c r="I407" s="165"/>
      <c r="J407" s="165"/>
      <c r="K407" s="117"/>
      <c r="L407" s="117"/>
      <c r="M407" s="117">
        <f t="shared" si="1"/>
        <v>0</v>
      </c>
    </row>
    <row r="408" ht="22.5" customHeight="1">
      <c r="A408" s="116"/>
      <c r="C408" s="166"/>
      <c r="D408" s="118" t="str">
        <f>IF(FuturesTrades[Opened] &lt;&gt; "",IF(FuturesTrades[Closed] = "", TODAY(), FuturesTrades[Closed]) - FuturesTrades[Opened], "")</f>
        <v/>
      </c>
      <c r="E408" s="6"/>
      <c r="F408" s="6"/>
      <c r="G408" s="22"/>
      <c r="H408" s="117"/>
      <c r="I408" s="165"/>
      <c r="J408" s="165"/>
      <c r="K408" s="117"/>
      <c r="L408" s="117"/>
      <c r="M408" s="117">
        <f t="shared" si="1"/>
        <v>0</v>
      </c>
    </row>
    <row r="409" ht="22.5" customHeight="1">
      <c r="A409" s="116"/>
      <c r="C409" s="166"/>
      <c r="D409" s="118" t="str">
        <f>IF(FuturesTrades[Opened] &lt;&gt; "",IF(FuturesTrades[Closed] = "", TODAY(), FuturesTrades[Closed]) - FuturesTrades[Opened], "")</f>
        <v/>
      </c>
      <c r="E409" s="6"/>
      <c r="F409" s="6"/>
      <c r="G409" s="22"/>
      <c r="H409" s="117"/>
      <c r="I409" s="165"/>
      <c r="J409" s="165"/>
      <c r="K409" s="117"/>
      <c r="L409" s="117"/>
      <c r="M409" s="117">
        <f t="shared" si="1"/>
        <v>0</v>
      </c>
    </row>
    <row r="410" ht="22.5" customHeight="1">
      <c r="A410" s="116"/>
      <c r="C410" s="166"/>
      <c r="D410" s="118" t="str">
        <f>IF(FuturesTrades[Opened] &lt;&gt; "",IF(FuturesTrades[Closed] = "", TODAY(), FuturesTrades[Closed]) - FuturesTrades[Opened], "")</f>
        <v/>
      </c>
      <c r="E410" s="6"/>
      <c r="F410" s="6"/>
      <c r="G410" s="22"/>
      <c r="H410" s="117"/>
      <c r="I410" s="165"/>
      <c r="J410" s="165"/>
      <c r="K410" s="117"/>
      <c r="L410" s="117"/>
      <c r="M410" s="117">
        <f t="shared" si="1"/>
        <v>0</v>
      </c>
    </row>
    <row r="411" ht="22.5" customHeight="1">
      <c r="A411" s="116"/>
      <c r="C411" s="166"/>
      <c r="D411" s="118" t="str">
        <f>IF(FuturesTrades[Opened] &lt;&gt; "",IF(FuturesTrades[Closed] = "", TODAY(), FuturesTrades[Closed]) - FuturesTrades[Opened], "")</f>
        <v/>
      </c>
      <c r="E411" s="6"/>
      <c r="F411" s="6"/>
      <c r="G411" s="22"/>
      <c r="H411" s="117"/>
      <c r="I411" s="165"/>
      <c r="J411" s="165"/>
      <c r="K411" s="117"/>
      <c r="L411" s="117"/>
      <c r="M411" s="117">
        <f t="shared" si="1"/>
        <v>0</v>
      </c>
    </row>
    <row r="412" ht="22.5" customHeight="1">
      <c r="A412" s="116"/>
      <c r="C412" s="166"/>
      <c r="D412" s="118" t="str">
        <f>IF(FuturesTrades[Opened] &lt;&gt; "",IF(FuturesTrades[Closed] = "", TODAY(), FuturesTrades[Closed]) - FuturesTrades[Opened], "")</f>
        <v/>
      </c>
      <c r="E412" s="6"/>
      <c r="F412" s="6"/>
      <c r="G412" s="22"/>
      <c r="H412" s="117"/>
      <c r="I412" s="165"/>
      <c r="J412" s="165"/>
      <c r="K412" s="117"/>
      <c r="L412" s="117"/>
      <c r="M412" s="117">
        <f t="shared" si="1"/>
        <v>0</v>
      </c>
    </row>
    <row r="413" ht="22.5" customHeight="1">
      <c r="A413" s="116"/>
      <c r="C413" s="166"/>
      <c r="D413" s="118" t="str">
        <f>IF(FuturesTrades[Opened] &lt;&gt; "",IF(FuturesTrades[Closed] = "", TODAY(), FuturesTrades[Closed]) - FuturesTrades[Opened], "")</f>
        <v/>
      </c>
      <c r="E413" s="6"/>
      <c r="F413" s="6"/>
      <c r="G413" s="22"/>
      <c r="H413" s="117"/>
      <c r="I413" s="165"/>
      <c r="J413" s="165"/>
      <c r="K413" s="117"/>
      <c r="L413" s="117"/>
      <c r="M413" s="117">
        <f t="shared" si="1"/>
        <v>0</v>
      </c>
    </row>
    <row r="414" ht="22.5" customHeight="1">
      <c r="A414" s="116"/>
      <c r="C414" s="166"/>
      <c r="D414" s="118" t="str">
        <f>IF(FuturesTrades[Opened] &lt;&gt; "",IF(FuturesTrades[Closed] = "", TODAY(), FuturesTrades[Closed]) - FuturesTrades[Opened], "")</f>
        <v/>
      </c>
      <c r="E414" s="6"/>
      <c r="F414" s="6"/>
      <c r="G414" s="22"/>
      <c r="H414" s="117"/>
      <c r="I414" s="165"/>
      <c r="J414" s="165"/>
      <c r="K414" s="117"/>
      <c r="L414" s="117"/>
      <c r="M414" s="117">
        <f t="shared" si="1"/>
        <v>0</v>
      </c>
    </row>
    <row r="415" ht="22.5" customHeight="1">
      <c r="A415" s="116"/>
      <c r="C415" s="166"/>
      <c r="D415" s="118" t="str">
        <f>IF(FuturesTrades[Opened] &lt;&gt; "",IF(FuturesTrades[Closed] = "", TODAY(), FuturesTrades[Closed]) - FuturesTrades[Opened], "")</f>
        <v/>
      </c>
      <c r="E415" s="6"/>
      <c r="F415" s="6"/>
      <c r="G415" s="22"/>
      <c r="H415" s="117"/>
      <c r="I415" s="165"/>
      <c r="J415" s="165"/>
      <c r="K415" s="117"/>
      <c r="L415" s="117"/>
      <c r="M415" s="117">
        <f t="shared" si="1"/>
        <v>0</v>
      </c>
    </row>
    <row r="416" ht="22.5" customHeight="1">
      <c r="A416" s="116"/>
      <c r="C416" s="166"/>
      <c r="D416" s="118" t="str">
        <f>IF(FuturesTrades[Opened] &lt;&gt; "",IF(FuturesTrades[Closed] = "", TODAY(), FuturesTrades[Closed]) - FuturesTrades[Opened], "")</f>
        <v/>
      </c>
      <c r="E416" s="6"/>
      <c r="F416" s="6"/>
      <c r="G416" s="22"/>
      <c r="H416" s="117"/>
      <c r="I416" s="165"/>
      <c r="J416" s="165"/>
      <c r="K416" s="117"/>
      <c r="L416" s="117"/>
      <c r="M416" s="117">
        <f t="shared" si="1"/>
        <v>0</v>
      </c>
    </row>
    <row r="417" ht="22.5" customHeight="1">
      <c r="A417" s="116"/>
      <c r="C417" s="166"/>
      <c r="D417" s="118" t="str">
        <f>IF(FuturesTrades[Opened] &lt;&gt; "",IF(FuturesTrades[Closed] = "", TODAY(), FuturesTrades[Closed]) - FuturesTrades[Opened], "")</f>
        <v/>
      </c>
      <c r="E417" s="6"/>
      <c r="F417" s="6"/>
      <c r="G417" s="22"/>
      <c r="H417" s="117"/>
      <c r="I417" s="165"/>
      <c r="J417" s="165"/>
      <c r="K417" s="117"/>
      <c r="L417" s="117"/>
      <c r="M417" s="117">
        <f t="shared" si="1"/>
        <v>0</v>
      </c>
    </row>
    <row r="418" ht="22.5" customHeight="1">
      <c r="A418" s="116"/>
      <c r="C418" s="166"/>
      <c r="D418" s="118" t="str">
        <f>IF(FuturesTrades[Opened] &lt;&gt; "",IF(FuturesTrades[Closed] = "", TODAY(), FuturesTrades[Closed]) - FuturesTrades[Opened], "")</f>
        <v/>
      </c>
      <c r="E418" s="6"/>
      <c r="F418" s="6"/>
      <c r="G418" s="22"/>
      <c r="H418" s="117"/>
      <c r="I418" s="165"/>
      <c r="J418" s="165"/>
      <c r="K418" s="117"/>
      <c r="L418" s="117"/>
      <c r="M418" s="117">
        <f t="shared" si="1"/>
        <v>0</v>
      </c>
    </row>
    <row r="419" ht="22.5" customHeight="1">
      <c r="A419" s="116"/>
      <c r="C419" s="166"/>
      <c r="D419" s="118" t="str">
        <f>IF(FuturesTrades[Opened] &lt;&gt; "",IF(FuturesTrades[Closed] = "", TODAY(), FuturesTrades[Closed]) - FuturesTrades[Opened], "")</f>
        <v/>
      </c>
      <c r="E419" s="6"/>
      <c r="F419" s="6"/>
      <c r="G419" s="22"/>
      <c r="H419" s="117"/>
      <c r="I419" s="165"/>
      <c r="J419" s="165"/>
      <c r="K419" s="117"/>
      <c r="L419" s="117"/>
      <c r="M419" s="117">
        <f t="shared" si="1"/>
        <v>0</v>
      </c>
    </row>
    <row r="420" ht="22.5" customHeight="1">
      <c r="A420" s="116"/>
      <c r="C420" s="166"/>
      <c r="D420" s="118" t="str">
        <f>IF(FuturesTrades[Opened] &lt;&gt; "",IF(FuturesTrades[Closed] = "", TODAY(), FuturesTrades[Closed]) - FuturesTrades[Opened], "")</f>
        <v/>
      </c>
      <c r="E420" s="6"/>
      <c r="F420" s="6"/>
      <c r="G420" s="22"/>
      <c r="H420" s="117"/>
      <c r="I420" s="165"/>
      <c r="J420" s="165"/>
      <c r="K420" s="117"/>
      <c r="L420" s="117"/>
      <c r="M420" s="117">
        <f t="shared" si="1"/>
        <v>0</v>
      </c>
    </row>
    <row r="421" ht="22.5" customHeight="1">
      <c r="A421" s="116"/>
      <c r="C421" s="166"/>
      <c r="D421" s="118" t="str">
        <f>IF(FuturesTrades[Opened] &lt;&gt; "",IF(FuturesTrades[Closed] = "", TODAY(), FuturesTrades[Closed]) - FuturesTrades[Opened], "")</f>
        <v/>
      </c>
      <c r="E421" s="6"/>
      <c r="F421" s="6"/>
      <c r="G421" s="22"/>
      <c r="H421" s="117"/>
      <c r="I421" s="165"/>
      <c r="J421" s="165"/>
      <c r="K421" s="117"/>
      <c r="L421" s="117"/>
      <c r="M421" s="117">
        <f t="shared" si="1"/>
        <v>0</v>
      </c>
    </row>
    <row r="422" ht="22.5" customHeight="1">
      <c r="A422" s="116"/>
      <c r="C422" s="166"/>
      <c r="D422" s="118" t="str">
        <f>IF(FuturesTrades[Opened] &lt;&gt; "",IF(FuturesTrades[Closed] = "", TODAY(), FuturesTrades[Closed]) - FuturesTrades[Opened], "")</f>
        <v/>
      </c>
      <c r="E422" s="6"/>
      <c r="F422" s="6"/>
      <c r="G422" s="22"/>
      <c r="H422" s="117"/>
      <c r="I422" s="165"/>
      <c r="J422" s="165"/>
      <c r="K422" s="117"/>
      <c r="L422" s="117"/>
      <c r="M422" s="117">
        <f t="shared" si="1"/>
        <v>0</v>
      </c>
    </row>
    <row r="423" ht="22.5" customHeight="1">
      <c r="A423" s="116"/>
      <c r="C423" s="166"/>
      <c r="D423" s="118" t="str">
        <f>IF(FuturesTrades[Opened] &lt;&gt; "",IF(FuturesTrades[Closed] = "", TODAY(), FuturesTrades[Closed]) - FuturesTrades[Opened], "")</f>
        <v/>
      </c>
      <c r="E423" s="6"/>
      <c r="F423" s="6"/>
      <c r="G423" s="22"/>
      <c r="H423" s="117"/>
      <c r="I423" s="165"/>
      <c r="J423" s="165"/>
      <c r="K423" s="117"/>
      <c r="L423" s="117"/>
      <c r="M423" s="117">
        <f t="shared" si="1"/>
        <v>0</v>
      </c>
    </row>
    <row r="424" ht="22.5" customHeight="1">
      <c r="A424" s="116"/>
      <c r="C424" s="166"/>
      <c r="D424" s="118" t="str">
        <f>IF(FuturesTrades[Opened] &lt;&gt; "",IF(FuturesTrades[Closed] = "", TODAY(), FuturesTrades[Closed]) - FuturesTrades[Opened], "")</f>
        <v/>
      </c>
      <c r="E424" s="6"/>
      <c r="F424" s="6"/>
      <c r="G424" s="22"/>
      <c r="H424" s="117"/>
      <c r="I424" s="165"/>
      <c r="J424" s="165"/>
      <c r="K424" s="117"/>
      <c r="L424" s="117"/>
      <c r="M424" s="117">
        <f t="shared" si="1"/>
        <v>0</v>
      </c>
    </row>
    <row r="425" ht="22.5" customHeight="1">
      <c r="A425" s="116"/>
      <c r="C425" s="166"/>
      <c r="D425" s="118" t="str">
        <f>IF(FuturesTrades[Opened] &lt;&gt; "",IF(FuturesTrades[Closed] = "", TODAY(), FuturesTrades[Closed]) - FuturesTrades[Opened], "")</f>
        <v/>
      </c>
      <c r="E425" s="6"/>
      <c r="F425" s="6"/>
      <c r="G425" s="22"/>
      <c r="H425" s="117"/>
      <c r="I425" s="165"/>
      <c r="J425" s="165"/>
      <c r="K425" s="117"/>
      <c r="L425" s="117"/>
      <c r="M425" s="117">
        <f t="shared" si="1"/>
        <v>0</v>
      </c>
    </row>
    <row r="426" ht="22.5" customHeight="1">
      <c r="A426" s="116"/>
      <c r="C426" s="166"/>
      <c r="D426" s="118" t="str">
        <f>IF(FuturesTrades[Opened] &lt;&gt; "",IF(FuturesTrades[Closed] = "", TODAY(), FuturesTrades[Closed]) - FuturesTrades[Opened], "")</f>
        <v/>
      </c>
      <c r="E426" s="6"/>
      <c r="F426" s="6"/>
      <c r="G426" s="22"/>
      <c r="H426" s="117"/>
      <c r="I426" s="165"/>
      <c r="J426" s="165"/>
      <c r="K426" s="117"/>
      <c r="L426" s="117"/>
      <c r="M426" s="117">
        <f t="shared" si="1"/>
        <v>0</v>
      </c>
    </row>
    <row r="427" ht="22.5" customHeight="1">
      <c r="A427" s="116"/>
      <c r="C427" s="166"/>
      <c r="D427" s="118" t="str">
        <f>IF(FuturesTrades[Opened] &lt;&gt; "",IF(FuturesTrades[Closed] = "", TODAY(), FuturesTrades[Closed]) - FuturesTrades[Opened], "")</f>
        <v/>
      </c>
      <c r="E427" s="6"/>
      <c r="F427" s="6"/>
      <c r="G427" s="22"/>
      <c r="H427" s="117"/>
      <c r="I427" s="165"/>
      <c r="J427" s="165"/>
      <c r="K427" s="117"/>
      <c r="L427" s="117"/>
      <c r="M427" s="117">
        <f t="shared" si="1"/>
        <v>0</v>
      </c>
    </row>
    <row r="428" ht="22.5" customHeight="1">
      <c r="A428" s="116"/>
      <c r="C428" s="166"/>
      <c r="D428" s="118" t="str">
        <f>IF(FuturesTrades[Opened] &lt;&gt; "",IF(FuturesTrades[Closed] = "", TODAY(), FuturesTrades[Closed]) - FuturesTrades[Opened], "")</f>
        <v/>
      </c>
      <c r="E428" s="6"/>
      <c r="F428" s="6"/>
      <c r="G428" s="22"/>
      <c r="H428" s="117"/>
      <c r="I428" s="165"/>
      <c r="J428" s="165"/>
      <c r="K428" s="117"/>
      <c r="L428" s="117"/>
      <c r="M428" s="117">
        <f t="shared" si="1"/>
        <v>0</v>
      </c>
    </row>
    <row r="429" ht="22.5" customHeight="1">
      <c r="A429" s="116"/>
      <c r="C429" s="166"/>
      <c r="D429" s="118" t="str">
        <f>IF(FuturesTrades[Opened] &lt;&gt; "",IF(FuturesTrades[Closed] = "", TODAY(), FuturesTrades[Closed]) - FuturesTrades[Opened], "")</f>
        <v/>
      </c>
      <c r="E429" s="6"/>
      <c r="F429" s="6"/>
      <c r="G429" s="22"/>
      <c r="H429" s="117"/>
      <c r="I429" s="165"/>
      <c r="J429" s="165"/>
      <c r="K429" s="117"/>
      <c r="L429" s="117"/>
      <c r="M429" s="117">
        <f t="shared" si="1"/>
        <v>0</v>
      </c>
    </row>
    <row r="430" ht="22.5" customHeight="1">
      <c r="A430" s="116"/>
      <c r="C430" s="166"/>
      <c r="D430" s="118" t="str">
        <f>IF(FuturesTrades[Opened] &lt;&gt; "",IF(FuturesTrades[Closed] = "", TODAY(), FuturesTrades[Closed]) - FuturesTrades[Opened], "")</f>
        <v/>
      </c>
      <c r="E430" s="6"/>
      <c r="F430" s="6"/>
      <c r="G430" s="22"/>
      <c r="H430" s="117"/>
      <c r="I430" s="165"/>
      <c r="J430" s="165"/>
      <c r="K430" s="117"/>
      <c r="L430" s="117"/>
      <c r="M430" s="117">
        <f t="shared" si="1"/>
        <v>0</v>
      </c>
    </row>
    <row r="431" ht="22.5" customHeight="1">
      <c r="A431" s="116"/>
      <c r="C431" s="166"/>
      <c r="D431" s="118" t="str">
        <f>IF(FuturesTrades[Opened] &lt;&gt; "",IF(FuturesTrades[Closed] = "", TODAY(), FuturesTrades[Closed]) - FuturesTrades[Opened], "")</f>
        <v/>
      </c>
      <c r="E431" s="6"/>
      <c r="F431" s="6"/>
      <c r="G431" s="22"/>
      <c r="H431" s="117"/>
      <c r="I431" s="165"/>
      <c r="J431" s="165"/>
      <c r="K431" s="117"/>
      <c r="L431" s="117"/>
      <c r="M431" s="117">
        <f t="shared" si="1"/>
        <v>0</v>
      </c>
    </row>
    <row r="432" ht="22.5" customHeight="1">
      <c r="A432" s="116"/>
      <c r="C432" s="166"/>
      <c r="D432" s="118" t="str">
        <f>IF(FuturesTrades[Opened] &lt;&gt; "",IF(FuturesTrades[Closed] = "", TODAY(), FuturesTrades[Closed]) - FuturesTrades[Opened], "")</f>
        <v/>
      </c>
      <c r="E432" s="6"/>
      <c r="F432" s="6"/>
      <c r="G432" s="22"/>
      <c r="H432" s="117"/>
      <c r="I432" s="165"/>
      <c r="J432" s="165"/>
      <c r="K432" s="117"/>
      <c r="L432" s="117"/>
      <c r="M432" s="117">
        <f t="shared" si="1"/>
        <v>0</v>
      </c>
    </row>
    <row r="433" ht="22.5" customHeight="1">
      <c r="A433" s="116"/>
      <c r="C433" s="166"/>
      <c r="D433" s="118" t="str">
        <f>IF(FuturesTrades[Opened] &lt;&gt; "",IF(FuturesTrades[Closed] = "", TODAY(), FuturesTrades[Closed]) - FuturesTrades[Opened], "")</f>
        <v/>
      </c>
      <c r="E433" s="6"/>
      <c r="F433" s="6"/>
      <c r="G433" s="22"/>
      <c r="H433" s="117"/>
      <c r="I433" s="165"/>
      <c r="J433" s="165"/>
      <c r="K433" s="117"/>
      <c r="L433" s="117"/>
      <c r="M433" s="117">
        <f t="shared" si="1"/>
        <v>0</v>
      </c>
    </row>
    <row r="434" ht="22.5" customHeight="1">
      <c r="A434" s="116"/>
      <c r="C434" s="166"/>
      <c r="D434" s="118" t="str">
        <f>IF(FuturesTrades[Opened] &lt;&gt; "",IF(FuturesTrades[Closed] = "", TODAY(), FuturesTrades[Closed]) - FuturesTrades[Opened], "")</f>
        <v/>
      </c>
      <c r="E434" s="6"/>
      <c r="F434" s="6"/>
      <c r="G434" s="22"/>
      <c r="H434" s="117"/>
      <c r="I434" s="165"/>
      <c r="J434" s="165"/>
      <c r="K434" s="117"/>
      <c r="L434" s="117"/>
      <c r="M434" s="117">
        <f t="shared" si="1"/>
        <v>0</v>
      </c>
    </row>
    <row r="435" ht="22.5" customHeight="1">
      <c r="A435" s="116"/>
      <c r="C435" s="166"/>
      <c r="D435" s="118" t="str">
        <f>IF(FuturesTrades[Opened] &lt;&gt; "",IF(FuturesTrades[Closed] = "", TODAY(), FuturesTrades[Closed]) - FuturesTrades[Opened], "")</f>
        <v/>
      </c>
      <c r="E435" s="6"/>
      <c r="F435" s="6"/>
      <c r="G435" s="22"/>
      <c r="H435" s="117"/>
      <c r="I435" s="165"/>
      <c r="J435" s="165"/>
      <c r="K435" s="117"/>
      <c r="L435" s="117"/>
      <c r="M435" s="117">
        <f t="shared" si="1"/>
        <v>0</v>
      </c>
    </row>
    <row r="436" ht="22.5" customHeight="1">
      <c r="A436" s="116"/>
      <c r="C436" s="166"/>
      <c r="D436" s="118" t="str">
        <f>IF(FuturesTrades[Opened] &lt;&gt; "",IF(FuturesTrades[Closed] = "", TODAY(), FuturesTrades[Closed]) - FuturesTrades[Opened], "")</f>
        <v/>
      </c>
      <c r="E436" s="6"/>
      <c r="F436" s="6"/>
      <c r="G436" s="22"/>
      <c r="H436" s="117"/>
      <c r="I436" s="165"/>
      <c r="J436" s="165"/>
      <c r="K436" s="117"/>
      <c r="L436" s="117"/>
      <c r="M436" s="117">
        <f t="shared" si="1"/>
        <v>0</v>
      </c>
    </row>
    <row r="437" ht="22.5" customHeight="1">
      <c r="A437" s="116"/>
      <c r="C437" s="166"/>
      <c r="D437" s="118" t="str">
        <f>IF(FuturesTrades[Opened] &lt;&gt; "",IF(FuturesTrades[Closed] = "", TODAY(), FuturesTrades[Closed]) - FuturesTrades[Opened], "")</f>
        <v/>
      </c>
      <c r="E437" s="6"/>
      <c r="F437" s="6"/>
      <c r="G437" s="22"/>
      <c r="H437" s="117"/>
      <c r="I437" s="165"/>
      <c r="J437" s="165"/>
      <c r="K437" s="117"/>
      <c r="L437" s="117"/>
      <c r="M437" s="117">
        <f t="shared" si="1"/>
        <v>0</v>
      </c>
    </row>
    <row r="438" ht="22.5" customHeight="1">
      <c r="A438" s="116"/>
      <c r="C438" s="166"/>
      <c r="D438" s="118" t="str">
        <f>IF(FuturesTrades[Opened] &lt;&gt; "",IF(FuturesTrades[Closed] = "", TODAY(), FuturesTrades[Closed]) - FuturesTrades[Opened], "")</f>
        <v/>
      </c>
      <c r="E438" s="6"/>
      <c r="F438" s="6"/>
      <c r="G438" s="22"/>
      <c r="H438" s="117"/>
      <c r="I438" s="165"/>
      <c r="J438" s="165"/>
      <c r="K438" s="117"/>
      <c r="L438" s="117"/>
      <c r="M438" s="117">
        <f t="shared" si="1"/>
        <v>0</v>
      </c>
    </row>
    <row r="439" ht="22.5" customHeight="1">
      <c r="A439" s="116"/>
      <c r="C439" s="166"/>
      <c r="D439" s="118" t="str">
        <f>IF(FuturesTrades[Opened] &lt;&gt; "",IF(FuturesTrades[Closed] = "", TODAY(), FuturesTrades[Closed]) - FuturesTrades[Opened], "")</f>
        <v/>
      </c>
      <c r="E439" s="6"/>
      <c r="F439" s="6"/>
      <c r="G439" s="22"/>
      <c r="H439" s="117"/>
      <c r="I439" s="165"/>
      <c r="J439" s="165"/>
      <c r="K439" s="117"/>
      <c r="L439" s="117"/>
      <c r="M439" s="117">
        <f t="shared" si="1"/>
        <v>0</v>
      </c>
    </row>
    <row r="440" ht="22.5" customHeight="1">
      <c r="A440" s="116"/>
      <c r="C440" s="166"/>
      <c r="D440" s="118" t="str">
        <f>IF(FuturesTrades[Opened] &lt;&gt; "",IF(FuturesTrades[Closed] = "", TODAY(), FuturesTrades[Closed]) - FuturesTrades[Opened], "")</f>
        <v/>
      </c>
      <c r="E440" s="6"/>
      <c r="F440" s="6"/>
      <c r="G440" s="22"/>
      <c r="H440" s="117"/>
      <c r="I440" s="165"/>
      <c r="J440" s="165"/>
      <c r="K440" s="117"/>
      <c r="L440" s="117"/>
      <c r="M440" s="117">
        <f t="shared" si="1"/>
        <v>0</v>
      </c>
    </row>
    <row r="441" ht="22.5" customHeight="1">
      <c r="A441" s="116"/>
      <c r="C441" s="166"/>
      <c r="D441" s="118" t="str">
        <f>IF(FuturesTrades[Opened] &lt;&gt; "",IF(FuturesTrades[Closed] = "", TODAY(), FuturesTrades[Closed]) - FuturesTrades[Opened], "")</f>
        <v/>
      </c>
      <c r="E441" s="6"/>
      <c r="F441" s="6"/>
      <c r="G441" s="22"/>
      <c r="H441" s="117"/>
      <c r="I441" s="165"/>
      <c r="J441" s="165"/>
      <c r="K441" s="117"/>
      <c r="L441" s="117"/>
      <c r="M441" s="117">
        <f t="shared" si="1"/>
        <v>0</v>
      </c>
    </row>
    <row r="442" ht="22.5" customHeight="1">
      <c r="A442" s="116"/>
      <c r="C442" s="166"/>
      <c r="D442" s="118" t="str">
        <f>IF(FuturesTrades[Opened] &lt;&gt; "",IF(FuturesTrades[Closed] = "", TODAY(), FuturesTrades[Closed]) - FuturesTrades[Opened], "")</f>
        <v/>
      </c>
      <c r="E442" s="6"/>
      <c r="F442" s="6"/>
      <c r="G442" s="22"/>
      <c r="H442" s="117"/>
      <c r="I442" s="165"/>
      <c r="J442" s="165"/>
      <c r="K442" s="117"/>
      <c r="L442" s="117"/>
      <c r="M442" s="117">
        <f t="shared" si="1"/>
        <v>0</v>
      </c>
    </row>
    <row r="443" ht="22.5" customHeight="1">
      <c r="A443" s="116"/>
      <c r="C443" s="166"/>
      <c r="D443" s="118" t="str">
        <f>IF(FuturesTrades[Opened] &lt;&gt; "",IF(FuturesTrades[Closed] = "", TODAY(), FuturesTrades[Closed]) - FuturesTrades[Opened], "")</f>
        <v/>
      </c>
      <c r="E443" s="6"/>
      <c r="F443" s="6"/>
      <c r="G443" s="22"/>
      <c r="H443" s="117"/>
      <c r="I443" s="165"/>
      <c r="J443" s="165"/>
      <c r="K443" s="117"/>
      <c r="L443" s="117"/>
      <c r="M443" s="117">
        <f t="shared" si="1"/>
        <v>0</v>
      </c>
    </row>
    <row r="444" ht="22.5" customHeight="1">
      <c r="A444" s="116"/>
      <c r="C444" s="166"/>
      <c r="D444" s="118" t="str">
        <f>IF(FuturesTrades[Opened] &lt;&gt; "",IF(FuturesTrades[Closed] = "", TODAY(), FuturesTrades[Closed]) - FuturesTrades[Opened], "")</f>
        <v/>
      </c>
      <c r="E444" s="6"/>
      <c r="F444" s="6"/>
      <c r="G444" s="22"/>
      <c r="H444" s="117"/>
      <c r="I444" s="165"/>
      <c r="J444" s="165"/>
      <c r="K444" s="117"/>
      <c r="L444" s="117"/>
      <c r="M444" s="117">
        <f t="shared" si="1"/>
        <v>0</v>
      </c>
    </row>
    <row r="445" ht="22.5" customHeight="1">
      <c r="A445" s="116"/>
      <c r="C445" s="166"/>
      <c r="D445" s="118" t="str">
        <f>IF(FuturesTrades[Opened] &lt;&gt; "",IF(FuturesTrades[Closed] = "", TODAY(), FuturesTrades[Closed]) - FuturesTrades[Opened], "")</f>
        <v/>
      </c>
      <c r="E445" s="6"/>
      <c r="F445" s="6"/>
      <c r="G445" s="22"/>
      <c r="H445" s="117"/>
      <c r="I445" s="165"/>
      <c r="J445" s="165"/>
      <c r="K445" s="117"/>
      <c r="L445" s="117"/>
      <c r="M445" s="117">
        <f t="shared" si="1"/>
        <v>0</v>
      </c>
    </row>
    <row r="446" ht="22.5" customHeight="1">
      <c r="A446" s="116"/>
      <c r="C446" s="166"/>
      <c r="D446" s="118" t="str">
        <f>IF(FuturesTrades[Opened] &lt;&gt; "",IF(FuturesTrades[Closed] = "", TODAY(), FuturesTrades[Closed]) - FuturesTrades[Opened], "")</f>
        <v/>
      </c>
      <c r="E446" s="6"/>
      <c r="F446" s="6"/>
      <c r="G446" s="22"/>
      <c r="H446" s="117"/>
      <c r="I446" s="165"/>
      <c r="J446" s="165"/>
      <c r="K446" s="117"/>
      <c r="L446" s="117"/>
      <c r="M446" s="117">
        <f t="shared" si="1"/>
        <v>0</v>
      </c>
    </row>
    <row r="447" ht="22.5" customHeight="1">
      <c r="A447" s="116"/>
      <c r="C447" s="166"/>
      <c r="D447" s="118" t="str">
        <f>IF(FuturesTrades[Opened] &lt;&gt; "",IF(FuturesTrades[Closed] = "", TODAY(), FuturesTrades[Closed]) - FuturesTrades[Opened], "")</f>
        <v/>
      </c>
      <c r="E447" s="6"/>
      <c r="F447" s="6"/>
      <c r="G447" s="22"/>
      <c r="H447" s="117"/>
      <c r="I447" s="165"/>
      <c r="J447" s="165"/>
      <c r="K447" s="117"/>
      <c r="L447" s="117"/>
      <c r="M447" s="117">
        <f t="shared" si="1"/>
        <v>0</v>
      </c>
    </row>
    <row r="448" ht="22.5" customHeight="1">
      <c r="A448" s="116"/>
      <c r="C448" s="166"/>
      <c r="D448" s="118" t="str">
        <f>IF(FuturesTrades[Opened] &lt;&gt; "",IF(FuturesTrades[Closed] = "", TODAY(), FuturesTrades[Closed]) - FuturesTrades[Opened], "")</f>
        <v/>
      </c>
      <c r="E448" s="6"/>
      <c r="F448" s="6"/>
      <c r="G448" s="22"/>
      <c r="H448" s="117"/>
      <c r="I448" s="165"/>
      <c r="J448" s="165"/>
      <c r="K448" s="117"/>
      <c r="L448" s="117"/>
      <c r="M448" s="117">
        <f t="shared" si="1"/>
        <v>0</v>
      </c>
    </row>
    <row r="449" ht="22.5" customHeight="1">
      <c r="A449" s="116"/>
      <c r="C449" s="166"/>
      <c r="D449" s="118" t="str">
        <f>IF(FuturesTrades[Opened] &lt;&gt; "",IF(FuturesTrades[Closed] = "", TODAY(), FuturesTrades[Closed]) - FuturesTrades[Opened], "")</f>
        <v/>
      </c>
      <c r="E449" s="6"/>
      <c r="F449" s="6"/>
      <c r="G449" s="22"/>
      <c r="H449" s="117"/>
      <c r="I449" s="165"/>
      <c r="J449" s="165"/>
      <c r="K449" s="117"/>
      <c r="L449" s="117"/>
      <c r="M449" s="117">
        <f t="shared" si="1"/>
        <v>0</v>
      </c>
    </row>
    <row r="450" ht="22.5" customHeight="1">
      <c r="A450" s="116"/>
      <c r="C450" s="166"/>
      <c r="D450" s="118" t="str">
        <f>IF(FuturesTrades[Opened] &lt;&gt; "",IF(FuturesTrades[Closed] = "", TODAY(), FuturesTrades[Closed]) - FuturesTrades[Opened], "")</f>
        <v/>
      </c>
      <c r="E450" s="6"/>
      <c r="F450" s="6"/>
      <c r="G450" s="22"/>
      <c r="H450" s="117"/>
      <c r="I450" s="165"/>
      <c r="J450" s="165"/>
      <c r="K450" s="117"/>
      <c r="L450" s="117"/>
      <c r="M450" s="117">
        <f t="shared" si="1"/>
        <v>0</v>
      </c>
    </row>
    <row r="451" ht="22.5" customHeight="1">
      <c r="A451" s="116"/>
      <c r="C451" s="166"/>
      <c r="D451" s="118" t="str">
        <f>IF(FuturesTrades[Opened] &lt;&gt; "",IF(FuturesTrades[Closed] = "", TODAY(), FuturesTrades[Closed]) - FuturesTrades[Opened], "")</f>
        <v/>
      </c>
      <c r="E451" s="6"/>
      <c r="F451" s="6"/>
      <c r="G451" s="22"/>
      <c r="H451" s="117"/>
      <c r="I451" s="165"/>
      <c r="J451" s="165"/>
      <c r="K451" s="117"/>
      <c r="L451" s="117"/>
      <c r="M451" s="117">
        <f t="shared" si="1"/>
        <v>0</v>
      </c>
    </row>
    <row r="452" ht="22.5" customHeight="1">
      <c r="A452" s="116"/>
      <c r="C452" s="166"/>
      <c r="D452" s="118" t="str">
        <f>IF(FuturesTrades[Opened] &lt;&gt; "",IF(FuturesTrades[Closed] = "", TODAY(), FuturesTrades[Closed]) - FuturesTrades[Opened], "")</f>
        <v/>
      </c>
      <c r="E452" s="6"/>
      <c r="F452" s="6"/>
      <c r="G452" s="22"/>
      <c r="H452" s="117"/>
      <c r="I452" s="165"/>
      <c r="J452" s="165"/>
      <c r="K452" s="117"/>
      <c r="L452" s="117"/>
      <c r="M452" s="117">
        <f t="shared" si="1"/>
        <v>0</v>
      </c>
    </row>
    <row r="453" ht="22.5" customHeight="1">
      <c r="A453" s="116"/>
      <c r="C453" s="166"/>
      <c r="D453" s="118" t="str">
        <f>IF(FuturesTrades[Opened] &lt;&gt; "",IF(FuturesTrades[Closed] = "", TODAY(), FuturesTrades[Closed]) - FuturesTrades[Opened], "")</f>
        <v/>
      </c>
      <c r="E453" s="6"/>
      <c r="F453" s="6"/>
      <c r="G453" s="22"/>
      <c r="H453" s="117"/>
      <c r="I453" s="165"/>
      <c r="J453" s="165"/>
      <c r="K453" s="117"/>
      <c r="L453" s="117"/>
      <c r="M453" s="117">
        <f t="shared" si="1"/>
        <v>0</v>
      </c>
    </row>
    <row r="454" ht="22.5" customHeight="1">
      <c r="A454" s="116"/>
      <c r="C454" s="166"/>
      <c r="D454" s="118" t="str">
        <f>IF(FuturesTrades[Opened] &lt;&gt; "",IF(FuturesTrades[Closed] = "", TODAY(), FuturesTrades[Closed]) - FuturesTrades[Opened], "")</f>
        <v/>
      </c>
      <c r="E454" s="6"/>
      <c r="F454" s="6"/>
      <c r="G454" s="22"/>
      <c r="H454" s="117"/>
      <c r="I454" s="165"/>
      <c r="J454" s="165"/>
      <c r="K454" s="117"/>
      <c r="L454" s="117"/>
      <c r="M454" s="117">
        <f t="shared" si="1"/>
        <v>0</v>
      </c>
    </row>
    <row r="455" ht="22.5" customHeight="1">
      <c r="A455" s="116"/>
      <c r="C455" s="166"/>
      <c r="D455" s="118" t="str">
        <f>IF(FuturesTrades[Opened] &lt;&gt; "",IF(FuturesTrades[Closed] = "", TODAY(), FuturesTrades[Closed]) - FuturesTrades[Opened], "")</f>
        <v/>
      </c>
      <c r="E455" s="6"/>
      <c r="F455" s="6"/>
      <c r="G455" s="22"/>
      <c r="H455" s="117"/>
      <c r="I455" s="165"/>
      <c r="J455" s="165"/>
      <c r="K455" s="117"/>
      <c r="L455" s="117"/>
      <c r="M455" s="117">
        <f t="shared" si="1"/>
        <v>0</v>
      </c>
    </row>
    <row r="456" ht="22.5" customHeight="1">
      <c r="A456" s="116"/>
      <c r="C456" s="166"/>
      <c r="D456" s="118" t="str">
        <f>IF(FuturesTrades[Opened] &lt;&gt; "",IF(FuturesTrades[Closed] = "", TODAY(), FuturesTrades[Closed]) - FuturesTrades[Opened], "")</f>
        <v/>
      </c>
      <c r="E456" s="6"/>
      <c r="F456" s="6"/>
      <c r="G456" s="22"/>
      <c r="H456" s="117"/>
      <c r="I456" s="165"/>
      <c r="J456" s="165"/>
      <c r="K456" s="117"/>
      <c r="L456" s="117"/>
      <c r="M456" s="117">
        <f t="shared" si="1"/>
        <v>0</v>
      </c>
    </row>
    <row r="457" ht="22.5" customHeight="1">
      <c r="A457" s="116"/>
      <c r="C457" s="166"/>
      <c r="D457" s="118" t="str">
        <f>IF(FuturesTrades[Opened] &lt;&gt; "",IF(FuturesTrades[Closed] = "", TODAY(), FuturesTrades[Closed]) - FuturesTrades[Opened], "")</f>
        <v/>
      </c>
      <c r="E457" s="6"/>
      <c r="F457" s="6"/>
      <c r="G457" s="22"/>
      <c r="H457" s="117"/>
      <c r="I457" s="165"/>
      <c r="J457" s="165"/>
      <c r="K457" s="117"/>
      <c r="L457" s="117"/>
      <c r="M457" s="117">
        <f t="shared" si="1"/>
        <v>0</v>
      </c>
    </row>
    <row r="458" ht="22.5" customHeight="1">
      <c r="A458" s="116"/>
      <c r="C458" s="166"/>
      <c r="D458" s="118" t="str">
        <f>IF(FuturesTrades[Opened] &lt;&gt; "",IF(FuturesTrades[Closed] = "", TODAY(), FuturesTrades[Closed]) - FuturesTrades[Opened], "")</f>
        <v/>
      </c>
      <c r="E458" s="6"/>
      <c r="F458" s="6"/>
      <c r="G458" s="22"/>
      <c r="H458" s="117"/>
      <c r="I458" s="165"/>
      <c r="J458" s="165"/>
      <c r="K458" s="117"/>
      <c r="L458" s="117"/>
      <c r="M458" s="117">
        <f t="shared" si="1"/>
        <v>0</v>
      </c>
    </row>
    <row r="459" ht="22.5" customHeight="1">
      <c r="A459" s="116"/>
      <c r="C459" s="166"/>
      <c r="D459" s="118" t="str">
        <f>IF(FuturesTrades[Opened] &lt;&gt; "",IF(FuturesTrades[Closed] = "", TODAY(), FuturesTrades[Closed]) - FuturesTrades[Opened], "")</f>
        <v/>
      </c>
      <c r="E459" s="6"/>
      <c r="F459" s="6"/>
      <c r="G459" s="22"/>
      <c r="H459" s="117"/>
      <c r="I459" s="165"/>
      <c r="J459" s="165"/>
      <c r="K459" s="117"/>
      <c r="L459" s="117"/>
      <c r="M459" s="117">
        <f t="shared" si="1"/>
        <v>0</v>
      </c>
    </row>
    <row r="460" ht="22.5" customHeight="1">
      <c r="A460" s="116"/>
      <c r="C460" s="166"/>
      <c r="D460" s="118" t="str">
        <f>IF(FuturesTrades[Opened] &lt;&gt; "",IF(FuturesTrades[Closed] = "", TODAY(), FuturesTrades[Closed]) - FuturesTrades[Opened], "")</f>
        <v/>
      </c>
      <c r="E460" s="6"/>
      <c r="F460" s="6"/>
      <c r="G460" s="22"/>
      <c r="H460" s="117"/>
      <c r="I460" s="165"/>
      <c r="J460" s="165"/>
      <c r="K460" s="117"/>
      <c r="L460" s="117"/>
      <c r="M460" s="117">
        <f t="shared" si="1"/>
        <v>0</v>
      </c>
    </row>
    <row r="461" ht="22.5" customHeight="1">
      <c r="A461" s="116"/>
      <c r="C461" s="166"/>
      <c r="D461" s="118" t="str">
        <f>IF(FuturesTrades[Opened] &lt;&gt; "",IF(FuturesTrades[Closed] = "", TODAY(), FuturesTrades[Closed]) - FuturesTrades[Opened], "")</f>
        <v/>
      </c>
      <c r="E461" s="6"/>
      <c r="F461" s="6"/>
      <c r="G461" s="22"/>
      <c r="H461" s="117"/>
      <c r="I461" s="165"/>
      <c r="J461" s="165"/>
      <c r="K461" s="117"/>
      <c r="L461" s="117"/>
      <c r="M461" s="117">
        <f t="shared" si="1"/>
        <v>0</v>
      </c>
    </row>
    <row r="462" ht="22.5" customHeight="1">
      <c r="A462" s="116"/>
      <c r="C462" s="166"/>
      <c r="D462" s="118" t="str">
        <f>IF(FuturesTrades[Opened] &lt;&gt; "",IF(FuturesTrades[Closed] = "", TODAY(), FuturesTrades[Closed]) - FuturesTrades[Opened], "")</f>
        <v/>
      </c>
      <c r="E462" s="6"/>
      <c r="F462" s="6"/>
      <c r="G462" s="22"/>
      <c r="H462" s="117"/>
      <c r="I462" s="165"/>
      <c r="J462" s="165"/>
      <c r="K462" s="117"/>
      <c r="L462" s="117"/>
      <c r="M462" s="117">
        <f t="shared" si="1"/>
        <v>0</v>
      </c>
    </row>
    <row r="463" ht="22.5" customHeight="1">
      <c r="A463" s="116"/>
      <c r="C463" s="166"/>
      <c r="D463" s="118" t="str">
        <f>IF(FuturesTrades[Opened] &lt;&gt; "",IF(FuturesTrades[Closed] = "", TODAY(), FuturesTrades[Closed]) - FuturesTrades[Opened], "")</f>
        <v/>
      </c>
      <c r="E463" s="6"/>
      <c r="F463" s="6"/>
      <c r="G463" s="22"/>
      <c r="H463" s="117"/>
      <c r="I463" s="165"/>
      <c r="J463" s="165"/>
      <c r="K463" s="117"/>
      <c r="L463" s="117"/>
      <c r="M463" s="117">
        <f t="shared" si="1"/>
        <v>0</v>
      </c>
    </row>
    <row r="464" ht="22.5" customHeight="1">
      <c r="A464" s="116"/>
      <c r="C464" s="166"/>
      <c r="D464" s="118" t="str">
        <f>IF(FuturesTrades[Opened] &lt;&gt; "",IF(FuturesTrades[Closed] = "", TODAY(), FuturesTrades[Closed]) - FuturesTrades[Opened], "")</f>
        <v/>
      </c>
      <c r="E464" s="6"/>
      <c r="F464" s="6"/>
      <c r="G464" s="22"/>
      <c r="H464" s="117"/>
      <c r="I464" s="165"/>
      <c r="J464" s="165"/>
      <c r="K464" s="117"/>
      <c r="L464" s="117"/>
      <c r="M464" s="117">
        <f t="shared" si="1"/>
        <v>0</v>
      </c>
    </row>
    <row r="465" ht="22.5" customHeight="1">
      <c r="A465" s="116"/>
      <c r="C465" s="166"/>
      <c r="D465" s="118" t="str">
        <f>IF(FuturesTrades[Opened] &lt;&gt; "",IF(FuturesTrades[Closed] = "", TODAY(), FuturesTrades[Closed]) - FuturesTrades[Opened], "")</f>
        <v/>
      </c>
      <c r="E465" s="6"/>
      <c r="F465" s="6"/>
      <c r="G465" s="22"/>
      <c r="H465" s="117"/>
      <c r="I465" s="165"/>
      <c r="J465" s="165"/>
      <c r="K465" s="117"/>
      <c r="L465" s="117"/>
      <c r="M465" s="117">
        <f t="shared" si="1"/>
        <v>0</v>
      </c>
    </row>
    <row r="466" ht="22.5" customHeight="1">
      <c r="A466" s="116"/>
      <c r="C466" s="166"/>
      <c r="D466" s="118" t="str">
        <f>IF(FuturesTrades[Opened] &lt;&gt; "",IF(FuturesTrades[Closed] = "", TODAY(), FuturesTrades[Closed]) - FuturesTrades[Opened], "")</f>
        <v/>
      </c>
      <c r="E466" s="6"/>
      <c r="F466" s="6"/>
      <c r="G466" s="22"/>
      <c r="H466" s="117"/>
      <c r="I466" s="165"/>
      <c r="J466" s="165"/>
      <c r="K466" s="117"/>
      <c r="L466" s="117"/>
      <c r="M466" s="117">
        <f t="shared" si="1"/>
        <v>0</v>
      </c>
    </row>
    <row r="467" ht="22.5" customHeight="1">
      <c r="A467" s="116"/>
      <c r="C467" s="166"/>
      <c r="D467" s="118" t="str">
        <f>IF(FuturesTrades[Opened] &lt;&gt; "",IF(FuturesTrades[Closed] = "", TODAY(), FuturesTrades[Closed]) - FuturesTrades[Opened], "")</f>
        <v/>
      </c>
      <c r="E467" s="6"/>
      <c r="F467" s="6"/>
      <c r="G467" s="22"/>
      <c r="H467" s="117"/>
      <c r="I467" s="165"/>
      <c r="J467" s="165"/>
      <c r="K467" s="117"/>
      <c r="L467" s="117"/>
      <c r="M467" s="117">
        <f t="shared" si="1"/>
        <v>0</v>
      </c>
    </row>
    <row r="468" ht="22.5" customHeight="1">
      <c r="A468" s="116"/>
      <c r="C468" s="166"/>
      <c r="D468" s="118" t="str">
        <f>IF(FuturesTrades[Opened] &lt;&gt; "",IF(FuturesTrades[Closed] = "", TODAY(), FuturesTrades[Closed]) - FuturesTrades[Opened], "")</f>
        <v/>
      </c>
      <c r="E468" s="6"/>
      <c r="F468" s="6"/>
      <c r="G468" s="22"/>
      <c r="H468" s="117"/>
      <c r="I468" s="165"/>
      <c r="J468" s="165"/>
      <c r="K468" s="117"/>
      <c r="L468" s="117"/>
      <c r="M468" s="117">
        <f t="shared" si="1"/>
        <v>0</v>
      </c>
    </row>
    <row r="469" ht="22.5" customHeight="1">
      <c r="A469" s="116"/>
      <c r="C469" s="166"/>
      <c r="D469" s="118" t="str">
        <f>IF(FuturesTrades[Opened] &lt;&gt; "",IF(FuturesTrades[Closed] = "", TODAY(), FuturesTrades[Closed]) - FuturesTrades[Opened], "")</f>
        <v/>
      </c>
      <c r="E469" s="6"/>
      <c r="F469" s="6"/>
      <c r="G469" s="22"/>
      <c r="H469" s="117"/>
      <c r="I469" s="165"/>
      <c r="J469" s="165"/>
      <c r="K469" s="117"/>
      <c r="L469" s="117"/>
      <c r="M469" s="117">
        <f t="shared" si="1"/>
        <v>0</v>
      </c>
    </row>
    <row r="470" ht="22.5" customHeight="1">
      <c r="A470" s="116"/>
      <c r="C470" s="166"/>
      <c r="D470" s="118" t="str">
        <f>IF(FuturesTrades[Opened] &lt;&gt; "",IF(FuturesTrades[Closed] = "", TODAY(), FuturesTrades[Closed]) - FuturesTrades[Opened], "")</f>
        <v/>
      </c>
      <c r="E470" s="6"/>
      <c r="F470" s="6"/>
      <c r="G470" s="22"/>
      <c r="H470" s="117"/>
      <c r="I470" s="165"/>
      <c r="J470" s="165"/>
      <c r="K470" s="117"/>
      <c r="L470" s="117"/>
      <c r="M470" s="117">
        <f t="shared" si="1"/>
        <v>0</v>
      </c>
    </row>
    <row r="471" ht="22.5" customHeight="1">
      <c r="A471" s="116"/>
      <c r="C471" s="166"/>
      <c r="D471" s="118" t="str">
        <f>IF(FuturesTrades[Opened] &lt;&gt; "",IF(FuturesTrades[Closed] = "", TODAY(), FuturesTrades[Closed]) - FuturesTrades[Opened], "")</f>
        <v/>
      </c>
      <c r="E471" s="6"/>
      <c r="F471" s="6"/>
      <c r="G471" s="22"/>
      <c r="H471" s="117"/>
      <c r="I471" s="165"/>
      <c r="J471" s="165"/>
      <c r="K471" s="117"/>
      <c r="L471" s="117"/>
      <c r="M471" s="117">
        <f t="shared" si="1"/>
        <v>0</v>
      </c>
    </row>
    <row r="472" ht="22.5" customHeight="1">
      <c r="A472" s="116"/>
      <c r="C472" s="166"/>
      <c r="D472" s="118" t="str">
        <f>IF(FuturesTrades[Opened] &lt;&gt; "",IF(FuturesTrades[Closed] = "", TODAY(), FuturesTrades[Closed]) - FuturesTrades[Opened], "")</f>
        <v/>
      </c>
      <c r="E472" s="6"/>
      <c r="F472" s="6"/>
      <c r="G472" s="22"/>
      <c r="H472" s="117"/>
      <c r="I472" s="165"/>
      <c r="J472" s="165"/>
      <c r="K472" s="117"/>
      <c r="L472" s="117"/>
      <c r="M472" s="117">
        <f t="shared" si="1"/>
        <v>0</v>
      </c>
    </row>
    <row r="473" ht="22.5" customHeight="1">
      <c r="A473" s="116"/>
      <c r="C473" s="166"/>
      <c r="D473" s="118" t="str">
        <f>IF(FuturesTrades[Opened] &lt;&gt; "",IF(FuturesTrades[Closed] = "", TODAY(), FuturesTrades[Closed]) - FuturesTrades[Opened], "")</f>
        <v/>
      </c>
      <c r="E473" s="6"/>
      <c r="F473" s="6"/>
      <c r="G473" s="22"/>
      <c r="H473" s="117"/>
      <c r="I473" s="165"/>
      <c r="J473" s="165"/>
      <c r="K473" s="117"/>
      <c r="L473" s="117"/>
      <c r="M473" s="117">
        <f t="shared" si="1"/>
        <v>0</v>
      </c>
    </row>
    <row r="474" ht="22.5" customHeight="1">
      <c r="A474" s="116"/>
      <c r="C474" s="166"/>
      <c r="D474" s="118" t="str">
        <f>IF(FuturesTrades[Opened] &lt;&gt; "",IF(FuturesTrades[Closed] = "", TODAY(), FuturesTrades[Closed]) - FuturesTrades[Opened], "")</f>
        <v/>
      </c>
      <c r="E474" s="6"/>
      <c r="F474" s="6"/>
      <c r="G474" s="22"/>
      <c r="H474" s="117"/>
      <c r="I474" s="165"/>
      <c r="J474" s="165"/>
      <c r="K474" s="117"/>
      <c r="L474" s="117"/>
      <c r="M474" s="117">
        <f t="shared" si="1"/>
        <v>0</v>
      </c>
    </row>
    <row r="475" ht="22.5" customHeight="1">
      <c r="A475" s="116"/>
      <c r="C475" s="166"/>
      <c r="D475" s="118" t="str">
        <f>IF(FuturesTrades[Opened] &lt;&gt; "",IF(FuturesTrades[Closed] = "", TODAY(), FuturesTrades[Closed]) - FuturesTrades[Opened], "")</f>
        <v/>
      </c>
      <c r="E475" s="6"/>
      <c r="F475" s="6"/>
      <c r="G475" s="22"/>
      <c r="H475" s="117"/>
      <c r="I475" s="165"/>
      <c r="J475" s="165"/>
      <c r="K475" s="117"/>
      <c r="L475" s="117"/>
      <c r="M475" s="117">
        <f t="shared" si="1"/>
        <v>0</v>
      </c>
    </row>
    <row r="476" ht="22.5" customHeight="1">
      <c r="A476" s="116"/>
      <c r="C476" s="166"/>
      <c r="D476" s="118" t="str">
        <f>IF(FuturesTrades[Opened] &lt;&gt; "",IF(FuturesTrades[Closed] = "", TODAY(), FuturesTrades[Closed]) - FuturesTrades[Opened], "")</f>
        <v/>
      </c>
      <c r="E476" s="6"/>
      <c r="F476" s="6"/>
      <c r="G476" s="22"/>
      <c r="H476" s="117"/>
      <c r="I476" s="165"/>
      <c r="J476" s="165"/>
      <c r="K476" s="117"/>
      <c r="L476" s="117"/>
      <c r="M476" s="117">
        <f t="shared" si="1"/>
        <v>0</v>
      </c>
    </row>
    <row r="477" ht="22.5" customHeight="1">
      <c r="A477" s="116"/>
      <c r="C477" s="166"/>
      <c r="D477" s="118" t="str">
        <f>IF(FuturesTrades[Opened] &lt;&gt; "",IF(FuturesTrades[Closed] = "", TODAY(), FuturesTrades[Closed]) - FuturesTrades[Opened], "")</f>
        <v/>
      </c>
      <c r="E477" s="6"/>
      <c r="F477" s="6"/>
      <c r="G477" s="22"/>
      <c r="H477" s="117"/>
      <c r="I477" s="165"/>
      <c r="J477" s="165"/>
      <c r="K477" s="117"/>
      <c r="L477" s="117"/>
      <c r="M477" s="117">
        <f t="shared" si="1"/>
        <v>0</v>
      </c>
    </row>
    <row r="478" ht="22.5" customHeight="1">
      <c r="A478" s="116"/>
      <c r="C478" s="166"/>
      <c r="D478" s="118" t="str">
        <f>IF(FuturesTrades[Opened] &lt;&gt; "",IF(FuturesTrades[Closed] = "", TODAY(), FuturesTrades[Closed]) - FuturesTrades[Opened], "")</f>
        <v/>
      </c>
      <c r="E478" s="6"/>
      <c r="F478" s="6"/>
      <c r="G478" s="22"/>
      <c r="H478" s="117"/>
      <c r="I478" s="165"/>
      <c r="J478" s="165"/>
      <c r="K478" s="117"/>
      <c r="L478" s="117"/>
      <c r="M478" s="117">
        <f t="shared" si="1"/>
        <v>0</v>
      </c>
    </row>
    <row r="479" ht="22.5" customHeight="1">
      <c r="A479" s="116"/>
      <c r="C479" s="166"/>
      <c r="D479" s="118" t="str">
        <f>IF(FuturesTrades[Opened] &lt;&gt; "",IF(FuturesTrades[Closed] = "", TODAY(), FuturesTrades[Closed]) - FuturesTrades[Opened], "")</f>
        <v/>
      </c>
      <c r="E479" s="6"/>
      <c r="F479" s="6"/>
      <c r="G479" s="22"/>
      <c r="H479" s="117"/>
      <c r="I479" s="165"/>
      <c r="J479" s="165"/>
      <c r="K479" s="117"/>
      <c r="L479" s="117"/>
      <c r="M479" s="117">
        <f t="shared" si="1"/>
        <v>0</v>
      </c>
    </row>
    <row r="480" ht="22.5" customHeight="1">
      <c r="A480" s="116"/>
      <c r="C480" s="166"/>
      <c r="D480" s="118" t="str">
        <f>IF(FuturesTrades[Opened] &lt;&gt; "",IF(FuturesTrades[Closed] = "", TODAY(), FuturesTrades[Closed]) - FuturesTrades[Opened], "")</f>
        <v/>
      </c>
      <c r="E480" s="6"/>
      <c r="F480" s="6"/>
      <c r="G480" s="22"/>
      <c r="H480" s="117"/>
      <c r="I480" s="165"/>
      <c r="J480" s="165"/>
      <c r="K480" s="117"/>
      <c r="L480" s="117"/>
      <c r="M480" s="117">
        <f t="shared" si="1"/>
        <v>0</v>
      </c>
    </row>
    <row r="481" ht="22.5" customHeight="1">
      <c r="A481" s="116"/>
      <c r="C481" s="166"/>
      <c r="D481" s="118" t="str">
        <f>IF(FuturesTrades[Opened] &lt;&gt; "",IF(FuturesTrades[Closed] = "", TODAY(), FuturesTrades[Closed]) - FuturesTrades[Opened], "")</f>
        <v/>
      </c>
      <c r="E481" s="6"/>
      <c r="F481" s="6"/>
      <c r="G481" s="22"/>
      <c r="H481" s="117"/>
      <c r="I481" s="165"/>
      <c r="J481" s="165"/>
      <c r="K481" s="117"/>
      <c r="L481" s="117"/>
      <c r="M481" s="117">
        <f t="shared" si="1"/>
        <v>0</v>
      </c>
    </row>
    <row r="482" ht="22.5" customHeight="1">
      <c r="A482" s="116"/>
      <c r="C482" s="166"/>
      <c r="D482" s="118" t="str">
        <f>IF(FuturesTrades[Opened] &lt;&gt; "",IF(FuturesTrades[Closed] = "", TODAY(), FuturesTrades[Closed]) - FuturesTrades[Opened], "")</f>
        <v/>
      </c>
      <c r="E482" s="6"/>
      <c r="F482" s="6"/>
      <c r="G482" s="22"/>
      <c r="H482" s="117"/>
      <c r="I482" s="165"/>
      <c r="J482" s="165"/>
      <c r="K482" s="117"/>
      <c r="L482" s="117"/>
      <c r="M482" s="117">
        <f t="shared" si="1"/>
        <v>0</v>
      </c>
    </row>
    <row r="483" ht="22.5" customHeight="1">
      <c r="A483" s="116"/>
      <c r="C483" s="166"/>
      <c r="D483" s="118" t="str">
        <f>IF(FuturesTrades[Opened] &lt;&gt; "",IF(FuturesTrades[Closed] = "", TODAY(), FuturesTrades[Closed]) - FuturesTrades[Opened], "")</f>
        <v/>
      </c>
      <c r="E483" s="6"/>
      <c r="F483" s="6"/>
      <c r="G483" s="22"/>
      <c r="H483" s="117"/>
      <c r="I483" s="165"/>
      <c r="J483" s="165"/>
      <c r="K483" s="117"/>
      <c r="L483" s="117"/>
      <c r="M483" s="117">
        <f t="shared" si="1"/>
        <v>0</v>
      </c>
    </row>
    <row r="484" ht="22.5" customHeight="1">
      <c r="A484" s="116"/>
      <c r="C484" s="166"/>
      <c r="D484" s="118" t="str">
        <f>IF(FuturesTrades[Opened] &lt;&gt; "",IF(FuturesTrades[Closed] = "", TODAY(), FuturesTrades[Closed]) - FuturesTrades[Opened], "")</f>
        <v/>
      </c>
      <c r="E484" s="6"/>
      <c r="F484" s="6"/>
      <c r="G484" s="22"/>
      <c r="H484" s="117"/>
      <c r="I484" s="165"/>
      <c r="J484" s="165"/>
      <c r="K484" s="117"/>
      <c r="L484" s="117"/>
      <c r="M484" s="117">
        <f t="shared" si="1"/>
        <v>0</v>
      </c>
    </row>
    <row r="485" ht="22.5" customHeight="1">
      <c r="A485" s="116"/>
      <c r="C485" s="166"/>
      <c r="D485" s="118" t="str">
        <f>IF(FuturesTrades[Opened] &lt;&gt; "",IF(FuturesTrades[Closed] = "", TODAY(), FuturesTrades[Closed]) - FuturesTrades[Opened], "")</f>
        <v/>
      </c>
      <c r="E485" s="6"/>
      <c r="F485" s="6"/>
      <c r="G485" s="22"/>
      <c r="H485" s="117"/>
      <c r="I485" s="165"/>
      <c r="J485" s="165"/>
      <c r="K485" s="117"/>
      <c r="L485" s="117"/>
      <c r="M485" s="117">
        <f t="shared" si="1"/>
        <v>0</v>
      </c>
    </row>
    <row r="486" ht="22.5" customHeight="1">
      <c r="A486" s="116"/>
      <c r="C486" s="166"/>
      <c r="D486" s="118" t="str">
        <f>IF(FuturesTrades[Opened] &lt;&gt; "",IF(FuturesTrades[Closed] = "", TODAY(), FuturesTrades[Closed]) - FuturesTrades[Opened], "")</f>
        <v/>
      </c>
      <c r="E486" s="6"/>
      <c r="F486" s="6"/>
      <c r="G486" s="22"/>
      <c r="H486" s="117"/>
      <c r="I486" s="165"/>
      <c r="J486" s="165"/>
      <c r="K486" s="117"/>
      <c r="L486" s="117"/>
      <c r="M486" s="117">
        <f t="shared" si="1"/>
        <v>0</v>
      </c>
    </row>
    <row r="487" ht="22.5" customHeight="1">
      <c r="A487" s="116"/>
      <c r="C487" s="166"/>
      <c r="D487" s="118" t="str">
        <f>IF(FuturesTrades[Opened] &lt;&gt; "",IF(FuturesTrades[Closed] = "", TODAY(), FuturesTrades[Closed]) - FuturesTrades[Opened], "")</f>
        <v/>
      </c>
      <c r="E487" s="6"/>
      <c r="F487" s="6"/>
      <c r="G487" s="22"/>
      <c r="H487" s="117"/>
      <c r="I487" s="165"/>
      <c r="J487" s="165"/>
      <c r="K487" s="117"/>
      <c r="L487" s="117"/>
      <c r="M487" s="117">
        <f t="shared" si="1"/>
        <v>0</v>
      </c>
    </row>
    <row r="488" ht="22.5" customHeight="1">
      <c r="A488" s="116"/>
      <c r="C488" s="166"/>
      <c r="D488" s="118" t="str">
        <f>IF(FuturesTrades[Opened] &lt;&gt; "",IF(FuturesTrades[Closed] = "", TODAY(), FuturesTrades[Closed]) - FuturesTrades[Opened], "")</f>
        <v/>
      </c>
      <c r="E488" s="6"/>
      <c r="F488" s="6"/>
      <c r="G488" s="22"/>
      <c r="H488" s="117"/>
      <c r="I488" s="165"/>
      <c r="J488" s="165"/>
      <c r="K488" s="117"/>
      <c r="L488" s="117"/>
      <c r="M488" s="117">
        <f t="shared" si="1"/>
        <v>0</v>
      </c>
    </row>
    <row r="489" ht="22.5" customHeight="1">
      <c r="A489" s="116"/>
      <c r="C489" s="166"/>
      <c r="D489" s="118" t="str">
        <f>IF(FuturesTrades[Opened] &lt;&gt; "",IF(FuturesTrades[Closed] = "", TODAY(), FuturesTrades[Closed]) - FuturesTrades[Opened], "")</f>
        <v/>
      </c>
      <c r="E489" s="6"/>
      <c r="F489" s="6"/>
      <c r="G489" s="22"/>
      <c r="H489" s="117"/>
      <c r="I489" s="165"/>
      <c r="J489" s="165"/>
      <c r="K489" s="117"/>
      <c r="L489" s="117"/>
      <c r="M489" s="117">
        <f t="shared" si="1"/>
        <v>0</v>
      </c>
    </row>
    <row r="490" ht="22.5" customHeight="1">
      <c r="A490" s="116"/>
      <c r="C490" s="166"/>
      <c r="D490" s="118" t="str">
        <f>IF(FuturesTrades[Opened] &lt;&gt; "",IF(FuturesTrades[Closed] = "", TODAY(), FuturesTrades[Closed]) - FuturesTrades[Opened], "")</f>
        <v/>
      </c>
      <c r="E490" s="6"/>
      <c r="F490" s="6"/>
      <c r="G490" s="22"/>
      <c r="H490" s="117"/>
      <c r="I490" s="165"/>
      <c r="J490" s="165"/>
      <c r="K490" s="117"/>
      <c r="L490" s="117"/>
      <c r="M490" s="117">
        <f t="shared" si="1"/>
        <v>0</v>
      </c>
    </row>
    <row r="491" ht="22.5" customHeight="1">
      <c r="A491" s="116"/>
      <c r="C491" s="166"/>
      <c r="D491" s="118" t="str">
        <f>IF(FuturesTrades[Opened] &lt;&gt; "",IF(FuturesTrades[Closed] = "", TODAY(), FuturesTrades[Closed]) - FuturesTrades[Opened], "")</f>
        <v/>
      </c>
      <c r="E491" s="6"/>
      <c r="F491" s="6"/>
      <c r="G491" s="22"/>
      <c r="H491" s="117"/>
      <c r="I491" s="165"/>
      <c r="J491" s="165"/>
      <c r="K491" s="117"/>
      <c r="L491" s="117"/>
      <c r="M491" s="117">
        <f t="shared" si="1"/>
        <v>0</v>
      </c>
    </row>
    <row r="492" ht="22.5" customHeight="1">
      <c r="A492" s="116"/>
      <c r="C492" s="166"/>
      <c r="D492" s="118" t="str">
        <f>IF(FuturesTrades[Opened] &lt;&gt; "",IF(FuturesTrades[Closed] = "", TODAY(), FuturesTrades[Closed]) - FuturesTrades[Opened], "")</f>
        <v/>
      </c>
      <c r="E492" s="6"/>
      <c r="F492" s="6"/>
      <c r="G492" s="22"/>
      <c r="H492" s="117"/>
      <c r="I492" s="165"/>
      <c r="J492" s="165"/>
      <c r="K492" s="117"/>
      <c r="L492" s="117"/>
      <c r="M492" s="117">
        <f t="shared" si="1"/>
        <v>0</v>
      </c>
    </row>
    <row r="493" ht="22.5" customHeight="1">
      <c r="A493" s="116"/>
      <c r="C493" s="166"/>
      <c r="D493" s="118" t="str">
        <f>IF(FuturesTrades[Opened] &lt;&gt; "",IF(FuturesTrades[Closed] = "", TODAY(), FuturesTrades[Closed]) - FuturesTrades[Opened], "")</f>
        <v/>
      </c>
      <c r="E493" s="6"/>
      <c r="F493" s="6"/>
      <c r="G493" s="22"/>
      <c r="H493" s="117"/>
      <c r="I493" s="165"/>
      <c r="J493" s="165"/>
      <c r="K493" s="117"/>
      <c r="L493" s="117"/>
      <c r="M493" s="117">
        <f t="shared" si="1"/>
        <v>0</v>
      </c>
    </row>
    <row r="494" ht="22.5" customHeight="1">
      <c r="A494" s="116"/>
      <c r="C494" s="166"/>
      <c r="D494" s="118" t="str">
        <f>IF(FuturesTrades[Opened] &lt;&gt; "",IF(FuturesTrades[Closed] = "", TODAY(), FuturesTrades[Closed]) - FuturesTrades[Opened], "")</f>
        <v/>
      </c>
      <c r="E494" s="6"/>
      <c r="F494" s="6"/>
      <c r="G494" s="22"/>
      <c r="H494" s="117"/>
      <c r="I494" s="165"/>
      <c r="J494" s="165"/>
      <c r="K494" s="117"/>
      <c r="L494" s="117"/>
      <c r="M494" s="117">
        <f t="shared" si="1"/>
        <v>0</v>
      </c>
    </row>
    <row r="495" ht="22.5" customHeight="1">
      <c r="A495" s="116"/>
      <c r="C495" s="166"/>
      <c r="D495" s="118" t="str">
        <f>IF(FuturesTrades[Opened] &lt;&gt; "",IF(FuturesTrades[Closed] = "", TODAY(), FuturesTrades[Closed]) - FuturesTrades[Opened], "")</f>
        <v/>
      </c>
      <c r="E495" s="6"/>
      <c r="F495" s="6"/>
      <c r="G495" s="22"/>
      <c r="H495" s="117"/>
      <c r="I495" s="165"/>
      <c r="J495" s="165"/>
      <c r="K495" s="117"/>
      <c r="L495" s="117"/>
      <c r="M495" s="117">
        <f t="shared" si="1"/>
        <v>0</v>
      </c>
    </row>
    <row r="496" ht="22.5" customHeight="1">
      <c r="A496" s="116"/>
      <c r="C496" s="166"/>
      <c r="D496" s="118" t="str">
        <f>IF(FuturesTrades[Opened] &lt;&gt; "",IF(FuturesTrades[Closed] = "", TODAY(), FuturesTrades[Closed]) - FuturesTrades[Opened], "")</f>
        <v/>
      </c>
      <c r="E496" s="6"/>
      <c r="F496" s="6"/>
      <c r="G496" s="22"/>
      <c r="H496" s="117"/>
      <c r="I496" s="165"/>
      <c r="J496" s="165"/>
      <c r="K496" s="117"/>
      <c r="L496" s="117"/>
      <c r="M496" s="117">
        <f t="shared" si="1"/>
        <v>0</v>
      </c>
    </row>
    <row r="497" ht="22.5" customHeight="1">
      <c r="A497" s="116"/>
      <c r="C497" s="166"/>
      <c r="D497" s="118" t="str">
        <f>IF(FuturesTrades[Opened] &lt;&gt; "",IF(FuturesTrades[Closed] = "", TODAY(), FuturesTrades[Closed]) - FuturesTrades[Opened], "")</f>
        <v/>
      </c>
      <c r="E497" s="6"/>
      <c r="F497" s="6"/>
      <c r="G497" s="22"/>
      <c r="H497" s="117"/>
      <c r="I497" s="165"/>
      <c r="J497" s="165"/>
      <c r="K497" s="117"/>
      <c r="L497" s="117"/>
      <c r="M497" s="117">
        <f t="shared" si="1"/>
        <v>0</v>
      </c>
    </row>
    <row r="498" ht="22.5" customHeight="1">
      <c r="A498" s="116"/>
      <c r="C498" s="166"/>
      <c r="D498" s="118" t="str">
        <f>IF(FuturesTrades[Opened] &lt;&gt; "",IF(FuturesTrades[Closed] = "", TODAY(), FuturesTrades[Closed]) - FuturesTrades[Opened], "")</f>
        <v/>
      </c>
      <c r="E498" s="6"/>
      <c r="F498" s="6"/>
      <c r="G498" s="22"/>
      <c r="H498" s="117"/>
      <c r="I498" s="165"/>
      <c r="J498" s="165"/>
      <c r="K498" s="117"/>
      <c r="L498" s="117"/>
      <c r="M498" s="117">
        <f t="shared" si="1"/>
        <v>0</v>
      </c>
    </row>
    <row r="499" ht="22.5" customHeight="1">
      <c r="A499" s="116"/>
      <c r="C499" s="166"/>
      <c r="D499" s="118" t="str">
        <f>IF(FuturesTrades[Opened] &lt;&gt; "",IF(FuturesTrades[Closed] = "", TODAY(), FuturesTrades[Closed]) - FuturesTrades[Opened], "")</f>
        <v/>
      </c>
      <c r="E499" s="6"/>
      <c r="F499" s="6"/>
      <c r="G499" s="22"/>
      <c r="H499" s="117"/>
      <c r="I499" s="165"/>
      <c r="J499" s="165"/>
      <c r="K499" s="117"/>
      <c r="L499" s="117"/>
      <c r="M499" s="117">
        <f t="shared" si="1"/>
        <v>0</v>
      </c>
    </row>
    <row r="500" ht="22.5" customHeight="1">
      <c r="A500" s="116"/>
      <c r="C500" s="166"/>
      <c r="D500" s="118" t="str">
        <f>IF(FuturesTrades[Opened] &lt;&gt; "",IF(FuturesTrades[Closed] = "", TODAY(), FuturesTrades[Closed]) - FuturesTrades[Opened], "")</f>
        <v/>
      </c>
      <c r="E500" s="6"/>
      <c r="F500" s="6"/>
      <c r="G500" s="22"/>
      <c r="H500" s="117"/>
      <c r="I500" s="165"/>
      <c r="J500" s="165"/>
      <c r="K500" s="117"/>
      <c r="L500" s="117"/>
      <c r="M500" s="117">
        <f t="shared" si="1"/>
        <v>0</v>
      </c>
    </row>
    <row r="501" ht="22.5" customHeight="1">
      <c r="A501" s="116"/>
      <c r="C501" s="166"/>
      <c r="D501" s="118" t="str">
        <f>IF(FuturesTrades[Opened] &lt;&gt; "",IF(FuturesTrades[Closed] = "", TODAY(), FuturesTrades[Closed]) - FuturesTrades[Opened], "")</f>
        <v/>
      </c>
      <c r="E501" s="6"/>
      <c r="F501" s="6"/>
      <c r="G501" s="22"/>
      <c r="H501" s="117"/>
      <c r="I501" s="165"/>
      <c r="J501" s="165"/>
      <c r="K501" s="117"/>
      <c r="L501" s="117"/>
      <c r="M501" s="117">
        <f t="shared" si="1"/>
        <v>0</v>
      </c>
    </row>
    <row r="502" ht="22.5" customHeight="1">
      <c r="A502" s="116"/>
      <c r="C502" s="166"/>
      <c r="D502" s="118" t="str">
        <f>IF(FuturesTrades[Opened] &lt;&gt; "",IF(FuturesTrades[Closed] = "", TODAY(), FuturesTrades[Closed]) - FuturesTrades[Opened], "")</f>
        <v/>
      </c>
      <c r="E502" s="6"/>
      <c r="F502" s="6"/>
      <c r="G502" s="22"/>
      <c r="H502" s="117"/>
      <c r="I502" s="165"/>
      <c r="J502" s="165"/>
      <c r="K502" s="117"/>
      <c r="L502" s="117"/>
      <c r="M502" s="117">
        <f t="shared" si="1"/>
        <v>0</v>
      </c>
    </row>
    <row r="503" ht="22.5" customHeight="1">
      <c r="A503" s="116"/>
      <c r="C503" s="166"/>
      <c r="D503" s="118" t="str">
        <f>IF(FuturesTrades[Opened] &lt;&gt; "",IF(FuturesTrades[Closed] = "", TODAY(), FuturesTrades[Closed]) - FuturesTrades[Opened], "")</f>
        <v/>
      </c>
      <c r="E503" s="6"/>
      <c r="F503" s="6"/>
      <c r="G503" s="22"/>
      <c r="H503" s="117"/>
      <c r="I503" s="165"/>
      <c r="J503" s="165"/>
      <c r="K503" s="117"/>
      <c r="L503" s="117"/>
      <c r="M503" s="117">
        <f t="shared" si="1"/>
        <v>0</v>
      </c>
    </row>
    <row r="504" ht="22.5" customHeight="1">
      <c r="A504" s="116"/>
      <c r="C504" s="166"/>
      <c r="D504" s="118" t="str">
        <f>IF(FuturesTrades[Opened] &lt;&gt; "",IF(FuturesTrades[Closed] = "", TODAY(), FuturesTrades[Closed]) - FuturesTrades[Opened], "")</f>
        <v/>
      </c>
      <c r="E504" s="6"/>
      <c r="F504" s="6"/>
      <c r="G504" s="22"/>
      <c r="H504" s="117"/>
      <c r="I504" s="165"/>
      <c r="J504" s="165"/>
      <c r="K504" s="117"/>
      <c r="L504" s="117"/>
      <c r="M504" s="117">
        <f t="shared" si="1"/>
        <v>0</v>
      </c>
    </row>
    <row r="505" ht="22.5" customHeight="1">
      <c r="A505" s="116"/>
      <c r="C505" s="166"/>
      <c r="D505" s="118" t="str">
        <f>IF(FuturesTrades[Opened] &lt;&gt; "",IF(FuturesTrades[Closed] = "", TODAY(), FuturesTrades[Closed]) - FuturesTrades[Opened], "")</f>
        <v/>
      </c>
      <c r="E505" s="6"/>
      <c r="F505" s="6"/>
      <c r="G505" s="22"/>
      <c r="H505" s="117"/>
      <c r="I505" s="165"/>
      <c r="J505" s="165"/>
      <c r="K505" s="117"/>
      <c r="L505" s="117"/>
      <c r="M505" s="117">
        <f t="shared" si="1"/>
        <v>0</v>
      </c>
    </row>
    <row r="506" ht="22.5" customHeight="1">
      <c r="A506" s="116"/>
      <c r="C506" s="166"/>
      <c r="D506" s="118" t="str">
        <f>IF(FuturesTrades[Opened] &lt;&gt; "",IF(FuturesTrades[Closed] = "", TODAY(), FuturesTrades[Closed]) - FuturesTrades[Opened], "")</f>
        <v/>
      </c>
      <c r="E506" s="6"/>
      <c r="F506" s="6"/>
      <c r="G506" s="22"/>
      <c r="H506" s="117"/>
      <c r="I506" s="165"/>
      <c r="J506" s="165"/>
      <c r="K506" s="117"/>
      <c r="L506" s="117"/>
      <c r="M506" s="117">
        <f t="shared" si="1"/>
        <v>0</v>
      </c>
    </row>
    <row r="507" ht="22.5" customHeight="1">
      <c r="A507" s="116"/>
      <c r="C507" s="166"/>
      <c r="D507" s="118" t="str">
        <f>IF(FuturesTrades[Opened] &lt;&gt; "",IF(FuturesTrades[Closed] = "", TODAY(), FuturesTrades[Closed]) - FuturesTrades[Opened], "")</f>
        <v/>
      </c>
      <c r="E507" s="6"/>
      <c r="F507" s="6"/>
      <c r="G507" s="22"/>
      <c r="H507" s="117"/>
      <c r="I507" s="165"/>
      <c r="J507" s="165"/>
      <c r="K507" s="117"/>
      <c r="L507" s="117"/>
      <c r="M507" s="117">
        <f t="shared" si="1"/>
        <v>0</v>
      </c>
    </row>
    <row r="508" ht="22.5" customHeight="1">
      <c r="A508" s="116"/>
      <c r="C508" s="166"/>
      <c r="D508" s="118" t="str">
        <f>IF(FuturesTrades[Opened] &lt;&gt; "",IF(FuturesTrades[Closed] = "", TODAY(), FuturesTrades[Closed]) - FuturesTrades[Opened], "")</f>
        <v/>
      </c>
      <c r="E508" s="6"/>
      <c r="F508" s="6"/>
      <c r="G508" s="22"/>
      <c r="H508" s="117"/>
      <c r="I508" s="165"/>
      <c r="J508" s="165"/>
      <c r="K508" s="117"/>
      <c r="L508" s="117"/>
      <c r="M508" s="117">
        <f t="shared" si="1"/>
        <v>0</v>
      </c>
    </row>
    <row r="509" ht="22.5" customHeight="1">
      <c r="A509" s="116"/>
      <c r="C509" s="166"/>
      <c r="D509" s="118" t="str">
        <f>IF(FuturesTrades[Opened] &lt;&gt; "",IF(FuturesTrades[Closed] = "", TODAY(), FuturesTrades[Closed]) - FuturesTrades[Opened], "")</f>
        <v/>
      </c>
      <c r="E509" s="6"/>
      <c r="F509" s="6"/>
      <c r="G509" s="22"/>
      <c r="H509" s="117"/>
      <c r="I509" s="165"/>
      <c r="J509" s="165"/>
      <c r="K509" s="117"/>
      <c r="L509" s="117"/>
      <c r="M509" s="117">
        <f t="shared" si="1"/>
        <v>0</v>
      </c>
    </row>
    <row r="510" ht="22.5" customHeight="1">
      <c r="A510" s="116"/>
      <c r="C510" s="166"/>
      <c r="D510" s="118" t="str">
        <f>IF(FuturesTrades[Opened] &lt;&gt; "",IF(FuturesTrades[Closed] = "", TODAY(), FuturesTrades[Closed]) - FuturesTrades[Opened], "")</f>
        <v/>
      </c>
      <c r="E510" s="6"/>
      <c r="F510" s="6"/>
      <c r="G510" s="22"/>
      <c r="H510" s="117"/>
      <c r="I510" s="165"/>
      <c r="J510" s="165"/>
      <c r="K510" s="117"/>
      <c r="L510" s="117"/>
      <c r="M510" s="117">
        <f t="shared" si="1"/>
        <v>0</v>
      </c>
    </row>
    <row r="511" ht="22.5" customHeight="1">
      <c r="A511" s="116"/>
      <c r="C511" s="166"/>
      <c r="D511" s="118" t="str">
        <f>IF(FuturesTrades[Opened] &lt;&gt; "",IF(FuturesTrades[Closed] = "", TODAY(), FuturesTrades[Closed]) - FuturesTrades[Opened], "")</f>
        <v/>
      </c>
      <c r="E511" s="6"/>
      <c r="F511" s="6"/>
      <c r="G511" s="22"/>
      <c r="H511" s="117"/>
      <c r="I511" s="165"/>
      <c r="J511" s="165"/>
      <c r="K511" s="117"/>
      <c r="L511" s="117"/>
      <c r="M511" s="117">
        <f t="shared" si="1"/>
        <v>0</v>
      </c>
    </row>
    <row r="512" ht="22.5" customHeight="1">
      <c r="A512" s="116"/>
      <c r="C512" s="166"/>
      <c r="D512" s="118" t="str">
        <f>IF(FuturesTrades[Opened] &lt;&gt; "",IF(FuturesTrades[Closed] = "", TODAY(), FuturesTrades[Closed]) - FuturesTrades[Opened], "")</f>
        <v/>
      </c>
      <c r="E512" s="6"/>
      <c r="F512" s="6"/>
      <c r="G512" s="22"/>
      <c r="H512" s="117"/>
      <c r="I512" s="165"/>
      <c r="J512" s="165"/>
      <c r="K512" s="117"/>
      <c r="L512" s="117"/>
      <c r="M512" s="117">
        <f t="shared" si="1"/>
        <v>0</v>
      </c>
    </row>
    <row r="513" ht="22.5" customHeight="1">
      <c r="A513" s="116"/>
      <c r="C513" s="166"/>
      <c r="D513" s="118" t="str">
        <f>IF(FuturesTrades[Opened] &lt;&gt; "",IF(FuturesTrades[Closed] = "", TODAY(), FuturesTrades[Closed]) - FuturesTrades[Opened], "")</f>
        <v/>
      </c>
      <c r="E513" s="6"/>
      <c r="F513" s="6"/>
      <c r="G513" s="22"/>
      <c r="H513" s="117"/>
      <c r="I513" s="165"/>
      <c r="J513" s="165"/>
      <c r="K513" s="117"/>
      <c r="L513" s="117"/>
      <c r="M513" s="117">
        <f t="shared" si="1"/>
        <v>0</v>
      </c>
    </row>
    <row r="514" ht="22.5" customHeight="1">
      <c r="A514" s="116"/>
      <c r="C514" s="166"/>
      <c r="D514" s="118" t="str">
        <f>IF(FuturesTrades[Opened] &lt;&gt; "",IF(FuturesTrades[Closed] = "", TODAY(), FuturesTrades[Closed]) - FuturesTrades[Opened], "")</f>
        <v/>
      </c>
      <c r="E514" s="6"/>
      <c r="F514" s="6"/>
      <c r="G514" s="22"/>
      <c r="H514" s="117"/>
      <c r="I514" s="165"/>
      <c r="J514" s="165"/>
      <c r="K514" s="117"/>
      <c r="L514" s="117"/>
      <c r="M514" s="117">
        <f t="shared" si="1"/>
        <v>0</v>
      </c>
    </row>
    <row r="515" ht="22.5" customHeight="1">
      <c r="A515" s="116"/>
      <c r="C515" s="166"/>
      <c r="D515" s="118" t="str">
        <f>IF(FuturesTrades[Opened] &lt;&gt; "",IF(FuturesTrades[Closed] = "", TODAY(), FuturesTrades[Closed]) - FuturesTrades[Opened], "")</f>
        <v/>
      </c>
      <c r="E515" s="6"/>
      <c r="F515" s="6"/>
      <c r="G515" s="22"/>
      <c r="H515" s="117"/>
      <c r="I515" s="165"/>
      <c r="J515" s="165"/>
      <c r="K515" s="117"/>
      <c r="L515" s="117"/>
      <c r="M515" s="117">
        <f t="shared" si="1"/>
        <v>0</v>
      </c>
    </row>
    <row r="516" ht="22.5" customHeight="1">
      <c r="A516" s="116"/>
      <c r="C516" s="166"/>
      <c r="D516" s="118" t="str">
        <f>IF(FuturesTrades[Opened] &lt;&gt; "",IF(FuturesTrades[Closed] = "", TODAY(), FuturesTrades[Closed]) - FuturesTrades[Opened], "")</f>
        <v/>
      </c>
      <c r="E516" s="6"/>
      <c r="F516" s="6"/>
      <c r="G516" s="22"/>
      <c r="H516" s="117"/>
      <c r="I516" s="165"/>
      <c r="J516" s="165"/>
      <c r="K516" s="117"/>
      <c r="L516" s="117"/>
      <c r="M516" s="117">
        <f t="shared" si="1"/>
        <v>0</v>
      </c>
    </row>
    <row r="517" ht="22.5" customHeight="1">
      <c r="A517" s="116"/>
      <c r="C517" s="166"/>
      <c r="D517" s="118" t="str">
        <f>IF(FuturesTrades[Opened] &lt;&gt; "",IF(FuturesTrades[Closed] = "", TODAY(), FuturesTrades[Closed]) - FuturesTrades[Opened], "")</f>
        <v/>
      </c>
      <c r="E517" s="6"/>
      <c r="F517" s="6"/>
      <c r="G517" s="22"/>
      <c r="H517" s="117"/>
      <c r="I517" s="165"/>
      <c r="J517" s="165"/>
      <c r="K517" s="117"/>
      <c r="L517" s="117"/>
      <c r="M517" s="117">
        <f t="shared" si="1"/>
        <v>0</v>
      </c>
    </row>
    <row r="518" ht="22.5" customHeight="1">
      <c r="A518" s="116"/>
      <c r="C518" s="166"/>
      <c r="D518" s="118" t="str">
        <f>IF(FuturesTrades[Opened] &lt;&gt; "",IF(FuturesTrades[Closed] = "", TODAY(), FuturesTrades[Closed]) - FuturesTrades[Opened], "")</f>
        <v/>
      </c>
      <c r="E518" s="6"/>
      <c r="F518" s="6"/>
      <c r="G518" s="22"/>
      <c r="H518" s="117"/>
      <c r="I518" s="165"/>
      <c r="J518" s="165"/>
      <c r="K518" s="117"/>
      <c r="L518" s="117"/>
      <c r="M518" s="117">
        <f t="shared" si="1"/>
        <v>0</v>
      </c>
    </row>
    <row r="519" ht="22.5" customHeight="1">
      <c r="A519" s="116"/>
      <c r="C519" s="166"/>
      <c r="D519" s="118" t="str">
        <f>IF(FuturesTrades[Opened] &lt;&gt; "",IF(FuturesTrades[Closed] = "", TODAY(), FuturesTrades[Closed]) - FuturesTrades[Opened], "")</f>
        <v/>
      </c>
      <c r="E519" s="6"/>
      <c r="F519" s="6"/>
      <c r="G519" s="22"/>
      <c r="H519" s="117"/>
      <c r="I519" s="165"/>
      <c r="J519" s="165"/>
      <c r="K519" s="117"/>
      <c r="L519" s="117"/>
      <c r="M519" s="117">
        <f t="shared" si="1"/>
        <v>0</v>
      </c>
    </row>
    <row r="520" ht="22.5" customHeight="1">
      <c r="A520" s="116"/>
      <c r="C520" s="166"/>
      <c r="D520" s="118" t="str">
        <f>IF(FuturesTrades[Opened] &lt;&gt; "",IF(FuturesTrades[Closed] = "", TODAY(), FuturesTrades[Closed]) - FuturesTrades[Opened], "")</f>
        <v/>
      </c>
      <c r="E520" s="6"/>
      <c r="F520" s="6"/>
      <c r="G520" s="22"/>
      <c r="H520" s="117"/>
      <c r="I520" s="165"/>
      <c r="J520" s="165"/>
      <c r="K520" s="117"/>
      <c r="L520" s="117"/>
      <c r="M520" s="117">
        <f t="shared" si="1"/>
        <v>0</v>
      </c>
    </row>
    <row r="521" ht="22.5" customHeight="1">
      <c r="A521" s="116"/>
      <c r="C521" s="166"/>
      <c r="D521" s="118" t="str">
        <f>IF(FuturesTrades[Opened] &lt;&gt; "",IF(FuturesTrades[Closed] = "", TODAY(), FuturesTrades[Closed]) - FuturesTrades[Opened], "")</f>
        <v/>
      </c>
      <c r="E521" s="6"/>
      <c r="F521" s="6"/>
      <c r="G521" s="22"/>
      <c r="H521" s="117"/>
      <c r="I521" s="165"/>
      <c r="J521" s="165"/>
      <c r="K521" s="117"/>
      <c r="L521" s="117"/>
      <c r="M521" s="117">
        <f t="shared" si="1"/>
        <v>0</v>
      </c>
    </row>
    <row r="522" ht="22.5" customHeight="1">
      <c r="A522" s="116"/>
      <c r="C522" s="166"/>
      <c r="D522" s="118" t="str">
        <f>IF(FuturesTrades[Opened] &lt;&gt; "",IF(FuturesTrades[Closed] = "", TODAY(), FuturesTrades[Closed]) - FuturesTrades[Opened], "")</f>
        <v/>
      </c>
      <c r="E522" s="6"/>
      <c r="F522" s="6"/>
      <c r="G522" s="22"/>
      <c r="H522" s="117"/>
      <c r="I522" s="165"/>
      <c r="J522" s="165"/>
      <c r="K522" s="117"/>
      <c r="L522" s="117"/>
      <c r="M522" s="117">
        <f t="shared" si="1"/>
        <v>0</v>
      </c>
    </row>
    <row r="523" ht="22.5" customHeight="1">
      <c r="A523" s="116"/>
      <c r="C523" s="166"/>
      <c r="D523" s="118" t="str">
        <f>IF(FuturesTrades[Opened] &lt;&gt; "",IF(FuturesTrades[Closed] = "", TODAY(), FuturesTrades[Closed]) - FuturesTrades[Opened], "")</f>
        <v/>
      </c>
      <c r="E523" s="6"/>
      <c r="F523" s="6"/>
      <c r="G523" s="22"/>
      <c r="H523" s="117"/>
      <c r="I523" s="165"/>
      <c r="J523" s="165"/>
      <c r="K523" s="117"/>
      <c r="L523" s="117"/>
      <c r="M523" s="117">
        <f t="shared" si="1"/>
        <v>0</v>
      </c>
    </row>
    <row r="524" ht="22.5" customHeight="1">
      <c r="A524" s="116"/>
      <c r="C524" s="166"/>
      <c r="D524" s="118" t="str">
        <f>IF(FuturesTrades[Opened] &lt;&gt; "",IF(FuturesTrades[Closed] = "", TODAY(), FuturesTrades[Closed]) - FuturesTrades[Opened], "")</f>
        <v/>
      </c>
      <c r="E524" s="6"/>
      <c r="F524" s="6"/>
      <c r="G524" s="22"/>
      <c r="H524" s="117"/>
      <c r="I524" s="165"/>
      <c r="J524" s="165"/>
      <c r="K524" s="117"/>
      <c r="L524" s="117"/>
      <c r="M524" s="117">
        <f t="shared" si="1"/>
        <v>0</v>
      </c>
    </row>
    <row r="525" ht="22.5" customHeight="1">
      <c r="A525" s="116"/>
      <c r="C525" s="166"/>
      <c r="D525" s="118" t="str">
        <f>IF(FuturesTrades[Opened] &lt;&gt; "",IF(FuturesTrades[Closed] = "", TODAY(), FuturesTrades[Closed]) - FuturesTrades[Opened], "")</f>
        <v/>
      </c>
      <c r="E525" s="6"/>
      <c r="F525" s="6"/>
      <c r="G525" s="22"/>
      <c r="H525" s="117"/>
      <c r="I525" s="165"/>
      <c r="J525" s="165"/>
      <c r="K525" s="117"/>
      <c r="L525" s="117"/>
      <c r="M525" s="117">
        <f t="shared" si="1"/>
        <v>0</v>
      </c>
    </row>
    <row r="526" ht="22.5" customHeight="1">
      <c r="A526" s="116"/>
      <c r="C526" s="166"/>
      <c r="D526" s="118" t="str">
        <f>IF(FuturesTrades[Opened] &lt;&gt; "",IF(FuturesTrades[Closed] = "", TODAY(), FuturesTrades[Closed]) - FuturesTrades[Opened], "")</f>
        <v/>
      </c>
      <c r="E526" s="6"/>
      <c r="F526" s="6"/>
      <c r="G526" s="22"/>
      <c r="H526" s="117"/>
      <c r="I526" s="165"/>
      <c r="J526" s="165"/>
      <c r="K526" s="117"/>
      <c r="L526" s="117"/>
      <c r="M526" s="117">
        <f t="shared" si="1"/>
        <v>0</v>
      </c>
    </row>
    <row r="527" ht="22.5" customHeight="1">
      <c r="A527" s="116"/>
      <c r="C527" s="166"/>
      <c r="D527" s="118" t="str">
        <f>IF(FuturesTrades[Opened] &lt;&gt; "",IF(FuturesTrades[Closed] = "", TODAY(), FuturesTrades[Closed]) - FuturesTrades[Opened], "")</f>
        <v/>
      </c>
      <c r="E527" s="6"/>
      <c r="F527" s="6"/>
      <c r="G527" s="22"/>
      <c r="H527" s="117"/>
      <c r="I527" s="165"/>
      <c r="J527" s="165"/>
      <c r="K527" s="117"/>
      <c r="L527" s="117"/>
      <c r="M527" s="117">
        <f t="shared" si="1"/>
        <v>0</v>
      </c>
    </row>
    <row r="528" ht="22.5" customHeight="1">
      <c r="A528" s="116"/>
      <c r="C528" s="166"/>
      <c r="D528" s="118" t="str">
        <f>IF(FuturesTrades[Opened] &lt;&gt; "",IF(FuturesTrades[Closed] = "", TODAY(), FuturesTrades[Closed]) - FuturesTrades[Opened], "")</f>
        <v/>
      </c>
      <c r="E528" s="6"/>
      <c r="F528" s="6"/>
      <c r="G528" s="22"/>
      <c r="H528" s="117"/>
      <c r="I528" s="165"/>
      <c r="J528" s="165"/>
      <c r="K528" s="117"/>
      <c r="L528" s="117"/>
      <c r="M528" s="117">
        <f t="shared" si="1"/>
        <v>0</v>
      </c>
    </row>
    <row r="529" ht="22.5" customHeight="1">
      <c r="A529" s="116"/>
      <c r="C529" s="166"/>
      <c r="D529" s="118" t="str">
        <f>IF(FuturesTrades[Opened] &lt;&gt; "",IF(FuturesTrades[Closed] = "", TODAY(), FuturesTrades[Closed]) - FuturesTrades[Opened], "")</f>
        <v/>
      </c>
      <c r="E529" s="6"/>
      <c r="F529" s="6"/>
      <c r="G529" s="22"/>
      <c r="H529" s="117"/>
      <c r="I529" s="165"/>
      <c r="J529" s="165"/>
      <c r="K529" s="117"/>
      <c r="L529" s="117"/>
      <c r="M529" s="117">
        <f t="shared" si="1"/>
        <v>0</v>
      </c>
    </row>
    <row r="530" ht="22.5" customHeight="1">
      <c r="A530" s="116"/>
      <c r="C530" s="166"/>
      <c r="D530" s="118" t="str">
        <f>IF(FuturesTrades[Opened] &lt;&gt; "",IF(FuturesTrades[Closed] = "", TODAY(), FuturesTrades[Closed]) - FuturesTrades[Opened], "")</f>
        <v/>
      </c>
      <c r="E530" s="6"/>
      <c r="F530" s="6"/>
      <c r="G530" s="22"/>
      <c r="H530" s="117"/>
      <c r="I530" s="165"/>
      <c r="J530" s="165"/>
      <c r="K530" s="117"/>
      <c r="L530" s="117"/>
      <c r="M530" s="117">
        <f t="shared" si="1"/>
        <v>0</v>
      </c>
    </row>
    <row r="531" ht="22.5" customHeight="1">
      <c r="A531" s="116"/>
      <c r="C531" s="166"/>
      <c r="D531" s="118" t="str">
        <f>IF(FuturesTrades[Opened] &lt;&gt; "",IF(FuturesTrades[Closed] = "", TODAY(), FuturesTrades[Closed]) - FuturesTrades[Opened], "")</f>
        <v/>
      </c>
      <c r="E531" s="6"/>
      <c r="F531" s="6"/>
      <c r="G531" s="22"/>
      <c r="H531" s="117"/>
      <c r="I531" s="165"/>
      <c r="J531" s="165"/>
      <c r="K531" s="117"/>
      <c r="L531" s="117"/>
      <c r="M531" s="117">
        <f t="shared" si="1"/>
        <v>0</v>
      </c>
    </row>
    <row r="532" ht="22.5" customHeight="1">
      <c r="A532" s="116"/>
      <c r="C532" s="166"/>
      <c r="D532" s="118" t="str">
        <f>IF(FuturesTrades[Opened] &lt;&gt; "",IF(FuturesTrades[Closed] = "", TODAY(), FuturesTrades[Closed]) - FuturesTrades[Opened], "")</f>
        <v/>
      </c>
      <c r="E532" s="6"/>
      <c r="F532" s="6"/>
      <c r="G532" s="22"/>
      <c r="H532" s="117"/>
      <c r="I532" s="165"/>
      <c r="J532" s="165"/>
      <c r="K532" s="117"/>
      <c r="L532" s="117"/>
      <c r="M532" s="117">
        <f t="shared" si="1"/>
        <v>0</v>
      </c>
    </row>
    <row r="533" ht="22.5" customHeight="1">
      <c r="A533" s="116"/>
      <c r="C533" s="166"/>
      <c r="D533" s="118" t="str">
        <f>IF(FuturesTrades[Opened] &lt;&gt; "",IF(FuturesTrades[Closed] = "", TODAY(), FuturesTrades[Closed]) - FuturesTrades[Opened], "")</f>
        <v/>
      </c>
      <c r="E533" s="6"/>
      <c r="F533" s="6"/>
      <c r="G533" s="22"/>
      <c r="H533" s="117"/>
      <c r="I533" s="165"/>
      <c r="J533" s="165"/>
      <c r="K533" s="117"/>
      <c r="L533" s="117"/>
      <c r="M533" s="117">
        <f t="shared" si="1"/>
        <v>0</v>
      </c>
    </row>
    <row r="534" ht="22.5" customHeight="1">
      <c r="A534" s="116"/>
      <c r="C534" s="166"/>
      <c r="D534" s="118" t="str">
        <f>IF(FuturesTrades[Opened] &lt;&gt; "",IF(FuturesTrades[Closed] = "", TODAY(), FuturesTrades[Closed]) - FuturesTrades[Opened], "")</f>
        <v/>
      </c>
      <c r="E534" s="6"/>
      <c r="F534" s="6"/>
      <c r="G534" s="22"/>
      <c r="H534" s="117"/>
      <c r="I534" s="165"/>
      <c r="J534" s="165"/>
      <c r="K534" s="117"/>
      <c r="L534" s="117"/>
      <c r="M534" s="117">
        <f t="shared" si="1"/>
        <v>0</v>
      </c>
    </row>
    <row r="535" ht="22.5" customHeight="1">
      <c r="A535" s="116"/>
      <c r="C535" s="166"/>
      <c r="D535" s="118" t="str">
        <f>IF(FuturesTrades[Opened] &lt;&gt; "",IF(FuturesTrades[Closed] = "", TODAY(), FuturesTrades[Closed]) - FuturesTrades[Opened], "")</f>
        <v/>
      </c>
      <c r="E535" s="6"/>
      <c r="F535" s="6"/>
      <c r="G535" s="22"/>
      <c r="H535" s="117"/>
      <c r="I535" s="165"/>
      <c r="J535" s="165"/>
      <c r="K535" s="117"/>
      <c r="L535" s="117"/>
      <c r="M535" s="117">
        <f t="shared" si="1"/>
        <v>0</v>
      </c>
    </row>
    <row r="536" ht="22.5" customHeight="1">
      <c r="A536" s="116"/>
      <c r="C536" s="166"/>
      <c r="D536" s="118" t="str">
        <f>IF(FuturesTrades[Opened] &lt;&gt; "",IF(FuturesTrades[Closed] = "", TODAY(), FuturesTrades[Closed]) - FuturesTrades[Opened], "")</f>
        <v/>
      </c>
      <c r="E536" s="6"/>
      <c r="F536" s="6"/>
      <c r="G536" s="22"/>
      <c r="H536" s="117"/>
      <c r="I536" s="165"/>
      <c r="J536" s="165"/>
      <c r="K536" s="117"/>
      <c r="L536" s="117"/>
      <c r="M536" s="117">
        <f t="shared" si="1"/>
        <v>0</v>
      </c>
    </row>
    <row r="537" ht="22.5" customHeight="1">
      <c r="A537" s="116"/>
      <c r="C537" s="166"/>
      <c r="D537" s="118" t="str">
        <f>IF(FuturesTrades[Opened] &lt;&gt; "",IF(FuturesTrades[Closed] = "", TODAY(), FuturesTrades[Closed]) - FuturesTrades[Opened], "")</f>
        <v/>
      </c>
      <c r="E537" s="6"/>
      <c r="F537" s="6"/>
      <c r="G537" s="22"/>
      <c r="H537" s="117"/>
      <c r="I537" s="165"/>
      <c r="J537" s="165"/>
      <c r="K537" s="117"/>
      <c r="L537" s="117"/>
      <c r="M537" s="117">
        <f t="shared" si="1"/>
        <v>0</v>
      </c>
    </row>
    <row r="538" ht="22.5" customHeight="1">
      <c r="A538" s="116"/>
      <c r="C538" s="166"/>
      <c r="D538" s="118" t="str">
        <f>IF(FuturesTrades[Opened] &lt;&gt; "",IF(FuturesTrades[Closed] = "", TODAY(), FuturesTrades[Closed]) - FuturesTrades[Opened], "")</f>
        <v/>
      </c>
      <c r="E538" s="6"/>
      <c r="F538" s="6"/>
      <c r="G538" s="22"/>
      <c r="H538" s="117"/>
      <c r="I538" s="165"/>
      <c r="J538" s="165"/>
      <c r="K538" s="117"/>
      <c r="L538" s="117"/>
      <c r="M538" s="117">
        <f t="shared" si="1"/>
        <v>0</v>
      </c>
    </row>
    <row r="539" ht="22.5" customHeight="1">
      <c r="A539" s="116"/>
      <c r="C539" s="166"/>
      <c r="D539" s="118" t="str">
        <f>IF(FuturesTrades[Opened] &lt;&gt; "",IF(FuturesTrades[Closed] = "", TODAY(), FuturesTrades[Closed]) - FuturesTrades[Opened], "")</f>
        <v/>
      </c>
      <c r="E539" s="6"/>
      <c r="F539" s="6"/>
      <c r="G539" s="22"/>
      <c r="H539" s="117"/>
      <c r="I539" s="165"/>
      <c r="J539" s="165"/>
      <c r="K539" s="117"/>
      <c r="L539" s="117"/>
      <c r="M539" s="117">
        <f t="shared" si="1"/>
        <v>0</v>
      </c>
    </row>
    <row r="540" ht="22.5" customHeight="1">
      <c r="A540" s="116"/>
      <c r="C540" s="166"/>
      <c r="D540" s="118" t="str">
        <f>IF(FuturesTrades[Opened] &lt;&gt; "",IF(FuturesTrades[Closed] = "", TODAY(), FuturesTrades[Closed]) - FuturesTrades[Opened], "")</f>
        <v/>
      </c>
      <c r="E540" s="6"/>
      <c r="F540" s="6"/>
      <c r="G540" s="22"/>
      <c r="H540" s="117"/>
      <c r="I540" s="165"/>
      <c r="J540" s="165"/>
      <c r="K540" s="117"/>
      <c r="L540" s="117"/>
      <c r="M540" s="117">
        <f t="shared" si="1"/>
        <v>0</v>
      </c>
    </row>
    <row r="541" ht="22.5" customHeight="1">
      <c r="A541" s="116"/>
      <c r="C541" s="166"/>
      <c r="D541" s="118" t="str">
        <f>IF(FuturesTrades[Opened] &lt;&gt; "",IF(FuturesTrades[Closed] = "", TODAY(), FuturesTrades[Closed]) - FuturesTrades[Opened], "")</f>
        <v/>
      </c>
      <c r="E541" s="6"/>
      <c r="F541" s="6"/>
      <c r="G541" s="22"/>
      <c r="H541" s="117"/>
      <c r="I541" s="165"/>
      <c r="J541" s="165"/>
      <c r="K541" s="117"/>
      <c r="L541" s="117"/>
      <c r="M541" s="117">
        <f t="shared" si="1"/>
        <v>0</v>
      </c>
    </row>
    <row r="542" ht="22.5" customHeight="1">
      <c r="A542" s="116"/>
      <c r="C542" s="166"/>
      <c r="D542" s="118" t="str">
        <f>IF(FuturesTrades[Opened] &lt;&gt; "",IF(FuturesTrades[Closed] = "", TODAY(), FuturesTrades[Closed]) - FuturesTrades[Opened], "")</f>
        <v/>
      </c>
      <c r="E542" s="6"/>
      <c r="F542" s="6"/>
      <c r="G542" s="22"/>
      <c r="H542" s="117"/>
      <c r="I542" s="165"/>
      <c r="J542" s="165"/>
      <c r="K542" s="117"/>
      <c r="L542" s="117"/>
      <c r="M542" s="117">
        <f t="shared" si="1"/>
        <v>0</v>
      </c>
    </row>
    <row r="543" ht="22.5" customHeight="1">
      <c r="A543" s="116"/>
      <c r="C543" s="166"/>
      <c r="D543" s="118" t="str">
        <f>IF(FuturesTrades[Opened] &lt;&gt; "",IF(FuturesTrades[Closed] = "", TODAY(), FuturesTrades[Closed]) - FuturesTrades[Opened], "")</f>
        <v/>
      </c>
      <c r="E543" s="6"/>
      <c r="F543" s="6"/>
      <c r="G543" s="22"/>
      <c r="H543" s="117"/>
      <c r="I543" s="165"/>
      <c r="J543" s="165"/>
      <c r="K543" s="117"/>
      <c r="L543" s="117"/>
      <c r="M543" s="117">
        <f t="shared" si="1"/>
        <v>0</v>
      </c>
    </row>
    <row r="544" ht="22.5" customHeight="1">
      <c r="A544" s="116"/>
      <c r="C544" s="166"/>
      <c r="D544" s="118" t="str">
        <f>IF(FuturesTrades[Opened] &lt;&gt; "",IF(FuturesTrades[Closed] = "", TODAY(), FuturesTrades[Closed]) - FuturesTrades[Opened], "")</f>
        <v/>
      </c>
      <c r="E544" s="6"/>
      <c r="F544" s="6"/>
      <c r="G544" s="22"/>
      <c r="H544" s="117"/>
      <c r="I544" s="165"/>
      <c r="J544" s="165"/>
      <c r="K544" s="117"/>
      <c r="L544" s="117"/>
      <c r="M544" s="117">
        <f t="shared" si="1"/>
        <v>0</v>
      </c>
    </row>
    <row r="545" ht="22.5" customHeight="1">
      <c r="A545" s="116"/>
      <c r="C545" s="166"/>
      <c r="D545" s="118" t="str">
        <f>IF(FuturesTrades[Opened] &lt;&gt; "",IF(FuturesTrades[Closed] = "", TODAY(), FuturesTrades[Closed]) - FuturesTrades[Opened], "")</f>
        <v/>
      </c>
      <c r="E545" s="6"/>
      <c r="F545" s="6"/>
      <c r="G545" s="22"/>
      <c r="H545" s="117"/>
      <c r="I545" s="165"/>
      <c r="J545" s="165"/>
      <c r="K545" s="117"/>
      <c r="L545" s="117"/>
      <c r="M545" s="117">
        <f t="shared" si="1"/>
        <v>0</v>
      </c>
    </row>
    <row r="546" ht="22.5" customHeight="1">
      <c r="A546" s="116"/>
      <c r="C546" s="166"/>
      <c r="D546" s="118" t="str">
        <f>IF(FuturesTrades[Opened] &lt;&gt; "",IF(FuturesTrades[Closed] = "", TODAY(), FuturesTrades[Closed]) - FuturesTrades[Opened], "")</f>
        <v/>
      </c>
      <c r="E546" s="6"/>
      <c r="F546" s="6"/>
      <c r="G546" s="22"/>
      <c r="H546" s="117"/>
      <c r="I546" s="165"/>
      <c r="J546" s="165"/>
      <c r="K546" s="117"/>
      <c r="L546" s="117"/>
      <c r="M546" s="117">
        <f t="shared" si="1"/>
        <v>0</v>
      </c>
    </row>
    <row r="547" ht="22.5" customHeight="1">
      <c r="A547" s="116"/>
      <c r="C547" s="166"/>
      <c r="D547" s="118" t="str">
        <f>IF(FuturesTrades[Opened] &lt;&gt; "",IF(FuturesTrades[Closed] = "", TODAY(), FuturesTrades[Closed]) - FuturesTrades[Opened], "")</f>
        <v/>
      </c>
      <c r="E547" s="6"/>
      <c r="F547" s="6"/>
      <c r="G547" s="22"/>
      <c r="H547" s="117"/>
      <c r="I547" s="165"/>
      <c r="J547" s="165"/>
      <c r="K547" s="117"/>
      <c r="L547" s="117"/>
      <c r="M547" s="117">
        <f t="shared" si="1"/>
        <v>0</v>
      </c>
    </row>
    <row r="548" ht="22.5" customHeight="1">
      <c r="A548" s="116"/>
      <c r="C548" s="166"/>
      <c r="D548" s="118" t="str">
        <f>IF(FuturesTrades[Opened] &lt;&gt; "",IF(FuturesTrades[Closed] = "", TODAY(), FuturesTrades[Closed]) - FuturesTrades[Opened], "")</f>
        <v/>
      </c>
      <c r="E548" s="6"/>
      <c r="F548" s="6"/>
      <c r="G548" s="22"/>
      <c r="H548" s="117"/>
      <c r="I548" s="165"/>
      <c r="J548" s="165"/>
      <c r="K548" s="117"/>
      <c r="L548" s="117"/>
      <c r="M548" s="117">
        <f t="shared" si="1"/>
        <v>0</v>
      </c>
    </row>
    <row r="549" ht="22.5" customHeight="1">
      <c r="A549" s="116"/>
      <c r="C549" s="166"/>
      <c r="D549" s="118" t="str">
        <f>IF(FuturesTrades[Opened] &lt;&gt; "",IF(FuturesTrades[Closed] = "", TODAY(), FuturesTrades[Closed]) - FuturesTrades[Opened], "")</f>
        <v/>
      </c>
      <c r="E549" s="6"/>
      <c r="F549" s="6"/>
      <c r="G549" s="22"/>
      <c r="H549" s="117"/>
      <c r="I549" s="165"/>
      <c r="J549" s="165"/>
      <c r="K549" s="117"/>
      <c r="L549" s="117"/>
      <c r="M549" s="117">
        <f t="shared" si="1"/>
        <v>0</v>
      </c>
    </row>
    <row r="550" ht="22.5" customHeight="1">
      <c r="A550" s="116"/>
      <c r="C550" s="166"/>
      <c r="D550" s="118" t="str">
        <f>IF(FuturesTrades[Opened] &lt;&gt; "",IF(FuturesTrades[Closed] = "", TODAY(), FuturesTrades[Closed]) - FuturesTrades[Opened], "")</f>
        <v/>
      </c>
      <c r="E550" s="6"/>
      <c r="F550" s="6"/>
      <c r="G550" s="22"/>
      <c r="H550" s="117"/>
      <c r="I550" s="165"/>
      <c r="J550" s="165"/>
      <c r="K550" s="117"/>
      <c r="L550" s="117"/>
      <c r="M550" s="117">
        <f t="shared" si="1"/>
        <v>0</v>
      </c>
    </row>
    <row r="551" ht="22.5" customHeight="1">
      <c r="A551" s="116"/>
      <c r="C551" s="166"/>
      <c r="D551" s="118" t="str">
        <f>IF(FuturesTrades[Opened] &lt;&gt; "",IF(FuturesTrades[Closed] = "", TODAY(), FuturesTrades[Closed]) - FuturesTrades[Opened], "")</f>
        <v/>
      </c>
      <c r="E551" s="6"/>
      <c r="F551" s="6"/>
      <c r="G551" s="22"/>
      <c r="H551" s="117"/>
      <c r="I551" s="165"/>
      <c r="J551" s="165"/>
      <c r="K551" s="117"/>
      <c r="L551" s="117"/>
      <c r="M551" s="117">
        <f t="shared" si="1"/>
        <v>0</v>
      </c>
    </row>
    <row r="552" ht="22.5" customHeight="1">
      <c r="A552" s="116"/>
      <c r="C552" s="166"/>
      <c r="D552" s="118" t="str">
        <f>IF(FuturesTrades[Opened] &lt;&gt; "",IF(FuturesTrades[Closed] = "", TODAY(), FuturesTrades[Closed]) - FuturesTrades[Opened], "")</f>
        <v/>
      </c>
      <c r="E552" s="6"/>
      <c r="F552" s="6"/>
      <c r="G552" s="22"/>
      <c r="H552" s="117"/>
      <c r="I552" s="165"/>
      <c r="J552" s="165"/>
      <c r="K552" s="117"/>
      <c r="L552" s="117"/>
      <c r="M552" s="117">
        <f t="shared" si="1"/>
        <v>0</v>
      </c>
    </row>
    <row r="553" ht="22.5" customHeight="1">
      <c r="A553" s="116"/>
      <c r="C553" s="166"/>
      <c r="D553" s="118" t="str">
        <f>IF(FuturesTrades[Opened] &lt;&gt; "",IF(FuturesTrades[Closed] = "", TODAY(), FuturesTrades[Closed]) - FuturesTrades[Opened], "")</f>
        <v/>
      </c>
      <c r="E553" s="6"/>
      <c r="F553" s="6"/>
      <c r="G553" s="22"/>
      <c r="H553" s="117"/>
      <c r="I553" s="165"/>
      <c r="J553" s="165"/>
      <c r="K553" s="117"/>
      <c r="L553" s="117"/>
      <c r="M553" s="117">
        <f t="shared" si="1"/>
        <v>0</v>
      </c>
    </row>
    <row r="554" ht="22.5" customHeight="1">
      <c r="A554" s="116"/>
      <c r="C554" s="166"/>
      <c r="D554" s="118" t="str">
        <f>IF(FuturesTrades[Opened] &lt;&gt; "",IF(FuturesTrades[Closed] = "", TODAY(), FuturesTrades[Closed]) - FuturesTrades[Opened], "")</f>
        <v/>
      </c>
      <c r="E554" s="6"/>
      <c r="F554" s="6"/>
      <c r="G554" s="22"/>
      <c r="H554" s="117"/>
      <c r="I554" s="165"/>
      <c r="J554" s="165"/>
      <c r="K554" s="117"/>
      <c r="L554" s="117"/>
      <c r="M554" s="117">
        <f t="shared" si="1"/>
        <v>0</v>
      </c>
    </row>
    <row r="555" ht="22.5" customHeight="1">
      <c r="A555" s="116"/>
      <c r="C555" s="166"/>
      <c r="D555" s="118" t="str">
        <f>IF(FuturesTrades[Opened] &lt;&gt; "",IF(FuturesTrades[Closed] = "", TODAY(), FuturesTrades[Closed]) - FuturesTrades[Opened], "")</f>
        <v/>
      </c>
      <c r="E555" s="6"/>
      <c r="F555" s="6"/>
      <c r="G555" s="22"/>
      <c r="H555" s="117"/>
      <c r="I555" s="165"/>
      <c r="J555" s="165"/>
      <c r="K555" s="117"/>
      <c r="L555" s="117"/>
      <c r="M555" s="117">
        <f t="shared" si="1"/>
        <v>0</v>
      </c>
    </row>
    <row r="556" ht="22.5" customHeight="1">
      <c r="A556" s="116"/>
      <c r="C556" s="166"/>
      <c r="D556" s="118" t="str">
        <f>IF(FuturesTrades[Opened] &lt;&gt; "",IF(FuturesTrades[Closed] = "", TODAY(), FuturesTrades[Closed]) - FuturesTrades[Opened], "")</f>
        <v/>
      </c>
      <c r="E556" s="6"/>
      <c r="F556" s="6"/>
      <c r="G556" s="22"/>
      <c r="H556" s="117"/>
      <c r="I556" s="165"/>
      <c r="J556" s="165"/>
      <c r="K556" s="117"/>
      <c r="L556" s="117"/>
      <c r="M556" s="117">
        <f t="shared" si="1"/>
        <v>0</v>
      </c>
    </row>
    <row r="557" ht="22.5" customHeight="1">
      <c r="A557" s="116"/>
      <c r="C557" s="166"/>
      <c r="D557" s="118" t="str">
        <f>IF(FuturesTrades[Opened] &lt;&gt; "",IF(FuturesTrades[Closed] = "", TODAY(), FuturesTrades[Closed]) - FuturesTrades[Opened], "")</f>
        <v/>
      </c>
      <c r="E557" s="6"/>
      <c r="F557" s="6"/>
      <c r="G557" s="22"/>
      <c r="H557" s="117"/>
      <c r="I557" s="165"/>
      <c r="J557" s="165"/>
      <c r="K557" s="117"/>
      <c r="L557" s="117"/>
      <c r="M557" s="117">
        <f t="shared" si="1"/>
        <v>0</v>
      </c>
    </row>
    <row r="558" ht="22.5" customHeight="1">
      <c r="A558" s="116"/>
      <c r="C558" s="166"/>
      <c r="D558" s="118" t="str">
        <f>IF(FuturesTrades[Opened] &lt;&gt; "",IF(FuturesTrades[Closed] = "", TODAY(), FuturesTrades[Closed]) - FuturesTrades[Opened], "")</f>
        <v/>
      </c>
      <c r="E558" s="6"/>
      <c r="F558" s="6"/>
      <c r="G558" s="22"/>
      <c r="H558" s="117"/>
      <c r="I558" s="165"/>
      <c r="J558" s="165"/>
      <c r="K558" s="117"/>
      <c r="L558" s="117"/>
      <c r="M558" s="117">
        <f t="shared" si="1"/>
        <v>0</v>
      </c>
    </row>
    <row r="559" ht="22.5" customHeight="1">
      <c r="A559" s="116"/>
      <c r="C559" s="166"/>
      <c r="D559" s="118" t="str">
        <f>IF(FuturesTrades[Opened] &lt;&gt; "",IF(FuturesTrades[Closed] = "", TODAY(), FuturesTrades[Closed]) - FuturesTrades[Opened], "")</f>
        <v/>
      </c>
      <c r="E559" s="6"/>
      <c r="F559" s="6"/>
      <c r="G559" s="22"/>
      <c r="H559" s="117"/>
      <c r="I559" s="165"/>
      <c r="J559" s="165"/>
      <c r="K559" s="117"/>
      <c r="L559" s="117"/>
      <c r="M559" s="117">
        <f t="shared" si="1"/>
        <v>0</v>
      </c>
    </row>
    <row r="560" ht="22.5" customHeight="1">
      <c r="A560" s="116"/>
      <c r="C560" s="166"/>
      <c r="D560" s="118" t="str">
        <f>IF(FuturesTrades[Opened] &lt;&gt; "",IF(FuturesTrades[Closed] = "", TODAY(), FuturesTrades[Closed]) - FuturesTrades[Opened], "")</f>
        <v/>
      </c>
      <c r="E560" s="6"/>
      <c r="F560" s="6"/>
      <c r="G560" s="22"/>
      <c r="H560" s="117"/>
      <c r="I560" s="165"/>
      <c r="J560" s="165"/>
      <c r="K560" s="117"/>
      <c r="L560" s="117"/>
      <c r="M560" s="117">
        <f t="shared" si="1"/>
        <v>0</v>
      </c>
    </row>
    <row r="561" ht="22.5" customHeight="1">
      <c r="A561" s="116"/>
      <c r="C561" s="166"/>
      <c r="D561" s="118" t="str">
        <f>IF(FuturesTrades[Opened] &lt;&gt; "",IF(FuturesTrades[Closed] = "", TODAY(), FuturesTrades[Closed]) - FuturesTrades[Opened], "")</f>
        <v/>
      </c>
      <c r="E561" s="6"/>
      <c r="F561" s="6"/>
      <c r="G561" s="22"/>
      <c r="H561" s="117"/>
      <c r="I561" s="165"/>
      <c r="J561" s="165"/>
      <c r="K561" s="117"/>
      <c r="L561" s="117"/>
      <c r="M561" s="117">
        <f t="shared" si="1"/>
        <v>0</v>
      </c>
    </row>
    <row r="562" ht="22.5" customHeight="1">
      <c r="A562" s="116"/>
      <c r="C562" s="166"/>
      <c r="D562" s="118" t="str">
        <f>IF(FuturesTrades[Opened] &lt;&gt; "",IF(FuturesTrades[Closed] = "", TODAY(), FuturesTrades[Closed]) - FuturesTrades[Opened], "")</f>
        <v/>
      </c>
      <c r="E562" s="6"/>
      <c r="F562" s="6"/>
      <c r="G562" s="22"/>
      <c r="H562" s="117"/>
      <c r="I562" s="165"/>
      <c r="J562" s="165"/>
      <c r="K562" s="117"/>
      <c r="L562" s="117"/>
      <c r="M562" s="117">
        <f t="shared" si="1"/>
        <v>0</v>
      </c>
    </row>
    <row r="563" ht="22.5" customHeight="1">
      <c r="A563" s="116"/>
      <c r="C563" s="166"/>
      <c r="D563" s="118" t="str">
        <f>IF(FuturesTrades[Opened] &lt;&gt; "",IF(FuturesTrades[Closed] = "", TODAY(), FuturesTrades[Closed]) - FuturesTrades[Opened], "")</f>
        <v/>
      </c>
      <c r="E563" s="6"/>
      <c r="F563" s="6"/>
      <c r="G563" s="22"/>
      <c r="H563" s="117"/>
      <c r="I563" s="165"/>
      <c r="J563" s="165"/>
      <c r="K563" s="117"/>
      <c r="L563" s="117"/>
      <c r="M563" s="117">
        <f t="shared" si="1"/>
        <v>0</v>
      </c>
    </row>
    <row r="564" ht="22.5" customHeight="1">
      <c r="A564" s="116"/>
      <c r="C564" s="166"/>
      <c r="D564" s="118" t="str">
        <f>IF(FuturesTrades[Opened] &lt;&gt; "",IF(FuturesTrades[Closed] = "", TODAY(), FuturesTrades[Closed]) - FuturesTrades[Opened], "")</f>
        <v/>
      </c>
      <c r="E564" s="6"/>
      <c r="F564" s="6"/>
      <c r="G564" s="22"/>
      <c r="H564" s="117"/>
      <c r="I564" s="165"/>
      <c r="J564" s="165"/>
      <c r="K564" s="117"/>
      <c r="L564" s="117"/>
      <c r="M564" s="117">
        <f t="shared" si="1"/>
        <v>0</v>
      </c>
    </row>
    <row r="565" ht="22.5" customHeight="1">
      <c r="A565" s="116"/>
      <c r="C565" s="166"/>
      <c r="D565" s="118" t="str">
        <f>IF(FuturesTrades[Opened] &lt;&gt; "",IF(FuturesTrades[Closed] = "", TODAY(), FuturesTrades[Closed]) - FuturesTrades[Opened], "")</f>
        <v/>
      </c>
      <c r="E565" s="6"/>
      <c r="F565" s="6"/>
      <c r="G565" s="22"/>
      <c r="H565" s="117"/>
      <c r="I565" s="165"/>
      <c r="J565" s="165"/>
      <c r="K565" s="117"/>
      <c r="L565" s="117"/>
      <c r="M565" s="117">
        <f t="shared" si="1"/>
        <v>0</v>
      </c>
    </row>
    <row r="566" ht="22.5" customHeight="1">
      <c r="A566" s="116"/>
      <c r="C566" s="166"/>
      <c r="D566" s="118" t="str">
        <f>IF(FuturesTrades[Opened] &lt;&gt; "",IF(FuturesTrades[Closed] = "", TODAY(), FuturesTrades[Closed]) - FuturesTrades[Opened], "")</f>
        <v/>
      </c>
      <c r="E566" s="6"/>
      <c r="F566" s="6"/>
      <c r="G566" s="22"/>
      <c r="H566" s="117"/>
      <c r="I566" s="165"/>
      <c r="J566" s="165"/>
      <c r="K566" s="117"/>
      <c r="L566" s="117"/>
      <c r="M566" s="117">
        <f t="shared" si="1"/>
        <v>0</v>
      </c>
    </row>
    <row r="567" ht="22.5" customHeight="1">
      <c r="A567" s="116"/>
      <c r="C567" s="166"/>
      <c r="D567" s="118" t="str">
        <f>IF(FuturesTrades[Opened] &lt;&gt; "",IF(FuturesTrades[Closed] = "", TODAY(), FuturesTrades[Closed]) - FuturesTrades[Opened], "")</f>
        <v/>
      </c>
      <c r="E567" s="6"/>
      <c r="F567" s="6"/>
      <c r="G567" s="22"/>
      <c r="H567" s="117"/>
      <c r="I567" s="165"/>
      <c r="J567" s="165"/>
      <c r="K567" s="117"/>
      <c r="L567" s="117"/>
      <c r="M567" s="117">
        <f t="shared" si="1"/>
        <v>0</v>
      </c>
    </row>
    <row r="568" ht="22.5" customHeight="1">
      <c r="A568" s="116"/>
      <c r="C568" s="166"/>
      <c r="D568" s="118" t="str">
        <f>IF(FuturesTrades[Opened] &lt;&gt; "",IF(FuturesTrades[Closed] = "", TODAY(), FuturesTrades[Closed]) - FuturesTrades[Opened], "")</f>
        <v/>
      </c>
      <c r="E568" s="6"/>
      <c r="F568" s="6"/>
      <c r="G568" s="22"/>
      <c r="H568" s="117"/>
      <c r="I568" s="165"/>
      <c r="J568" s="165"/>
      <c r="K568" s="117"/>
      <c r="L568" s="117"/>
      <c r="M568" s="117">
        <f t="shared" si="1"/>
        <v>0</v>
      </c>
    </row>
    <row r="569" ht="22.5" customHeight="1">
      <c r="A569" s="116"/>
      <c r="C569" s="166"/>
      <c r="D569" s="118" t="str">
        <f>IF(FuturesTrades[Opened] &lt;&gt; "",IF(FuturesTrades[Closed] = "", TODAY(), FuturesTrades[Closed]) - FuturesTrades[Opened], "")</f>
        <v/>
      </c>
      <c r="E569" s="6"/>
      <c r="F569" s="6"/>
      <c r="G569" s="22"/>
      <c r="H569" s="117"/>
      <c r="I569" s="165"/>
      <c r="J569" s="165"/>
      <c r="K569" s="117"/>
      <c r="L569" s="117"/>
      <c r="M569" s="117">
        <f t="shared" si="1"/>
        <v>0</v>
      </c>
    </row>
    <row r="570" ht="22.5" customHeight="1">
      <c r="A570" s="116"/>
      <c r="C570" s="166"/>
      <c r="D570" s="118" t="str">
        <f>IF(FuturesTrades[Opened] &lt;&gt; "",IF(FuturesTrades[Closed] = "", TODAY(), FuturesTrades[Closed]) - FuturesTrades[Opened], "")</f>
        <v/>
      </c>
      <c r="E570" s="6"/>
      <c r="F570" s="6"/>
      <c r="G570" s="22"/>
      <c r="H570" s="117"/>
      <c r="I570" s="165"/>
      <c r="J570" s="165"/>
      <c r="K570" s="117"/>
      <c r="L570" s="117"/>
      <c r="M570" s="117">
        <f t="shared" si="1"/>
        <v>0</v>
      </c>
    </row>
    <row r="571" ht="22.5" customHeight="1">
      <c r="A571" s="116"/>
      <c r="C571" s="166"/>
      <c r="D571" s="118" t="str">
        <f>IF(FuturesTrades[Opened] &lt;&gt; "",IF(FuturesTrades[Closed] = "", TODAY(), FuturesTrades[Closed]) - FuturesTrades[Opened], "")</f>
        <v/>
      </c>
      <c r="E571" s="6"/>
      <c r="F571" s="6"/>
      <c r="G571" s="22"/>
      <c r="H571" s="117"/>
      <c r="I571" s="165"/>
      <c r="J571" s="165"/>
      <c r="K571" s="117"/>
      <c r="L571" s="117"/>
      <c r="M571" s="117">
        <f t="shared" si="1"/>
        <v>0</v>
      </c>
    </row>
    <row r="572" ht="22.5" customHeight="1">
      <c r="A572" s="116"/>
      <c r="C572" s="166"/>
      <c r="D572" s="118" t="str">
        <f>IF(FuturesTrades[Opened] &lt;&gt; "",IF(FuturesTrades[Closed] = "", TODAY(), FuturesTrades[Closed]) - FuturesTrades[Opened], "")</f>
        <v/>
      </c>
      <c r="E572" s="6"/>
      <c r="F572" s="6"/>
      <c r="G572" s="22"/>
      <c r="H572" s="117"/>
      <c r="I572" s="165"/>
      <c r="J572" s="165"/>
      <c r="K572" s="117"/>
      <c r="L572" s="117"/>
      <c r="M572" s="117">
        <f t="shared" si="1"/>
        <v>0</v>
      </c>
    </row>
    <row r="573" ht="22.5" customHeight="1">
      <c r="A573" s="116"/>
      <c r="C573" s="166"/>
      <c r="D573" s="118" t="str">
        <f>IF(FuturesTrades[Opened] &lt;&gt; "",IF(FuturesTrades[Closed] = "", TODAY(), FuturesTrades[Closed]) - FuturesTrades[Opened], "")</f>
        <v/>
      </c>
      <c r="E573" s="6"/>
      <c r="F573" s="6"/>
      <c r="G573" s="22"/>
      <c r="H573" s="117"/>
      <c r="I573" s="165"/>
      <c r="J573" s="165"/>
      <c r="K573" s="117"/>
      <c r="L573" s="117"/>
      <c r="M573" s="117">
        <f t="shared" si="1"/>
        <v>0</v>
      </c>
    </row>
    <row r="574" ht="22.5" customHeight="1">
      <c r="A574" s="116"/>
      <c r="C574" s="166"/>
      <c r="D574" s="118" t="str">
        <f>IF(FuturesTrades[Opened] &lt;&gt; "",IF(FuturesTrades[Closed] = "", TODAY(), FuturesTrades[Closed]) - FuturesTrades[Opened], "")</f>
        <v/>
      </c>
      <c r="E574" s="6"/>
      <c r="F574" s="6"/>
      <c r="G574" s="22"/>
      <c r="H574" s="117"/>
      <c r="I574" s="165"/>
      <c r="J574" s="165"/>
      <c r="K574" s="117"/>
      <c r="L574" s="117"/>
      <c r="M574" s="117">
        <f t="shared" si="1"/>
        <v>0</v>
      </c>
    </row>
    <row r="575" ht="22.5" customHeight="1">
      <c r="A575" s="116"/>
      <c r="C575" s="166"/>
      <c r="D575" s="118" t="str">
        <f>IF(FuturesTrades[Opened] &lt;&gt; "",IF(FuturesTrades[Closed] = "", TODAY(), FuturesTrades[Closed]) - FuturesTrades[Opened], "")</f>
        <v/>
      </c>
      <c r="E575" s="6"/>
      <c r="F575" s="6"/>
      <c r="G575" s="22"/>
      <c r="H575" s="117"/>
      <c r="I575" s="165"/>
      <c r="J575" s="165"/>
      <c r="K575" s="117"/>
      <c r="L575" s="117"/>
      <c r="M575" s="117">
        <f t="shared" si="1"/>
        <v>0</v>
      </c>
    </row>
    <row r="576" ht="22.5" customHeight="1">
      <c r="A576" s="116"/>
      <c r="C576" s="166"/>
      <c r="D576" s="118" t="str">
        <f>IF(FuturesTrades[Opened] &lt;&gt; "",IF(FuturesTrades[Closed] = "", TODAY(), FuturesTrades[Closed]) - FuturesTrades[Opened], "")</f>
        <v/>
      </c>
      <c r="E576" s="6"/>
      <c r="F576" s="6"/>
      <c r="G576" s="22"/>
      <c r="H576" s="117"/>
      <c r="I576" s="165"/>
      <c r="J576" s="165"/>
      <c r="K576" s="117"/>
      <c r="L576" s="117"/>
      <c r="M576" s="117">
        <f t="shared" si="1"/>
        <v>0</v>
      </c>
    </row>
    <row r="577" ht="22.5" customHeight="1">
      <c r="A577" s="116"/>
      <c r="C577" s="166"/>
      <c r="D577" s="118" t="str">
        <f>IF(FuturesTrades[Opened] &lt;&gt; "",IF(FuturesTrades[Closed] = "", TODAY(), FuturesTrades[Closed]) - FuturesTrades[Opened], "")</f>
        <v/>
      </c>
      <c r="E577" s="6"/>
      <c r="F577" s="6"/>
      <c r="G577" s="22"/>
      <c r="H577" s="117"/>
      <c r="I577" s="165"/>
      <c r="J577" s="165"/>
      <c r="K577" s="117"/>
      <c r="L577" s="117"/>
      <c r="M577" s="117">
        <f t="shared" si="1"/>
        <v>0</v>
      </c>
    </row>
    <row r="578" ht="22.5" customHeight="1">
      <c r="A578" s="116"/>
      <c r="C578" s="166"/>
      <c r="D578" s="118" t="str">
        <f>IF(FuturesTrades[Opened] &lt;&gt; "",IF(FuturesTrades[Closed] = "", TODAY(), FuturesTrades[Closed]) - FuturesTrades[Opened], "")</f>
        <v/>
      </c>
      <c r="E578" s="6"/>
      <c r="F578" s="6"/>
      <c r="G578" s="22"/>
      <c r="H578" s="117"/>
      <c r="I578" s="165"/>
      <c r="J578" s="165"/>
      <c r="K578" s="117"/>
      <c r="L578" s="117"/>
      <c r="M578" s="117">
        <f t="shared" si="1"/>
        <v>0</v>
      </c>
    </row>
    <row r="579" ht="22.5" customHeight="1">
      <c r="A579" s="116"/>
      <c r="C579" s="166"/>
      <c r="D579" s="118" t="str">
        <f>IF(FuturesTrades[Opened] &lt;&gt; "",IF(FuturesTrades[Closed] = "", TODAY(), FuturesTrades[Closed]) - FuturesTrades[Opened], "")</f>
        <v/>
      </c>
      <c r="E579" s="6"/>
      <c r="F579" s="6"/>
      <c r="G579" s="22"/>
      <c r="H579" s="117"/>
      <c r="I579" s="165"/>
      <c r="J579" s="165"/>
      <c r="K579" s="117"/>
      <c r="L579" s="117"/>
      <c r="M579" s="117">
        <f t="shared" si="1"/>
        <v>0</v>
      </c>
    </row>
    <row r="580" ht="22.5" customHeight="1">
      <c r="A580" s="116"/>
      <c r="C580" s="166"/>
      <c r="D580" s="118" t="str">
        <f>IF(FuturesTrades[Opened] &lt;&gt; "",IF(FuturesTrades[Closed] = "", TODAY(), FuturesTrades[Closed]) - FuturesTrades[Opened], "")</f>
        <v/>
      </c>
      <c r="E580" s="6"/>
      <c r="F580" s="6"/>
      <c r="G580" s="22"/>
      <c r="H580" s="117"/>
      <c r="I580" s="165"/>
      <c r="J580" s="165"/>
      <c r="K580" s="117"/>
      <c r="L580" s="117"/>
      <c r="M580" s="117">
        <f t="shared" si="1"/>
        <v>0</v>
      </c>
    </row>
    <row r="581" ht="22.5" customHeight="1">
      <c r="A581" s="116"/>
      <c r="C581" s="166"/>
      <c r="D581" s="118" t="str">
        <f>IF(FuturesTrades[Opened] &lt;&gt; "",IF(FuturesTrades[Closed] = "", TODAY(), FuturesTrades[Closed]) - FuturesTrades[Opened], "")</f>
        <v/>
      </c>
      <c r="E581" s="6"/>
      <c r="F581" s="6"/>
      <c r="G581" s="22"/>
      <c r="H581" s="117"/>
      <c r="I581" s="165"/>
      <c r="J581" s="165"/>
      <c r="K581" s="117"/>
      <c r="L581" s="117"/>
      <c r="M581" s="117">
        <f t="shared" si="1"/>
        <v>0</v>
      </c>
    </row>
    <row r="582" ht="22.5" customHeight="1">
      <c r="A582" s="116"/>
      <c r="C582" s="166"/>
      <c r="D582" s="118" t="str">
        <f>IF(FuturesTrades[Opened] &lt;&gt; "",IF(FuturesTrades[Closed] = "", TODAY(), FuturesTrades[Closed]) - FuturesTrades[Opened], "")</f>
        <v/>
      </c>
      <c r="E582" s="6"/>
      <c r="F582" s="6"/>
      <c r="G582" s="22"/>
      <c r="H582" s="117"/>
      <c r="I582" s="165"/>
      <c r="J582" s="165"/>
      <c r="K582" s="117"/>
      <c r="L582" s="117"/>
      <c r="M582" s="117">
        <f t="shared" si="1"/>
        <v>0</v>
      </c>
    </row>
    <row r="583" ht="22.5" customHeight="1">
      <c r="A583" s="116"/>
      <c r="C583" s="166"/>
      <c r="D583" s="118" t="str">
        <f>IF(FuturesTrades[Opened] &lt;&gt; "",IF(FuturesTrades[Closed] = "", TODAY(), FuturesTrades[Closed]) - FuturesTrades[Opened], "")</f>
        <v/>
      </c>
      <c r="E583" s="6"/>
      <c r="F583" s="6"/>
      <c r="G583" s="22"/>
      <c r="H583" s="117"/>
      <c r="I583" s="165"/>
      <c r="J583" s="165"/>
      <c r="K583" s="117"/>
      <c r="L583" s="117"/>
      <c r="M583" s="117">
        <f t="shared" si="1"/>
        <v>0</v>
      </c>
    </row>
    <row r="584" ht="22.5" customHeight="1">
      <c r="A584" s="116"/>
      <c r="C584" s="166"/>
      <c r="D584" s="118" t="str">
        <f>IF(FuturesTrades[Opened] &lt;&gt; "",IF(FuturesTrades[Closed] = "", TODAY(), FuturesTrades[Closed]) - FuturesTrades[Opened], "")</f>
        <v/>
      </c>
      <c r="E584" s="6"/>
      <c r="F584" s="6"/>
      <c r="G584" s="22"/>
      <c r="H584" s="117"/>
      <c r="I584" s="165"/>
      <c r="J584" s="165"/>
      <c r="K584" s="117"/>
      <c r="L584" s="117"/>
      <c r="M584" s="117">
        <f t="shared" si="1"/>
        <v>0</v>
      </c>
    </row>
    <row r="585" ht="22.5" customHeight="1">
      <c r="A585" s="116"/>
      <c r="C585" s="166"/>
      <c r="D585" s="118" t="str">
        <f>IF(FuturesTrades[Opened] &lt;&gt; "",IF(FuturesTrades[Closed] = "", TODAY(), FuturesTrades[Closed]) - FuturesTrades[Opened], "")</f>
        <v/>
      </c>
      <c r="E585" s="6"/>
      <c r="F585" s="6"/>
      <c r="G585" s="22"/>
      <c r="H585" s="117"/>
      <c r="I585" s="165"/>
      <c r="J585" s="165"/>
      <c r="K585" s="117"/>
      <c r="L585" s="117"/>
      <c r="M585" s="117">
        <f t="shared" si="1"/>
        <v>0</v>
      </c>
    </row>
    <row r="586" ht="22.5" customHeight="1">
      <c r="A586" s="116"/>
      <c r="C586" s="166"/>
      <c r="D586" s="118" t="str">
        <f>IF(FuturesTrades[Opened] &lt;&gt; "",IF(FuturesTrades[Closed] = "", TODAY(), FuturesTrades[Closed]) - FuturesTrades[Opened], "")</f>
        <v/>
      </c>
      <c r="E586" s="6"/>
      <c r="F586" s="6"/>
      <c r="G586" s="22"/>
      <c r="H586" s="117"/>
      <c r="I586" s="165"/>
      <c r="J586" s="165"/>
      <c r="K586" s="117"/>
      <c r="L586" s="117"/>
      <c r="M586" s="117">
        <f t="shared" si="1"/>
        <v>0</v>
      </c>
    </row>
    <row r="587" ht="22.5" customHeight="1">
      <c r="A587" s="116"/>
      <c r="C587" s="166"/>
      <c r="D587" s="118" t="str">
        <f>IF(FuturesTrades[Opened] &lt;&gt; "",IF(FuturesTrades[Closed] = "", TODAY(), FuturesTrades[Closed]) - FuturesTrades[Opened], "")</f>
        <v/>
      </c>
      <c r="E587" s="6"/>
      <c r="F587" s="6"/>
      <c r="G587" s="22"/>
      <c r="H587" s="117"/>
      <c r="I587" s="165"/>
      <c r="J587" s="165"/>
      <c r="K587" s="117"/>
      <c r="L587" s="117"/>
      <c r="M587" s="117">
        <f t="shared" si="1"/>
        <v>0</v>
      </c>
    </row>
    <row r="588" ht="22.5" customHeight="1">
      <c r="A588" s="116"/>
      <c r="C588" s="166"/>
      <c r="D588" s="118" t="str">
        <f>IF(FuturesTrades[Opened] &lt;&gt; "",IF(FuturesTrades[Closed] = "", TODAY(), FuturesTrades[Closed]) - FuturesTrades[Opened], "")</f>
        <v/>
      </c>
      <c r="E588" s="6"/>
      <c r="F588" s="6"/>
      <c r="G588" s="22"/>
      <c r="H588" s="117"/>
      <c r="I588" s="165"/>
      <c r="J588" s="165"/>
      <c r="K588" s="117"/>
      <c r="L588" s="117"/>
      <c r="M588" s="117">
        <f t="shared" si="1"/>
        <v>0</v>
      </c>
    </row>
    <row r="589" ht="22.5" customHeight="1">
      <c r="A589" s="116"/>
      <c r="C589" s="166"/>
      <c r="D589" s="118" t="str">
        <f>IF(FuturesTrades[Opened] &lt;&gt; "",IF(FuturesTrades[Closed] = "", TODAY(), FuturesTrades[Closed]) - FuturesTrades[Opened], "")</f>
        <v/>
      </c>
      <c r="E589" s="6"/>
      <c r="F589" s="6"/>
      <c r="G589" s="22"/>
      <c r="H589" s="117"/>
      <c r="I589" s="165"/>
      <c r="J589" s="165"/>
      <c r="K589" s="117"/>
      <c r="L589" s="117"/>
      <c r="M589" s="117">
        <f t="shared" si="1"/>
        <v>0</v>
      </c>
    </row>
    <row r="590" ht="22.5" customHeight="1">
      <c r="A590" s="116"/>
      <c r="C590" s="166"/>
      <c r="D590" s="118" t="str">
        <f>IF(FuturesTrades[Opened] &lt;&gt; "",IF(FuturesTrades[Closed] = "", TODAY(), FuturesTrades[Closed]) - FuturesTrades[Opened], "")</f>
        <v/>
      </c>
      <c r="E590" s="6"/>
      <c r="F590" s="6"/>
      <c r="G590" s="22"/>
      <c r="H590" s="117"/>
      <c r="I590" s="165"/>
      <c r="J590" s="165"/>
      <c r="K590" s="117"/>
      <c r="L590" s="117"/>
      <c r="M590" s="117">
        <f t="shared" si="1"/>
        <v>0</v>
      </c>
    </row>
    <row r="591" ht="22.5" customHeight="1">
      <c r="A591" s="116"/>
      <c r="C591" s="166"/>
      <c r="D591" s="118" t="str">
        <f>IF(FuturesTrades[Opened] &lt;&gt; "",IF(FuturesTrades[Closed] = "", TODAY(), FuturesTrades[Closed]) - FuturesTrades[Opened], "")</f>
        <v/>
      </c>
      <c r="E591" s="6"/>
      <c r="F591" s="6"/>
      <c r="G591" s="22"/>
      <c r="H591" s="117"/>
      <c r="I591" s="165"/>
      <c r="J591" s="165"/>
      <c r="K591" s="117"/>
      <c r="L591" s="117"/>
      <c r="M591" s="117">
        <f t="shared" si="1"/>
        <v>0</v>
      </c>
    </row>
    <row r="592" ht="22.5" customHeight="1">
      <c r="A592" s="116"/>
      <c r="C592" s="166"/>
      <c r="D592" s="118" t="str">
        <f>IF(FuturesTrades[Opened] &lt;&gt; "",IF(FuturesTrades[Closed] = "", TODAY(), FuturesTrades[Closed]) - FuturesTrades[Opened], "")</f>
        <v/>
      </c>
      <c r="E592" s="6"/>
      <c r="F592" s="6"/>
      <c r="G592" s="22"/>
      <c r="H592" s="117"/>
      <c r="I592" s="165"/>
      <c r="J592" s="165"/>
      <c r="K592" s="117"/>
      <c r="L592" s="117"/>
      <c r="M592" s="117">
        <f t="shared" si="1"/>
        <v>0</v>
      </c>
    </row>
    <row r="593" ht="22.5" customHeight="1">
      <c r="A593" s="116"/>
      <c r="C593" s="166"/>
      <c r="D593" s="118" t="str">
        <f>IF(FuturesTrades[Opened] &lt;&gt; "",IF(FuturesTrades[Closed] = "", TODAY(), FuturesTrades[Closed]) - FuturesTrades[Opened], "")</f>
        <v/>
      </c>
      <c r="E593" s="6"/>
      <c r="F593" s="6"/>
      <c r="G593" s="22"/>
      <c r="H593" s="117"/>
      <c r="I593" s="165"/>
      <c r="J593" s="165"/>
      <c r="K593" s="117"/>
      <c r="L593" s="117"/>
      <c r="M593" s="117">
        <f t="shared" si="1"/>
        <v>0</v>
      </c>
    </row>
    <row r="594" ht="22.5" customHeight="1">
      <c r="A594" s="116"/>
      <c r="C594" s="166"/>
      <c r="D594" s="118" t="str">
        <f>IF(FuturesTrades[Opened] &lt;&gt; "",IF(FuturesTrades[Closed] = "", TODAY(), FuturesTrades[Closed]) - FuturesTrades[Opened], "")</f>
        <v/>
      </c>
      <c r="E594" s="6"/>
      <c r="F594" s="6"/>
      <c r="G594" s="22"/>
      <c r="H594" s="117"/>
      <c r="I594" s="165"/>
      <c r="J594" s="165"/>
      <c r="K594" s="117"/>
      <c r="L594" s="117"/>
      <c r="M594" s="117">
        <f t="shared" si="1"/>
        <v>0</v>
      </c>
    </row>
    <row r="595" ht="22.5" customHeight="1">
      <c r="A595" s="116"/>
      <c r="C595" s="166"/>
      <c r="D595" s="118" t="str">
        <f>IF(FuturesTrades[Opened] &lt;&gt; "",IF(FuturesTrades[Closed] = "", TODAY(), FuturesTrades[Closed]) - FuturesTrades[Opened], "")</f>
        <v/>
      </c>
      <c r="E595" s="6"/>
      <c r="F595" s="6"/>
      <c r="G595" s="22"/>
      <c r="H595" s="117"/>
      <c r="I595" s="165"/>
      <c r="J595" s="165"/>
      <c r="K595" s="117"/>
      <c r="L595" s="117"/>
      <c r="M595" s="117">
        <f t="shared" si="1"/>
        <v>0</v>
      </c>
    </row>
    <row r="596" ht="22.5" customHeight="1">
      <c r="A596" s="116"/>
      <c r="C596" s="166"/>
      <c r="D596" s="118" t="str">
        <f>IF(FuturesTrades[Opened] &lt;&gt; "",IF(FuturesTrades[Closed] = "", TODAY(), FuturesTrades[Closed]) - FuturesTrades[Opened], "")</f>
        <v/>
      </c>
      <c r="E596" s="6"/>
      <c r="F596" s="6"/>
      <c r="G596" s="22"/>
      <c r="H596" s="117"/>
      <c r="I596" s="165"/>
      <c r="J596" s="165"/>
      <c r="K596" s="117"/>
      <c r="L596" s="117"/>
      <c r="M596" s="117">
        <f t="shared" si="1"/>
        <v>0</v>
      </c>
    </row>
    <row r="597" ht="22.5" customHeight="1">
      <c r="A597" s="116"/>
      <c r="C597" s="166"/>
      <c r="D597" s="118" t="str">
        <f>IF(FuturesTrades[Opened] &lt;&gt; "",IF(FuturesTrades[Closed] = "", TODAY(), FuturesTrades[Closed]) - FuturesTrades[Opened], "")</f>
        <v/>
      </c>
      <c r="E597" s="6"/>
      <c r="F597" s="6"/>
      <c r="G597" s="22"/>
      <c r="H597" s="117"/>
      <c r="I597" s="165"/>
      <c r="J597" s="165"/>
      <c r="K597" s="117"/>
      <c r="L597" s="117"/>
      <c r="M597" s="117">
        <f t="shared" si="1"/>
        <v>0</v>
      </c>
    </row>
    <row r="598" ht="22.5" customHeight="1">
      <c r="A598" s="116"/>
      <c r="C598" s="166"/>
      <c r="D598" s="118" t="str">
        <f>IF(FuturesTrades[Opened] &lt;&gt; "",IF(FuturesTrades[Closed] = "", TODAY(), FuturesTrades[Closed]) - FuturesTrades[Opened], "")</f>
        <v/>
      </c>
      <c r="E598" s="6"/>
      <c r="F598" s="6"/>
      <c r="G598" s="22"/>
      <c r="H598" s="117"/>
      <c r="I598" s="165"/>
      <c r="J598" s="165"/>
      <c r="K598" s="117"/>
      <c r="L598" s="117"/>
      <c r="M598" s="117">
        <f t="shared" si="1"/>
        <v>0</v>
      </c>
    </row>
    <row r="599" ht="22.5" customHeight="1">
      <c r="A599" s="116"/>
      <c r="C599" s="166"/>
      <c r="D599" s="118" t="str">
        <f>IF(FuturesTrades[Opened] &lt;&gt; "",IF(FuturesTrades[Closed] = "", TODAY(), FuturesTrades[Closed]) - FuturesTrades[Opened], "")</f>
        <v/>
      </c>
      <c r="E599" s="6"/>
      <c r="F599" s="6"/>
      <c r="G599" s="22"/>
      <c r="H599" s="117"/>
      <c r="I599" s="165"/>
      <c r="J599" s="165"/>
      <c r="K599" s="117"/>
      <c r="L599" s="117"/>
      <c r="M599" s="117">
        <f t="shared" si="1"/>
        <v>0</v>
      </c>
    </row>
    <row r="600" ht="22.5" customHeight="1">
      <c r="A600" s="116"/>
      <c r="C600" s="166"/>
      <c r="D600" s="118" t="str">
        <f>IF(FuturesTrades[Opened] &lt;&gt; "",IF(FuturesTrades[Closed] = "", TODAY(), FuturesTrades[Closed]) - FuturesTrades[Opened], "")</f>
        <v/>
      </c>
      <c r="E600" s="6"/>
      <c r="F600" s="6"/>
      <c r="G600" s="22"/>
      <c r="H600" s="117"/>
      <c r="I600" s="165"/>
      <c r="J600" s="165"/>
      <c r="K600" s="117"/>
      <c r="L600" s="117"/>
      <c r="M600" s="117">
        <f t="shared" si="1"/>
        <v>0</v>
      </c>
    </row>
    <row r="601" ht="22.5" customHeight="1">
      <c r="A601" s="116"/>
      <c r="C601" s="166"/>
      <c r="D601" s="118" t="str">
        <f>IF(FuturesTrades[Opened] &lt;&gt; "",IF(FuturesTrades[Closed] = "", TODAY(), FuturesTrades[Closed]) - FuturesTrades[Opened], "")</f>
        <v/>
      </c>
      <c r="E601" s="6"/>
      <c r="F601" s="6"/>
      <c r="G601" s="22"/>
      <c r="H601" s="117"/>
      <c r="I601" s="165"/>
      <c r="J601" s="165"/>
      <c r="K601" s="117"/>
      <c r="L601" s="117"/>
      <c r="M601" s="117">
        <f t="shared" si="1"/>
        <v>0</v>
      </c>
    </row>
    <row r="602" ht="22.5" customHeight="1">
      <c r="A602" s="116"/>
      <c r="C602" s="166"/>
      <c r="D602" s="118" t="str">
        <f>IF(FuturesTrades[Opened] &lt;&gt; "",IF(FuturesTrades[Closed] = "", TODAY(), FuturesTrades[Closed]) - FuturesTrades[Opened], "")</f>
        <v/>
      </c>
      <c r="E602" s="6"/>
      <c r="F602" s="6"/>
      <c r="G602" s="22"/>
      <c r="H602" s="117"/>
      <c r="I602" s="165"/>
      <c r="J602" s="165"/>
      <c r="K602" s="117"/>
      <c r="L602" s="117"/>
      <c r="M602" s="117">
        <f t="shared" si="1"/>
        <v>0</v>
      </c>
    </row>
    <row r="603" ht="22.5" customHeight="1">
      <c r="A603" s="116"/>
      <c r="C603" s="166"/>
      <c r="D603" s="118" t="str">
        <f>IF(FuturesTrades[Opened] &lt;&gt; "",IF(FuturesTrades[Closed] = "", TODAY(), FuturesTrades[Closed]) - FuturesTrades[Opened], "")</f>
        <v/>
      </c>
      <c r="E603" s="6"/>
      <c r="F603" s="6"/>
      <c r="G603" s="22"/>
      <c r="H603" s="117"/>
      <c r="I603" s="165"/>
      <c r="J603" s="165"/>
      <c r="K603" s="117"/>
      <c r="L603" s="117"/>
      <c r="M603" s="117">
        <f t="shared" si="1"/>
        <v>0</v>
      </c>
    </row>
    <row r="604" ht="22.5" customHeight="1">
      <c r="A604" s="116"/>
      <c r="C604" s="166"/>
      <c r="D604" s="118" t="str">
        <f>IF(FuturesTrades[Opened] &lt;&gt; "",IF(FuturesTrades[Closed] = "", TODAY(), FuturesTrades[Closed]) - FuturesTrades[Opened], "")</f>
        <v/>
      </c>
      <c r="E604" s="6"/>
      <c r="F604" s="6"/>
      <c r="G604" s="22"/>
      <c r="H604" s="117"/>
      <c r="I604" s="165"/>
      <c r="J604" s="165"/>
      <c r="K604" s="117"/>
      <c r="L604" s="117"/>
      <c r="M604" s="117">
        <f t="shared" si="1"/>
        <v>0</v>
      </c>
    </row>
    <row r="605" ht="22.5" customHeight="1">
      <c r="A605" s="116"/>
      <c r="C605" s="166"/>
      <c r="D605" s="118" t="str">
        <f>IF(FuturesTrades[Opened] &lt;&gt; "",IF(FuturesTrades[Closed] = "", TODAY(), FuturesTrades[Closed]) - FuturesTrades[Opened], "")</f>
        <v/>
      </c>
      <c r="E605" s="6"/>
      <c r="F605" s="6"/>
      <c r="G605" s="22"/>
      <c r="H605" s="117"/>
      <c r="I605" s="165"/>
      <c r="J605" s="165"/>
      <c r="K605" s="117"/>
      <c r="L605" s="117"/>
      <c r="M605" s="117">
        <f t="shared" si="1"/>
        <v>0</v>
      </c>
    </row>
    <row r="606" ht="22.5" customHeight="1">
      <c r="A606" s="116"/>
      <c r="C606" s="166"/>
      <c r="D606" s="118" t="str">
        <f>IF(FuturesTrades[Opened] &lt;&gt; "",IF(FuturesTrades[Closed] = "", TODAY(), FuturesTrades[Closed]) - FuturesTrades[Opened], "")</f>
        <v/>
      </c>
      <c r="E606" s="6"/>
      <c r="F606" s="6"/>
      <c r="G606" s="22"/>
      <c r="H606" s="117"/>
      <c r="I606" s="165"/>
      <c r="J606" s="165"/>
      <c r="K606" s="117"/>
      <c r="L606" s="117"/>
      <c r="M606" s="117">
        <f t="shared" si="1"/>
        <v>0</v>
      </c>
    </row>
    <row r="607" ht="22.5" customHeight="1">
      <c r="A607" s="116"/>
      <c r="C607" s="166"/>
      <c r="D607" s="118" t="str">
        <f>IF(FuturesTrades[Opened] &lt;&gt; "",IF(FuturesTrades[Closed] = "", TODAY(), FuturesTrades[Closed]) - FuturesTrades[Opened], "")</f>
        <v/>
      </c>
      <c r="E607" s="6"/>
      <c r="F607" s="6"/>
      <c r="G607" s="22"/>
      <c r="H607" s="117"/>
      <c r="I607" s="165"/>
      <c r="J607" s="165"/>
      <c r="K607" s="117"/>
      <c r="L607" s="117"/>
      <c r="M607" s="117">
        <f t="shared" si="1"/>
        <v>0</v>
      </c>
    </row>
    <row r="608" ht="22.5" customHeight="1">
      <c r="A608" s="116"/>
      <c r="C608" s="166"/>
      <c r="D608" s="118" t="str">
        <f>IF(FuturesTrades[Opened] &lt;&gt; "",IF(FuturesTrades[Closed] = "", TODAY(), FuturesTrades[Closed]) - FuturesTrades[Opened], "")</f>
        <v/>
      </c>
      <c r="E608" s="6"/>
      <c r="F608" s="6"/>
      <c r="G608" s="22"/>
      <c r="H608" s="117"/>
      <c r="I608" s="165"/>
      <c r="J608" s="165"/>
      <c r="K608" s="117"/>
      <c r="L608" s="117"/>
      <c r="M608" s="117">
        <f t="shared" si="1"/>
        <v>0</v>
      </c>
    </row>
    <row r="609" ht="22.5" customHeight="1">
      <c r="A609" s="116"/>
      <c r="C609" s="166"/>
      <c r="D609" s="118" t="str">
        <f>IF(FuturesTrades[Opened] &lt;&gt; "",IF(FuturesTrades[Closed] = "", TODAY(), FuturesTrades[Closed]) - FuturesTrades[Opened], "")</f>
        <v/>
      </c>
      <c r="E609" s="6"/>
      <c r="F609" s="6"/>
      <c r="G609" s="22"/>
      <c r="H609" s="117"/>
      <c r="I609" s="165"/>
      <c r="J609" s="165"/>
      <c r="K609" s="117"/>
      <c r="L609" s="117"/>
      <c r="M609" s="117">
        <f t="shared" si="1"/>
        <v>0</v>
      </c>
    </row>
    <row r="610" ht="22.5" customHeight="1">
      <c r="A610" s="116"/>
      <c r="C610" s="166"/>
      <c r="D610" s="118" t="str">
        <f>IF(FuturesTrades[Opened] &lt;&gt; "",IF(FuturesTrades[Closed] = "", TODAY(), FuturesTrades[Closed]) - FuturesTrades[Opened], "")</f>
        <v/>
      </c>
      <c r="E610" s="6"/>
      <c r="F610" s="6"/>
      <c r="G610" s="22"/>
      <c r="H610" s="117"/>
      <c r="I610" s="165"/>
      <c r="J610" s="165"/>
      <c r="K610" s="117"/>
      <c r="L610" s="117"/>
      <c r="M610" s="117">
        <f t="shared" si="1"/>
        <v>0</v>
      </c>
    </row>
    <row r="611" ht="22.5" customHeight="1">
      <c r="A611" s="116"/>
      <c r="C611" s="166"/>
      <c r="D611" s="118" t="str">
        <f>IF(FuturesTrades[Opened] &lt;&gt; "",IF(FuturesTrades[Closed] = "", TODAY(), FuturesTrades[Closed]) - FuturesTrades[Opened], "")</f>
        <v/>
      </c>
      <c r="E611" s="6"/>
      <c r="F611" s="6"/>
      <c r="G611" s="22"/>
      <c r="H611" s="117"/>
      <c r="I611" s="165"/>
      <c r="J611" s="165"/>
      <c r="K611" s="117"/>
      <c r="L611" s="117"/>
      <c r="M611" s="117">
        <f t="shared" si="1"/>
        <v>0</v>
      </c>
    </row>
    <row r="612" ht="22.5" customHeight="1">
      <c r="A612" s="116"/>
      <c r="C612" s="166"/>
      <c r="D612" s="118" t="str">
        <f>IF(FuturesTrades[Opened] &lt;&gt; "",IF(FuturesTrades[Closed] = "", TODAY(), FuturesTrades[Closed]) - FuturesTrades[Opened], "")</f>
        <v/>
      </c>
      <c r="E612" s="6"/>
      <c r="F612" s="6"/>
      <c r="G612" s="22"/>
      <c r="H612" s="117"/>
      <c r="I612" s="165"/>
      <c r="J612" s="165"/>
      <c r="K612" s="117"/>
      <c r="L612" s="117"/>
      <c r="M612" s="117">
        <f t="shared" si="1"/>
        <v>0</v>
      </c>
    </row>
    <row r="613" ht="22.5" customHeight="1">
      <c r="A613" s="116"/>
      <c r="C613" s="166"/>
      <c r="D613" s="118" t="str">
        <f>IF(FuturesTrades[Opened] &lt;&gt; "",IF(FuturesTrades[Closed] = "", TODAY(), FuturesTrades[Closed]) - FuturesTrades[Opened], "")</f>
        <v/>
      </c>
      <c r="E613" s="6"/>
      <c r="F613" s="6"/>
      <c r="G613" s="22"/>
      <c r="H613" s="117"/>
      <c r="I613" s="165"/>
      <c r="J613" s="165"/>
      <c r="K613" s="117"/>
      <c r="L613" s="117"/>
      <c r="M613" s="117">
        <f t="shared" si="1"/>
        <v>0</v>
      </c>
    </row>
    <row r="614" ht="22.5" customHeight="1">
      <c r="A614" s="116"/>
      <c r="C614" s="166"/>
      <c r="D614" s="118" t="str">
        <f>IF(FuturesTrades[Opened] &lt;&gt; "",IF(FuturesTrades[Closed] = "", TODAY(), FuturesTrades[Closed]) - FuturesTrades[Opened], "")</f>
        <v/>
      </c>
      <c r="E614" s="6"/>
      <c r="F614" s="6"/>
      <c r="G614" s="22"/>
      <c r="H614" s="117"/>
      <c r="I614" s="165"/>
      <c r="J614" s="165"/>
      <c r="K614" s="117"/>
      <c r="L614" s="117"/>
      <c r="M614" s="117">
        <f t="shared" si="1"/>
        <v>0</v>
      </c>
    </row>
    <row r="615" ht="22.5" customHeight="1">
      <c r="A615" s="116"/>
      <c r="C615" s="166"/>
      <c r="D615" s="118" t="str">
        <f>IF(FuturesTrades[Opened] &lt;&gt; "",IF(FuturesTrades[Closed] = "", TODAY(), FuturesTrades[Closed]) - FuturesTrades[Opened], "")</f>
        <v/>
      </c>
      <c r="E615" s="6"/>
      <c r="F615" s="6"/>
      <c r="G615" s="22"/>
      <c r="H615" s="117"/>
      <c r="I615" s="165"/>
      <c r="J615" s="165"/>
      <c r="K615" s="117"/>
      <c r="L615" s="117"/>
      <c r="M615" s="117">
        <f t="shared" si="1"/>
        <v>0</v>
      </c>
    </row>
    <row r="616" ht="22.5" customHeight="1">
      <c r="A616" s="116"/>
      <c r="C616" s="166"/>
      <c r="D616" s="118" t="str">
        <f>IF(FuturesTrades[Opened] &lt;&gt; "",IF(FuturesTrades[Closed] = "", TODAY(), FuturesTrades[Closed]) - FuturesTrades[Opened], "")</f>
        <v/>
      </c>
      <c r="E616" s="6"/>
      <c r="F616" s="6"/>
      <c r="G616" s="22"/>
      <c r="H616" s="117"/>
      <c r="I616" s="165"/>
      <c r="J616" s="165"/>
      <c r="K616" s="117"/>
      <c r="L616" s="117"/>
      <c r="M616" s="117">
        <f t="shared" si="1"/>
        <v>0</v>
      </c>
    </row>
    <row r="617" ht="22.5" customHeight="1">
      <c r="A617" s="116"/>
      <c r="C617" s="166"/>
      <c r="D617" s="118" t="str">
        <f>IF(FuturesTrades[Opened] &lt;&gt; "",IF(FuturesTrades[Closed] = "", TODAY(), FuturesTrades[Closed]) - FuturesTrades[Opened], "")</f>
        <v/>
      </c>
      <c r="E617" s="6"/>
      <c r="F617" s="6"/>
      <c r="G617" s="22"/>
      <c r="H617" s="117"/>
      <c r="I617" s="165"/>
      <c r="J617" s="165"/>
      <c r="K617" s="117"/>
      <c r="L617" s="117"/>
      <c r="M617" s="117">
        <f t="shared" si="1"/>
        <v>0</v>
      </c>
    </row>
    <row r="618" ht="22.5" customHeight="1">
      <c r="A618" s="116"/>
      <c r="C618" s="166"/>
      <c r="D618" s="118" t="str">
        <f>IF(FuturesTrades[Opened] &lt;&gt; "",IF(FuturesTrades[Closed] = "", TODAY(), FuturesTrades[Closed]) - FuturesTrades[Opened], "")</f>
        <v/>
      </c>
      <c r="E618" s="6"/>
      <c r="F618" s="6"/>
      <c r="G618" s="22"/>
      <c r="H618" s="117"/>
      <c r="I618" s="165"/>
      <c r="J618" s="165"/>
      <c r="K618" s="117"/>
      <c r="L618" s="117"/>
      <c r="M618" s="117">
        <f t="shared" si="1"/>
        <v>0</v>
      </c>
    </row>
    <row r="619" ht="22.5" customHeight="1">
      <c r="A619" s="116"/>
      <c r="C619" s="166"/>
      <c r="D619" s="118" t="str">
        <f>IF(FuturesTrades[Opened] &lt;&gt; "",IF(FuturesTrades[Closed] = "", TODAY(), FuturesTrades[Closed]) - FuturesTrades[Opened], "")</f>
        <v/>
      </c>
      <c r="E619" s="6"/>
      <c r="F619" s="6"/>
      <c r="G619" s="22"/>
      <c r="H619" s="117"/>
      <c r="I619" s="165"/>
      <c r="J619" s="165"/>
      <c r="K619" s="117"/>
      <c r="L619" s="117"/>
      <c r="M619" s="117">
        <f t="shared" si="1"/>
        <v>0</v>
      </c>
    </row>
    <row r="620" ht="22.5" customHeight="1">
      <c r="A620" s="116"/>
      <c r="C620" s="166"/>
      <c r="D620" s="118" t="str">
        <f>IF(FuturesTrades[Opened] &lt;&gt; "",IF(FuturesTrades[Closed] = "", TODAY(), FuturesTrades[Closed]) - FuturesTrades[Opened], "")</f>
        <v/>
      </c>
      <c r="E620" s="6"/>
      <c r="F620" s="6"/>
      <c r="G620" s="22"/>
      <c r="H620" s="117"/>
      <c r="I620" s="165"/>
      <c r="J620" s="165"/>
      <c r="K620" s="117"/>
      <c r="L620" s="117"/>
      <c r="M620" s="117">
        <f t="shared" si="1"/>
        <v>0</v>
      </c>
    </row>
    <row r="621" ht="22.5" customHeight="1">
      <c r="A621" s="116"/>
      <c r="C621" s="166"/>
      <c r="D621" s="118" t="str">
        <f>IF(FuturesTrades[Opened] &lt;&gt; "",IF(FuturesTrades[Closed] = "", TODAY(), FuturesTrades[Closed]) - FuturesTrades[Opened], "")</f>
        <v/>
      </c>
      <c r="E621" s="6"/>
      <c r="F621" s="6"/>
      <c r="G621" s="22"/>
      <c r="H621" s="117"/>
      <c r="I621" s="165"/>
      <c r="J621" s="165"/>
      <c r="K621" s="117"/>
      <c r="L621" s="117"/>
      <c r="M621" s="117">
        <f t="shared" si="1"/>
        <v>0</v>
      </c>
    </row>
    <row r="622" ht="22.5" customHeight="1">
      <c r="A622" s="116"/>
      <c r="C622" s="166"/>
      <c r="D622" s="118" t="str">
        <f>IF(FuturesTrades[Opened] &lt;&gt; "",IF(FuturesTrades[Closed] = "", TODAY(), FuturesTrades[Closed]) - FuturesTrades[Opened], "")</f>
        <v/>
      </c>
      <c r="E622" s="6"/>
      <c r="F622" s="6"/>
      <c r="G622" s="22"/>
      <c r="H622" s="117"/>
      <c r="I622" s="165"/>
      <c r="J622" s="165"/>
      <c r="K622" s="117"/>
      <c r="L622" s="117"/>
      <c r="M622" s="117">
        <f t="shared" si="1"/>
        <v>0</v>
      </c>
    </row>
    <row r="623" ht="22.5" customHeight="1">
      <c r="A623" s="116"/>
      <c r="C623" s="166"/>
      <c r="D623" s="118" t="str">
        <f>IF(FuturesTrades[Opened] &lt;&gt; "",IF(FuturesTrades[Closed] = "", TODAY(), FuturesTrades[Closed]) - FuturesTrades[Opened], "")</f>
        <v/>
      </c>
      <c r="E623" s="6"/>
      <c r="F623" s="6"/>
      <c r="G623" s="22"/>
      <c r="H623" s="117"/>
      <c r="I623" s="165"/>
      <c r="J623" s="165"/>
      <c r="K623" s="117"/>
      <c r="L623" s="117"/>
      <c r="M623" s="117">
        <f t="shared" si="1"/>
        <v>0</v>
      </c>
    </row>
    <row r="624" ht="22.5" customHeight="1">
      <c r="A624" s="116"/>
      <c r="C624" s="166"/>
      <c r="D624" s="118" t="str">
        <f>IF(FuturesTrades[Opened] &lt;&gt; "",IF(FuturesTrades[Closed] = "", TODAY(), FuturesTrades[Closed]) - FuturesTrades[Opened], "")</f>
        <v/>
      </c>
      <c r="E624" s="6"/>
      <c r="F624" s="6"/>
      <c r="G624" s="22"/>
      <c r="H624" s="117"/>
      <c r="I624" s="165"/>
      <c r="J624" s="165"/>
      <c r="K624" s="117"/>
      <c r="L624" s="117"/>
      <c r="M624" s="117">
        <f t="shared" si="1"/>
        <v>0</v>
      </c>
    </row>
    <row r="625" ht="22.5" customHeight="1">
      <c r="A625" s="116"/>
      <c r="C625" s="166"/>
      <c r="D625" s="118" t="str">
        <f>IF(FuturesTrades[Opened] &lt;&gt; "",IF(FuturesTrades[Closed] = "", TODAY(), FuturesTrades[Closed]) - FuturesTrades[Opened], "")</f>
        <v/>
      </c>
      <c r="E625" s="6"/>
      <c r="F625" s="6"/>
      <c r="G625" s="22"/>
      <c r="H625" s="117"/>
      <c r="I625" s="165"/>
      <c r="J625" s="165"/>
      <c r="K625" s="117"/>
      <c r="L625" s="117"/>
      <c r="M625" s="117">
        <f t="shared" si="1"/>
        <v>0</v>
      </c>
    </row>
    <row r="626" ht="22.5" customHeight="1">
      <c r="A626" s="116"/>
      <c r="C626" s="166"/>
      <c r="D626" s="118" t="str">
        <f>IF(FuturesTrades[Opened] &lt;&gt; "",IF(FuturesTrades[Closed] = "", TODAY(), FuturesTrades[Closed]) - FuturesTrades[Opened], "")</f>
        <v/>
      </c>
      <c r="E626" s="6"/>
      <c r="F626" s="6"/>
      <c r="G626" s="22"/>
      <c r="H626" s="117"/>
      <c r="I626" s="165"/>
      <c r="J626" s="165"/>
      <c r="K626" s="117"/>
      <c r="L626" s="117"/>
      <c r="M626" s="117">
        <f t="shared" si="1"/>
        <v>0</v>
      </c>
    </row>
    <row r="627" ht="22.5" customHeight="1">
      <c r="A627" s="116"/>
      <c r="C627" s="166"/>
      <c r="D627" s="118" t="str">
        <f>IF(FuturesTrades[Opened] &lt;&gt; "",IF(FuturesTrades[Closed] = "", TODAY(), FuturesTrades[Closed]) - FuturesTrades[Opened], "")</f>
        <v/>
      </c>
      <c r="E627" s="6"/>
      <c r="F627" s="6"/>
      <c r="G627" s="22"/>
      <c r="H627" s="117"/>
      <c r="I627" s="165"/>
      <c r="J627" s="165"/>
      <c r="K627" s="117"/>
      <c r="L627" s="117"/>
      <c r="M627" s="117">
        <f t="shared" si="1"/>
        <v>0</v>
      </c>
    </row>
    <row r="628" ht="22.5" customHeight="1">
      <c r="A628" s="116"/>
      <c r="C628" s="166"/>
      <c r="D628" s="118" t="str">
        <f>IF(FuturesTrades[Opened] &lt;&gt; "",IF(FuturesTrades[Closed] = "", TODAY(), FuturesTrades[Closed]) - FuturesTrades[Opened], "")</f>
        <v/>
      </c>
      <c r="E628" s="6"/>
      <c r="F628" s="6"/>
      <c r="G628" s="22"/>
      <c r="H628" s="117"/>
      <c r="I628" s="165"/>
      <c r="J628" s="165"/>
      <c r="K628" s="117"/>
      <c r="L628" s="117"/>
      <c r="M628" s="117">
        <f t="shared" si="1"/>
        <v>0</v>
      </c>
    </row>
    <row r="629" ht="22.5" customHeight="1">
      <c r="A629" s="116"/>
      <c r="C629" s="166"/>
      <c r="D629" s="118" t="str">
        <f>IF(FuturesTrades[Opened] &lt;&gt; "",IF(FuturesTrades[Closed] = "", TODAY(), FuturesTrades[Closed]) - FuturesTrades[Opened], "")</f>
        <v/>
      </c>
      <c r="E629" s="6"/>
      <c r="F629" s="6"/>
      <c r="G629" s="22"/>
      <c r="H629" s="117"/>
      <c r="I629" s="165"/>
      <c r="J629" s="165"/>
      <c r="K629" s="117"/>
      <c r="L629" s="117"/>
      <c r="M629" s="117">
        <f t="shared" si="1"/>
        <v>0</v>
      </c>
    </row>
    <row r="630" ht="22.5" customHeight="1">
      <c r="A630" s="116"/>
      <c r="C630" s="166"/>
      <c r="D630" s="118" t="str">
        <f>IF(FuturesTrades[Opened] &lt;&gt; "",IF(FuturesTrades[Closed] = "", TODAY(), FuturesTrades[Closed]) - FuturesTrades[Opened], "")</f>
        <v/>
      </c>
      <c r="E630" s="6"/>
      <c r="F630" s="6"/>
      <c r="G630" s="22"/>
      <c r="H630" s="117"/>
      <c r="I630" s="165"/>
      <c r="J630" s="165"/>
      <c r="K630" s="117"/>
      <c r="L630" s="117"/>
      <c r="M630" s="117">
        <f t="shared" si="1"/>
        <v>0</v>
      </c>
    </row>
    <row r="631" ht="22.5" customHeight="1">
      <c r="A631" s="116"/>
      <c r="C631" s="166"/>
      <c r="D631" s="118" t="str">
        <f>IF(FuturesTrades[Opened] &lt;&gt; "",IF(FuturesTrades[Closed] = "", TODAY(), FuturesTrades[Closed]) - FuturesTrades[Opened], "")</f>
        <v/>
      </c>
      <c r="E631" s="6"/>
      <c r="F631" s="6"/>
      <c r="G631" s="22"/>
      <c r="H631" s="117"/>
      <c r="I631" s="165"/>
      <c r="J631" s="165"/>
      <c r="K631" s="117"/>
      <c r="L631" s="117"/>
      <c r="M631" s="117">
        <f t="shared" si="1"/>
        <v>0</v>
      </c>
    </row>
    <row r="632" ht="22.5" customHeight="1">
      <c r="A632" s="116"/>
      <c r="C632" s="166"/>
      <c r="D632" s="118" t="str">
        <f>IF(FuturesTrades[Opened] &lt;&gt; "",IF(FuturesTrades[Closed] = "", TODAY(), FuturesTrades[Closed]) - FuturesTrades[Opened], "")</f>
        <v/>
      </c>
      <c r="E632" s="6"/>
      <c r="F632" s="6"/>
      <c r="G632" s="22"/>
      <c r="H632" s="117"/>
      <c r="I632" s="165"/>
      <c r="J632" s="165"/>
      <c r="K632" s="117"/>
      <c r="L632" s="117"/>
      <c r="M632" s="117">
        <f t="shared" si="1"/>
        <v>0</v>
      </c>
    </row>
    <row r="633" ht="22.5" customHeight="1">
      <c r="A633" s="116"/>
      <c r="C633" s="166"/>
      <c r="D633" s="118" t="str">
        <f>IF(FuturesTrades[Opened] &lt;&gt; "",IF(FuturesTrades[Closed] = "", TODAY(), FuturesTrades[Closed]) - FuturesTrades[Opened], "")</f>
        <v/>
      </c>
      <c r="E633" s="6"/>
      <c r="F633" s="6"/>
      <c r="G633" s="22"/>
      <c r="H633" s="117"/>
      <c r="I633" s="165"/>
      <c r="J633" s="165"/>
      <c r="K633" s="117"/>
      <c r="L633" s="117"/>
      <c r="M633" s="117">
        <f t="shared" si="1"/>
        <v>0</v>
      </c>
    </row>
    <row r="634" ht="22.5" customHeight="1">
      <c r="A634" s="116"/>
      <c r="C634" s="166"/>
      <c r="D634" s="118" t="str">
        <f>IF(FuturesTrades[Opened] &lt;&gt; "",IF(FuturesTrades[Closed] = "", TODAY(), FuturesTrades[Closed]) - FuturesTrades[Opened], "")</f>
        <v/>
      </c>
      <c r="E634" s="6"/>
      <c r="F634" s="6"/>
      <c r="G634" s="22"/>
      <c r="H634" s="117"/>
      <c r="I634" s="165"/>
      <c r="J634" s="165"/>
      <c r="K634" s="117"/>
      <c r="L634" s="117"/>
      <c r="M634" s="117">
        <f t="shared" si="1"/>
        <v>0</v>
      </c>
    </row>
    <row r="635" ht="22.5" customHeight="1">
      <c r="A635" s="116"/>
      <c r="C635" s="166"/>
      <c r="D635" s="118" t="str">
        <f>IF(FuturesTrades[Opened] &lt;&gt; "",IF(FuturesTrades[Closed] = "", TODAY(), FuturesTrades[Closed]) - FuturesTrades[Opened], "")</f>
        <v/>
      </c>
      <c r="E635" s="6"/>
      <c r="F635" s="6"/>
      <c r="G635" s="22"/>
      <c r="H635" s="117"/>
      <c r="I635" s="165"/>
      <c r="J635" s="165"/>
      <c r="K635" s="117"/>
      <c r="L635" s="117"/>
      <c r="M635" s="117">
        <f t="shared" si="1"/>
        <v>0</v>
      </c>
    </row>
    <row r="636" ht="22.5" customHeight="1">
      <c r="A636" s="116"/>
      <c r="C636" s="166"/>
      <c r="D636" s="118" t="str">
        <f>IF(FuturesTrades[Opened] &lt;&gt; "",IF(FuturesTrades[Closed] = "", TODAY(), FuturesTrades[Closed]) - FuturesTrades[Opened], "")</f>
        <v/>
      </c>
      <c r="E636" s="6"/>
      <c r="F636" s="6"/>
      <c r="G636" s="22"/>
      <c r="H636" s="117"/>
      <c r="I636" s="165"/>
      <c r="J636" s="165"/>
      <c r="K636" s="117"/>
      <c r="L636" s="117"/>
      <c r="M636" s="117">
        <f t="shared" si="1"/>
        <v>0</v>
      </c>
    </row>
    <row r="637" ht="22.5" customHeight="1">
      <c r="A637" s="116"/>
      <c r="C637" s="166"/>
      <c r="D637" s="118" t="str">
        <f>IF(FuturesTrades[Opened] &lt;&gt; "",IF(FuturesTrades[Closed] = "", TODAY(), FuturesTrades[Closed]) - FuturesTrades[Opened], "")</f>
        <v/>
      </c>
      <c r="E637" s="6"/>
      <c r="F637" s="6"/>
      <c r="G637" s="22"/>
      <c r="H637" s="117"/>
      <c r="I637" s="165"/>
      <c r="J637" s="165"/>
      <c r="K637" s="117"/>
      <c r="L637" s="117"/>
      <c r="M637" s="117">
        <f t="shared" si="1"/>
        <v>0</v>
      </c>
    </row>
    <row r="638" ht="22.5" customHeight="1">
      <c r="A638" s="116"/>
      <c r="C638" s="166"/>
      <c r="D638" s="118" t="str">
        <f>IF(FuturesTrades[Opened] &lt;&gt; "",IF(FuturesTrades[Closed] = "", TODAY(), FuturesTrades[Closed]) - FuturesTrades[Opened], "")</f>
        <v/>
      </c>
      <c r="E638" s="6"/>
      <c r="F638" s="6"/>
      <c r="G638" s="22"/>
      <c r="H638" s="117"/>
      <c r="I638" s="165"/>
      <c r="J638" s="165"/>
      <c r="K638" s="117"/>
      <c r="L638" s="117"/>
      <c r="M638" s="117">
        <f t="shared" si="1"/>
        <v>0</v>
      </c>
    </row>
    <row r="639" ht="22.5" customHeight="1">
      <c r="A639" s="116"/>
      <c r="C639" s="166"/>
      <c r="D639" s="118" t="str">
        <f>IF(FuturesTrades[Opened] &lt;&gt; "",IF(FuturesTrades[Closed] = "", TODAY(), FuturesTrades[Closed]) - FuturesTrades[Opened], "")</f>
        <v/>
      </c>
      <c r="E639" s="6"/>
      <c r="F639" s="6"/>
      <c r="G639" s="22"/>
      <c r="H639" s="117"/>
      <c r="I639" s="165"/>
      <c r="J639" s="165"/>
      <c r="K639" s="117"/>
      <c r="L639" s="117"/>
      <c r="M639" s="117">
        <f t="shared" si="1"/>
        <v>0</v>
      </c>
    </row>
    <row r="640" ht="22.5" customHeight="1">
      <c r="A640" s="116"/>
      <c r="C640" s="166"/>
      <c r="D640" s="118" t="str">
        <f>IF(FuturesTrades[Opened] &lt;&gt; "",IF(FuturesTrades[Closed] = "", TODAY(), FuturesTrades[Closed]) - FuturesTrades[Opened], "")</f>
        <v/>
      </c>
      <c r="E640" s="6"/>
      <c r="F640" s="6"/>
      <c r="G640" s="22"/>
      <c r="H640" s="117"/>
      <c r="I640" s="165"/>
      <c r="J640" s="165"/>
      <c r="K640" s="117"/>
      <c r="L640" s="117"/>
      <c r="M640" s="117">
        <f t="shared" si="1"/>
        <v>0</v>
      </c>
    </row>
    <row r="641" ht="22.5" customHeight="1">
      <c r="A641" s="116"/>
      <c r="C641" s="166"/>
      <c r="D641" s="118" t="str">
        <f>IF(FuturesTrades[Opened] &lt;&gt; "",IF(FuturesTrades[Closed] = "", TODAY(), FuturesTrades[Closed]) - FuturesTrades[Opened], "")</f>
        <v/>
      </c>
      <c r="E641" s="6"/>
      <c r="F641" s="6"/>
      <c r="G641" s="22"/>
      <c r="H641" s="117"/>
      <c r="I641" s="165"/>
      <c r="J641" s="165"/>
      <c r="K641" s="117"/>
      <c r="L641" s="117"/>
      <c r="M641" s="117">
        <f t="shared" si="1"/>
        <v>0</v>
      </c>
    </row>
    <row r="642" ht="22.5" customHeight="1">
      <c r="A642" s="116"/>
      <c r="C642" s="166"/>
      <c r="D642" s="118" t="str">
        <f>IF(FuturesTrades[Opened] &lt;&gt; "",IF(FuturesTrades[Closed] = "", TODAY(), FuturesTrades[Closed]) - FuturesTrades[Opened], "")</f>
        <v/>
      </c>
      <c r="E642" s="6"/>
      <c r="F642" s="6"/>
      <c r="G642" s="22"/>
      <c r="H642" s="117"/>
      <c r="I642" s="165"/>
      <c r="J642" s="165"/>
      <c r="K642" s="117"/>
      <c r="L642" s="117"/>
      <c r="M642" s="117">
        <f t="shared" si="1"/>
        <v>0</v>
      </c>
    </row>
    <row r="643" ht="22.5" customHeight="1">
      <c r="A643" s="116"/>
      <c r="C643" s="166"/>
      <c r="D643" s="118" t="str">
        <f>IF(FuturesTrades[Opened] &lt;&gt; "",IF(FuturesTrades[Closed] = "", TODAY(), FuturesTrades[Closed]) - FuturesTrades[Opened], "")</f>
        <v/>
      </c>
      <c r="E643" s="6"/>
      <c r="F643" s="6"/>
      <c r="G643" s="22"/>
      <c r="H643" s="117"/>
      <c r="I643" s="165"/>
      <c r="J643" s="165"/>
      <c r="K643" s="117"/>
      <c r="L643" s="117"/>
      <c r="M643" s="117">
        <f t="shared" si="1"/>
        <v>0</v>
      </c>
    </row>
    <row r="644" ht="22.5" customHeight="1">
      <c r="A644" s="116"/>
      <c r="C644" s="166"/>
      <c r="D644" s="118" t="str">
        <f>IF(FuturesTrades[Opened] &lt;&gt; "",IF(FuturesTrades[Closed] = "", TODAY(), FuturesTrades[Closed]) - FuturesTrades[Opened], "")</f>
        <v/>
      </c>
      <c r="E644" s="6"/>
      <c r="F644" s="6"/>
      <c r="G644" s="22"/>
      <c r="H644" s="117"/>
      <c r="I644" s="165"/>
      <c r="J644" s="165"/>
      <c r="K644" s="117"/>
      <c r="L644" s="117"/>
      <c r="M644" s="117">
        <f t="shared" si="1"/>
        <v>0</v>
      </c>
    </row>
    <row r="645" ht="22.5" customHeight="1">
      <c r="A645" s="116"/>
      <c r="C645" s="166"/>
      <c r="D645" s="118" t="str">
        <f>IF(FuturesTrades[Opened] &lt;&gt; "",IF(FuturesTrades[Closed] = "", TODAY(), FuturesTrades[Closed]) - FuturesTrades[Opened], "")</f>
        <v/>
      </c>
      <c r="E645" s="6"/>
      <c r="F645" s="6"/>
      <c r="G645" s="22"/>
      <c r="H645" s="117"/>
      <c r="I645" s="165"/>
      <c r="J645" s="165"/>
      <c r="K645" s="117"/>
      <c r="L645" s="117"/>
      <c r="M645" s="117">
        <f t="shared" si="1"/>
        <v>0</v>
      </c>
    </row>
    <row r="646" ht="22.5" customHeight="1">
      <c r="A646" s="116"/>
      <c r="C646" s="166"/>
      <c r="D646" s="118" t="str">
        <f>IF(FuturesTrades[Opened] &lt;&gt; "",IF(FuturesTrades[Closed] = "", TODAY(), FuturesTrades[Closed]) - FuturesTrades[Opened], "")</f>
        <v/>
      </c>
      <c r="E646" s="6"/>
      <c r="F646" s="6"/>
      <c r="G646" s="22"/>
      <c r="H646" s="117"/>
      <c r="I646" s="165"/>
      <c r="J646" s="165"/>
      <c r="K646" s="117"/>
      <c r="L646" s="117"/>
      <c r="M646" s="117">
        <f t="shared" si="1"/>
        <v>0</v>
      </c>
    </row>
    <row r="647" ht="22.5" customHeight="1">
      <c r="A647" s="116"/>
      <c r="C647" s="166"/>
      <c r="D647" s="118" t="str">
        <f>IF(FuturesTrades[Opened] &lt;&gt; "",IF(FuturesTrades[Closed] = "", TODAY(), FuturesTrades[Closed]) - FuturesTrades[Opened], "")</f>
        <v/>
      </c>
      <c r="E647" s="6"/>
      <c r="F647" s="6"/>
      <c r="G647" s="22"/>
      <c r="H647" s="117"/>
      <c r="I647" s="165"/>
      <c r="J647" s="165"/>
      <c r="K647" s="117"/>
      <c r="L647" s="117"/>
      <c r="M647" s="117">
        <f t="shared" si="1"/>
        <v>0</v>
      </c>
    </row>
    <row r="648" ht="22.5" customHeight="1">
      <c r="A648" s="116"/>
      <c r="C648" s="166"/>
      <c r="D648" s="118" t="str">
        <f>IF(FuturesTrades[Opened] &lt;&gt; "",IF(FuturesTrades[Closed] = "", TODAY(), FuturesTrades[Closed]) - FuturesTrades[Opened], "")</f>
        <v/>
      </c>
      <c r="E648" s="6"/>
      <c r="F648" s="6"/>
      <c r="G648" s="22"/>
      <c r="H648" s="117"/>
      <c r="I648" s="165"/>
      <c r="J648" s="165"/>
      <c r="K648" s="117"/>
      <c r="L648" s="117"/>
      <c r="M648" s="117">
        <f t="shared" si="1"/>
        <v>0</v>
      </c>
    </row>
    <row r="649" ht="22.5" customHeight="1">
      <c r="A649" s="116"/>
      <c r="C649" s="166"/>
      <c r="D649" s="118" t="str">
        <f>IF(FuturesTrades[Opened] &lt;&gt; "",IF(FuturesTrades[Closed] = "", TODAY(), FuturesTrades[Closed]) - FuturesTrades[Opened], "")</f>
        <v/>
      </c>
      <c r="E649" s="6"/>
      <c r="F649" s="6"/>
      <c r="G649" s="22"/>
      <c r="H649" s="117"/>
      <c r="I649" s="165"/>
      <c r="J649" s="165"/>
      <c r="K649" s="117"/>
      <c r="L649" s="117"/>
      <c r="M649" s="117">
        <f t="shared" si="1"/>
        <v>0</v>
      </c>
    </row>
    <row r="650" ht="22.5" customHeight="1">
      <c r="A650" s="116"/>
      <c r="C650" s="166"/>
      <c r="D650" s="118" t="str">
        <f>IF(FuturesTrades[Opened] &lt;&gt; "",IF(FuturesTrades[Closed] = "", TODAY(), FuturesTrades[Closed]) - FuturesTrades[Opened], "")</f>
        <v/>
      </c>
      <c r="E650" s="6"/>
      <c r="F650" s="6"/>
      <c r="G650" s="22"/>
      <c r="H650" s="117"/>
      <c r="I650" s="165"/>
      <c r="J650" s="165"/>
      <c r="K650" s="117"/>
      <c r="L650" s="117"/>
      <c r="M650" s="117">
        <f t="shared" si="1"/>
        <v>0</v>
      </c>
    </row>
    <row r="651" ht="22.5" customHeight="1">
      <c r="A651" s="116"/>
      <c r="C651" s="166"/>
      <c r="D651" s="118" t="str">
        <f>IF(FuturesTrades[Opened] &lt;&gt; "",IF(FuturesTrades[Closed] = "", TODAY(), FuturesTrades[Closed]) - FuturesTrades[Opened], "")</f>
        <v/>
      </c>
      <c r="E651" s="6"/>
      <c r="F651" s="6"/>
      <c r="G651" s="22"/>
      <c r="H651" s="117"/>
      <c r="I651" s="165"/>
      <c r="J651" s="165"/>
      <c r="K651" s="117"/>
      <c r="L651" s="117"/>
      <c r="M651" s="117">
        <f t="shared" si="1"/>
        <v>0</v>
      </c>
    </row>
    <row r="652" ht="22.5" customHeight="1">
      <c r="A652" s="116"/>
      <c r="C652" s="166"/>
      <c r="D652" s="118" t="str">
        <f>IF(FuturesTrades[Opened] &lt;&gt; "",IF(FuturesTrades[Closed] = "", TODAY(), FuturesTrades[Closed]) - FuturesTrades[Opened], "")</f>
        <v/>
      </c>
      <c r="E652" s="6"/>
      <c r="F652" s="6"/>
      <c r="G652" s="22"/>
      <c r="H652" s="117"/>
      <c r="I652" s="165"/>
      <c r="J652" s="165"/>
      <c r="K652" s="117"/>
      <c r="L652" s="117"/>
      <c r="M652" s="117">
        <f t="shared" si="1"/>
        <v>0</v>
      </c>
    </row>
    <row r="653" ht="22.5" customHeight="1">
      <c r="A653" s="116"/>
      <c r="C653" s="166"/>
      <c r="D653" s="118" t="str">
        <f>IF(FuturesTrades[Opened] &lt;&gt; "",IF(FuturesTrades[Closed] = "", TODAY(), FuturesTrades[Closed]) - FuturesTrades[Opened], "")</f>
        <v/>
      </c>
      <c r="E653" s="6"/>
      <c r="F653" s="6"/>
      <c r="G653" s="22"/>
      <c r="H653" s="117"/>
      <c r="I653" s="165"/>
      <c r="J653" s="165"/>
      <c r="K653" s="117"/>
      <c r="L653" s="117"/>
      <c r="M653" s="117">
        <f t="shared" si="1"/>
        <v>0</v>
      </c>
    </row>
    <row r="654" ht="22.5" customHeight="1">
      <c r="A654" s="116"/>
      <c r="C654" s="166"/>
      <c r="D654" s="118" t="str">
        <f>IF(FuturesTrades[Opened] &lt;&gt; "",IF(FuturesTrades[Closed] = "", TODAY(), FuturesTrades[Closed]) - FuturesTrades[Opened], "")</f>
        <v/>
      </c>
      <c r="E654" s="6"/>
      <c r="F654" s="6"/>
      <c r="G654" s="22"/>
      <c r="H654" s="117"/>
      <c r="I654" s="165"/>
      <c r="J654" s="165"/>
      <c r="K654" s="117"/>
      <c r="L654" s="117"/>
      <c r="M654" s="117">
        <f t="shared" si="1"/>
        <v>0</v>
      </c>
    </row>
    <row r="655" ht="22.5" customHeight="1">
      <c r="A655" s="116"/>
      <c r="C655" s="166"/>
      <c r="D655" s="118" t="str">
        <f>IF(FuturesTrades[Opened] &lt;&gt; "",IF(FuturesTrades[Closed] = "", TODAY(), FuturesTrades[Closed]) - FuturesTrades[Opened], "")</f>
        <v/>
      </c>
      <c r="E655" s="6"/>
      <c r="F655" s="6"/>
      <c r="G655" s="22"/>
      <c r="H655" s="117"/>
      <c r="I655" s="165"/>
      <c r="J655" s="165"/>
      <c r="K655" s="117"/>
      <c r="L655" s="117"/>
      <c r="M655" s="117">
        <f t="shared" si="1"/>
        <v>0</v>
      </c>
    </row>
    <row r="656" ht="22.5" customHeight="1">
      <c r="A656" s="116"/>
      <c r="C656" s="166"/>
      <c r="D656" s="118" t="str">
        <f>IF(FuturesTrades[Opened] &lt;&gt; "",IF(FuturesTrades[Closed] = "", TODAY(), FuturesTrades[Closed]) - FuturesTrades[Opened], "")</f>
        <v/>
      </c>
      <c r="E656" s="6"/>
      <c r="F656" s="6"/>
      <c r="G656" s="22"/>
      <c r="H656" s="117"/>
      <c r="I656" s="165"/>
      <c r="J656" s="165"/>
      <c r="K656" s="117"/>
      <c r="L656" s="117"/>
      <c r="M656" s="117">
        <f t="shared" si="1"/>
        <v>0</v>
      </c>
    </row>
    <row r="657" ht="22.5" customHeight="1">
      <c r="A657" s="116"/>
      <c r="C657" s="166"/>
      <c r="D657" s="118" t="str">
        <f>IF(FuturesTrades[Opened] &lt;&gt; "",IF(FuturesTrades[Closed] = "", TODAY(), FuturesTrades[Closed]) - FuturesTrades[Opened], "")</f>
        <v/>
      </c>
      <c r="E657" s="6"/>
      <c r="F657" s="6"/>
      <c r="G657" s="22"/>
      <c r="H657" s="117"/>
      <c r="I657" s="165"/>
      <c r="J657" s="165"/>
      <c r="K657" s="117"/>
      <c r="L657" s="117"/>
      <c r="M657" s="117">
        <f t="shared" si="1"/>
        <v>0</v>
      </c>
    </row>
    <row r="658" ht="22.5" customHeight="1">
      <c r="A658" s="116"/>
      <c r="C658" s="166"/>
      <c r="D658" s="118" t="str">
        <f>IF(FuturesTrades[Opened] &lt;&gt; "",IF(FuturesTrades[Closed] = "", TODAY(), FuturesTrades[Closed]) - FuturesTrades[Opened], "")</f>
        <v/>
      </c>
      <c r="E658" s="6"/>
      <c r="F658" s="6"/>
      <c r="G658" s="22"/>
      <c r="H658" s="117"/>
      <c r="I658" s="165"/>
      <c r="J658" s="165"/>
      <c r="K658" s="117"/>
      <c r="L658" s="117"/>
      <c r="M658" s="117">
        <f t="shared" si="1"/>
        <v>0</v>
      </c>
    </row>
    <row r="659" ht="22.5" customHeight="1">
      <c r="A659" s="116"/>
      <c r="C659" s="166"/>
      <c r="D659" s="118" t="str">
        <f>IF(FuturesTrades[Opened] &lt;&gt; "",IF(FuturesTrades[Closed] = "", TODAY(), FuturesTrades[Closed]) - FuturesTrades[Opened], "")</f>
        <v/>
      </c>
      <c r="E659" s="6"/>
      <c r="F659" s="6"/>
      <c r="G659" s="22"/>
      <c r="H659" s="117"/>
      <c r="I659" s="165"/>
      <c r="J659" s="165"/>
      <c r="K659" s="117"/>
      <c r="L659" s="117"/>
      <c r="M659" s="117">
        <f t="shared" si="1"/>
        <v>0</v>
      </c>
    </row>
    <row r="660" ht="22.5" customHeight="1">
      <c r="A660" s="116"/>
      <c r="C660" s="166"/>
      <c r="D660" s="118" t="str">
        <f>IF(FuturesTrades[Opened] &lt;&gt; "",IF(FuturesTrades[Closed] = "", TODAY(), FuturesTrades[Closed]) - FuturesTrades[Opened], "")</f>
        <v/>
      </c>
      <c r="E660" s="6"/>
      <c r="F660" s="6"/>
      <c r="G660" s="22"/>
      <c r="H660" s="117"/>
      <c r="I660" s="165"/>
      <c r="J660" s="165"/>
      <c r="K660" s="117"/>
      <c r="L660" s="117"/>
      <c r="M660" s="117">
        <f t="shared" si="1"/>
        <v>0</v>
      </c>
    </row>
    <row r="661" ht="22.5" customHeight="1">
      <c r="A661" s="116"/>
      <c r="C661" s="166"/>
      <c r="D661" s="118" t="str">
        <f>IF(FuturesTrades[Opened] &lt;&gt; "",IF(FuturesTrades[Closed] = "", TODAY(), FuturesTrades[Closed]) - FuturesTrades[Opened], "")</f>
        <v/>
      </c>
      <c r="E661" s="6"/>
      <c r="F661" s="6"/>
      <c r="G661" s="22"/>
      <c r="H661" s="117"/>
      <c r="I661" s="165"/>
      <c r="J661" s="165"/>
      <c r="K661" s="117"/>
      <c r="L661" s="117"/>
      <c r="M661" s="117">
        <f t="shared" si="1"/>
        <v>0</v>
      </c>
    </row>
    <row r="662" ht="22.5" customHeight="1">
      <c r="A662" s="116"/>
      <c r="C662" s="166"/>
      <c r="D662" s="118" t="str">
        <f>IF(FuturesTrades[Opened] &lt;&gt; "",IF(FuturesTrades[Closed] = "", TODAY(), FuturesTrades[Closed]) - FuturesTrades[Opened], "")</f>
        <v/>
      </c>
      <c r="E662" s="6"/>
      <c r="F662" s="6"/>
      <c r="G662" s="22"/>
      <c r="H662" s="117"/>
      <c r="I662" s="165"/>
      <c r="J662" s="165"/>
      <c r="K662" s="117"/>
      <c r="L662" s="117"/>
      <c r="M662" s="117">
        <f t="shared" si="1"/>
        <v>0</v>
      </c>
    </row>
    <row r="663" ht="22.5" customHeight="1">
      <c r="A663" s="116"/>
      <c r="C663" s="166"/>
      <c r="D663" s="118" t="str">
        <f>IF(FuturesTrades[Opened] &lt;&gt; "",IF(FuturesTrades[Closed] = "", TODAY(), FuturesTrades[Closed]) - FuturesTrades[Opened], "")</f>
        <v/>
      </c>
      <c r="E663" s="6"/>
      <c r="F663" s="6"/>
      <c r="G663" s="22"/>
      <c r="H663" s="117"/>
      <c r="I663" s="165"/>
      <c r="J663" s="165"/>
      <c r="K663" s="117"/>
      <c r="L663" s="117"/>
      <c r="M663" s="117">
        <f t="shared" si="1"/>
        <v>0</v>
      </c>
    </row>
    <row r="664" ht="22.5" customHeight="1">
      <c r="A664" s="116"/>
      <c r="C664" s="166"/>
      <c r="D664" s="118" t="str">
        <f>IF(FuturesTrades[Opened] &lt;&gt; "",IF(FuturesTrades[Closed] = "", TODAY(), FuturesTrades[Closed]) - FuturesTrades[Opened], "")</f>
        <v/>
      </c>
      <c r="E664" s="6"/>
      <c r="F664" s="6"/>
      <c r="G664" s="22"/>
      <c r="H664" s="117"/>
      <c r="I664" s="165"/>
      <c r="J664" s="165"/>
      <c r="K664" s="117"/>
      <c r="L664" s="117"/>
      <c r="M664" s="117">
        <f t="shared" si="1"/>
        <v>0</v>
      </c>
    </row>
    <row r="665" ht="22.5" customHeight="1">
      <c r="A665" s="116"/>
      <c r="C665" s="166"/>
      <c r="D665" s="118" t="str">
        <f>IF(FuturesTrades[Opened] &lt;&gt; "",IF(FuturesTrades[Closed] = "", TODAY(), FuturesTrades[Closed]) - FuturesTrades[Opened], "")</f>
        <v/>
      </c>
      <c r="E665" s="6"/>
      <c r="F665" s="6"/>
      <c r="G665" s="22"/>
      <c r="H665" s="117"/>
      <c r="I665" s="165"/>
      <c r="J665" s="165"/>
      <c r="K665" s="117"/>
      <c r="L665" s="117"/>
      <c r="M665" s="117">
        <f t="shared" si="1"/>
        <v>0</v>
      </c>
    </row>
    <row r="666" ht="22.5" customHeight="1">
      <c r="A666" s="116"/>
      <c r="C666" s="166"/>
      <c r="D666" s="118" t="str">
        <f>IF(FuturesTrades[Opened] &lt;&gt; "",IF(FuturesTrades[Closed] = "", TODAY(), FuturesTrades[Closed]) - FuturesTrades[Opened], "")</f>
        <v/>
      </c>
      <c r="E666" s="6"/>
      <c r="F666" s="6"/>
      <c r="G666" s="22"/>
      <c r="H666" s="117"/>
      <c r="I666" s="165"/>
      <c r="J666" s="165"/>
      <c r="K666" s="117"/>
      <c r="L666" s="117"/>
      <c r="M666" s="117">
        <f t="shared" si="1"/>
        <v>0</v>
      </c>
    </row>
    <row r="667" ht="22.5" customHeight="1">
      <c r="A667" s="116"/>
      <c r="C667" s="166"/>
      <c r="D667" s="118" t="str">
        <f>IF(FuturesTrades[Opened] &lt;&gt; "",IF(FuturesTrades[Closed] = "", TODAY(), FuturesTrades[Closed]) - FuturesTrades[Opened], "")</f>
        <v/>
      </c>
      <c r="E667" s="6"/>
      <c r="F667" s="6"/>
      <c r="G667" s="22"/>
      <c r="H667" s="117"/>
      <c r="I667" s="165"/>
      <c r="J667" s="165"/>
      <c r="K667" s="117"/>
      <c r="L667" s="117"/>
      <c r="M667" s="117">
        <f t="shared" si="1"/>
        <v>0</v>
      </c>
    </row>
    <row r="668" ht="22.5" customHeight="1">
      <c r="A668" s="116"/>
      <c r="C668" s="166"/>
      <c r="D668" s="118" t="str">
        <f>IF(FuturesTrades[Opened] &lt;&gt; "",IF(FuturesTrades[Closed] = "", TODAY(), FuturesTrades[Closed]) - FuturesTrades[Opened], "")</f>
        <v/>
      </c>
      <c r="E668" s="6"/>
      <c r="F668" s="6"/>
      <c r="G668" s="22"/>
      <c r="H668" s="117"/>
      <c r="I668" s="165"/>
      <c r="J668" s="165"/>
      <c r="K668" s="117"/>
      <c r="L668" s="117"/>
      <c r="M668" s="117">
        <f t="shared" si="1"/>
        <v>0</v>
      </c>
    </row>
    <row r="669" ht="22.5" customHeight="1">
      <c r="A669" s="116"/>
      <c r="C669" s="166"/>
      <c r="D669" s="118" t="str">
        <f>IF(FuturesTrades[Opened] &lt;&gt; "",IF(FuturesTrades[Closed] = "", TODAY(), FuturesTrades[Closed]) - FuturesTrades[Opened], "")</f>
        <v/>
      </c>
      <c r="E669" s="6"/>
      <c r="F669" s="6"/>
      <c r="G669" s="22"/>
      <c r="H669" s="117"/>
      <c r="I669" s="165"/>
      <c r="J669" s="165"/>
      <c r="K669" s="117"/>
      <c r="L669" s="117"/>
      <c r="M669" s="117">
        <f t="shared" si="1"/>
        <v>0</v>
      </c>
    </row>
    <row r="670" ht="22.5" customHeight="1">
      <c r="A670" s="116"/>
      <c r="C670" s="166"/>
      <c r="D670" s="118" t="str">
        <f>IF(FuturesTrades[Opened] &lt;&gt; "",IF(FuturesTrades[Closed] = "", TODAY(), FuturesTrades[Closed]) - FuturesTrades[Opened], "")</f>
        <v/>
      </c>
      <c r="E670" s="6"/>
      <c r="F670" s="6"/>
      <c r="G670" s="22"/>
      <c r="H670" s="117"/>
      <c r="I670" s="165"/>
      <c r="J670" s="165"/>
      <c r="K670" s="117"/>
      <c r="L670" s="117"/>
      <c r="M670" s="117">
        <f t="shared" si="1"/>
        <v>0</v>
      </c>
    </row>
    <row r="671" ht="22.5" customHeight="1">
      <c r="A671" s="116"/>
      <c r="C671" s="166"/>
      <c r="D671" s="118" t="str">
        <f>IF(FuturesTrades[Opened] &lt;&gt; "",IF(FuturesTrades[Closed] = "", TODAY(), FuturesTrades[Closed]) - FuturesTrades[Opened], "")</f>
        <v/>
      </c>
      <c r="E671" s="6"/>
      <c r="F671" s="6"/>
      <c r="G671" s="22"/>
      <c r="H671" s="117"/>
      <c r="I671" s="165"/>
      <c r="J671" s="165"/>
      <c r="K671" s="117"/>
      <c r="L671" s="117"/>
      <c r="M671" s="117">
        <f t="shared" si="1"/>
        <v>0</v>
      </c>
    </row>
    <row r="672" ht="22.5" customHeight="1">
      <c r="A672" s="116"/>
      <c r="C672" s="166"/>
      <c r="D672" s="118" t="str">
        <f>IF(FuturesTrades[Opened] &lt;&gt; "",IF(FuturesTrades[Closed] = "", TODAY(), FuturesTrades[Closed]) - FuturesTrades[Opened], "")</f>
        <v/>
      </c>
      <c r="E672" s="6"/>
      <c r="F672" s="6"/>
      <c r="G672" s="22"/>
      <c r="H672" s="117"/>
      <c r="I672" s="165"/>
      <c r="J672" s="165"/>
      <c r="K672" s="117"/>
      <c r="L672" s="117"/>
      <c r="M672" s="117">
        <f t="shared" si="1"/>
        <v>0</v>
      </c>
    </row>
    <row r="673" ht="22.5" customHeight="1">
      <c r="A673" s="116"/>
      <c r="C673" s="166"/>
      <c r="D673" s="118" t="str">
        <f>IF(FuturesTrades[Opened] &lt;&gt; "",IF(FuturesTrades[Closed] = "", TODAY(), FuturesTrades[Closed]) - FuturesTrades[Opened], "")</f>
        <v/>
      </c>
      <c r="E673" s="6"/>
      <c r="F673" s="6"/>
      <c r="G673" s="22"/>
      <c r="H673" s="117"/>
      <c r="I673" s="165"/>
      <c r="J673" s="165"/>
      <c r="K673" s="117"/>
      <c r="L673" s="117"/>
      <c r="M673" s="117">
        <f t="shared" si="1"/>
        <v>0</v>
      </c>
    </row>
    <row r="674" ht="22.5" customHeight="1">
      <c r="A674" s="116"/>
      <c r="C674" s="166"/>
      <c r="D674" s="118" t="str">
        <f>IF(FuturesTrades[Opened] &lt;&gt; "",IF(FuturesTrades[Closed] = "", TODAY(), FuturesTrades[Closed]) - FuturesTrades[Opened], "")</f>
        <v/>
      </c>
      <c r="E674" s="6"/>
      <c r="F674" s="6"/>
      <c r="G674" s="22"/>
      <c r="H674" s="117"/>
      <c r="I674" s="165"/>
      <c r="J674" s="165"/>
      <c r="K674" s="117"/>
      <c r="L674" s="117"/>
      <c r="M674" s="117">
        <f t="shared" si="1"/>
        <v>0</v>
      </c>
    </row>
    <row r="675" ht="22.5" customHeight="1">
      <c r="A675" s="116"/>
      <c r="C675" s="166"/>
      <c r="D675" s="118" t="str">
        <f>IF(FuturesTrades[Opened] &lt;&gt; "",IF(FuturesTrades[Closed] = "", TODAY(), FuturesTrades[Closed]) - FuturesTrades[Opened], "")</f>
        <v/>
      </c>
      <c r="E675" s="6"/>
      <c r="F675" s="6"/>
      <c r="G675" s="22"/>
      <c r="H675" s="117"/>
      <c r="I675" s="165"/>
      <c r="J675" s="165"/>
      <c r="K675" s="117"/>
      <c r="L675" s="117"/>
      <c r="M675" s="117">
        <f t="shared" si="1"/>
        <v>0</v>
      </c>
    </row>
    <row r="676" ht="22.5" customHeight="1">
      <c r="A676" s="116"/>
      <c r="C676" s="166"/>
      <c r="D676" s="118" t="str">
        <f>IF(FuturesTrades[Opened] &lt;&gt; "",IF(FuturesTrades[Closed] = "", TODAY(), FuturesTrades[Closed]) - FuturesTrades[Opened], "")</f>
        <v/>
      </c>
      <c r="E676" s="6"/>
      <c r="F676" s="6"/>
      <c r="G676" s="22"/>
      <c r="H676" s="117"/>
      <c r="I676" s="165"/>
      <c r="J676" s="165"/>
      <c r="K676" s="117"/>
      <c r="L676" s="117"/>
      <c r="M676" s="117">
        <f t="shared" si="1"/>
        <v>0</v>
      </c>
    </row>
    <row r="677" ht="22.5" customHeight="1">
      <c r="A677" s="116"/>
      <c r="C677" s="166"/>
      <c r="D677" s="118" t="str">
        <f>IF(FuturesTrades[Opened] &lt;&gt; "",IF(FuturesTrades[Closed] = "", TODAY(), FuturesTrades[Closed]) - FuturesTrades[Opened], "")</f>
        <v/>
      </c>
      <c r="E677" s="6"/>
      <c r="F677" s="6"/>
      <c r="G677" s="22"/>
      <c r="H677" s="117"/>
      <c r="I677" s="165"/>
      <c r="J677" s="165"/>
      <c r="K677" s="117"/>
      <c r="L677" s="117"/>
      <c r="M677" s="117">
        <f t="shared" si="1"/>
        <v>0</v>
      </c>
    </row>
    <row r="678" ht="22.5" customHeight="1">
      <c r="A678" s="116"/>
      <c r="C678" s="166"/>
      <c r="D678" s="118" t="str">
        <f>IF(FuturesTrades[Opened] &lt;&gt; "",IF(FuturesTrades[Closed] = "", TODAY(), FuturesTrades[Closed]) - FuturesTrades[Opened], "")</f>
        <v/>
      </c>
      <c r="E678" s="6"/>
      <c r="F678" s="6"/>
      <c r="G678" s="22"/>
      <c r="H678" s="117"/>
      <c r="I678" s="165"/>
      <c r="J678" s="165"/>
      <c r="K678" s="117"/>
      <c r="L678" s="117"/>
      <c r="M678" s="117">
        <f t="shared" si="1"/>
        <v>0</v>
      </c>
    </row>
    <row r="679" ht="22.5" customHeight="1">
      <c r="A679" s="116"/>
      <c r="C679" s="166"/>
      <c r="D679" s="118" t="str">
        <f>IF(FuturesTrades[Opened] &lt;&gt; "",IF(FuturesTrades[Closed] = "", TODAY(), FuturesTrades[Closed]) - FuturesTrades[Opened], "")</f>
        <v/>
      </c>
      <c r="E679" s="6"/>
      <c r="F679" s="6"/>
      <c r="G679" s="22"/>
      <c r="H679" s="117"/>
      <c r="I679" s="165"/>
      <c r="J679" s="165"/>
      <c r="K679" s="117"/>
      <c r="L679" s="117"/>
      <c r="M679" s="117">
        <f t="shared" si="1"/>
        <v>0</v>
      </c>
    </row>
    <row r="680" ht="22.5" customHeight="1">
      <c r="A680" s="116"/>
      <c r="C680" s="166"/>
      <c r="D680" s="118" t="str">
        <f>IF(FuturesTrades[Opened] &lt;&gt; "",IF(FuturesTrades[Closed] = "", TODAY(), FuturesTrades[Closed]) - FuturesTrades[Opened], "")</f>
        <v/>
      </c>
      <c r="E680" s="6"/>
      <c r="F680" s="6"/>
      <c r="G680" s="22"/>
      <c r="H680" s="117"/>
      <c r="I680" s="165"/>
      <c r="J680" s="165"/>
      <c r="K680" s="117"/>
      <c r="L680" s="117"/>
      <c r="M680" s="117">
        <f t="shared" si="1"/>
        <v>0</v>
      </c>
    </row>
    <row r="681" ht="22.5" customHeight="1">
      <c r="A681" s="116"/>
      <c r="C681" s="166"/>
      <c r="D681" s="118" t="str">
        <f>IF(FuturesTrades[Opened] &lt;&gt; "",IF(FuturesTrades[Closed] = "", TODAY(), FuturesTrades[Closed]) - FuturesTrades[Opened], "")</f>
        <v/>
      </c>
      <c r="E681" s="6"/>
      <c r="F681" s="6"/>
      <c r="G681" s="22"/>
      <c r="H681" s="117"/>
      <c r="I681" s="165"/>
      <c r="J681" s="165"/>
      <c r="K681" s="117"/>
      <c r="L681" s="117"/>
      <c r="M681" s="117">
        <f t="shared" si="1"/>
        <v>0</v>
      </c>
    </row>
    <row r="682" ht="22.5" customHeight="1">
      <c r="A682" s="116"/>
      <c r="C682" s="166"/>
      <c r="D682" s="118" t="str">
        <f>IF(FuturesTrades[Opened] &lt;&gt; "",IF(FuturesTrades[Closed] = "", TODAY(), FuturesTrades[Closed]) - FuturesTrades[Opened], "")</f>
        <v/>
      </c>
      <c r="E682" s="6"/>
      <c r="F682" s="6"/>
      <c r="G682" s="22"/>
      <c r="H682" s="117"/>
      <c r="I682" s="165"/>
      <c r="J682" s="165"/>
      <c r="K682" s="117"/>
      <c r="L682" s="117"/>
      <c r="M682" s="117">
        <f t="shared" si="1"/>
        <v>0</v>
      </c>
    </row>
    <row r="683" ht="22.5" customHeight="1">
      <c r="A683" s="116"/>
      <c r="C683" s="166"/>
      <c r="D683" s="118" t="str">
        <f>IF(FuturesTrades[Opened] &lt;&gt; "",IF(FuturesTrades[Closed] = "", TODAY(), FuturesTrades[Closed]) - FuturesTrades[Opened], "")</f>
        <v/>
      </c>
      <c r="E683" s="6"/>
      <c r="F683" s="6"/>
      <c r="G683" s="22"/>
      <c r="H683" s="117"/>
      <c r="I683" s="165"/>
      <c r="J683" s="165"/>
      <c r="K683" s="117"/>
      <c r="L683" s="117"/>
      <c r="M683" s="117">
        <f t="shared" si="1"/>
        <v>0</v>
      </c>
    </row>
    <row r="684" ht="22.5" customHeight="1">
      <c r="A684" s="116"/>
      <c r="C684" s="166"/>
      <c r="D684" s="118" t="str">
        <f>IF(FuturesTrades[Opened] &lt;&gt; "",IF(FuturesTrades[Closed] = "", TODAY(), FuturesTrades[Closed]) - FuturesTrades[Opened], "")</f>
        <v/>
      </c>
      <c r="E684" s="6"/>
      <c r="F684" s="6"/>
      <c r="G684" s="22"/>
      <c r="H684" s="117"/>
      <c r="I684" s="165"/>
      <c r="J684" s="165"/>
      <c r="K684" s="117"/>
      <c r="L684" s="117"/>
      <c r="M684" s="117">
        <f t="shared" si="1"/>
        <v>0</v>
      </c>
    </row>
    <row r="685" ht="22.5" customHeight="1">
      <c r="A685" s="116"/>
      <c r="C685" s="166"/>
      <c r="D685" s="118" t="str">
        <f>IF(FuturesTrades[Opened] &lt;&gt; "",IF(FuturesTrades[Closed] = "", TODAY(), FuturesTrades[Closed]) - FuturesTrades[Opened], "")</f>
        <v/>
      </c>
      <c r="E685" s="6"/>
      <c r="F685" s="6"/>
      <c r="G685" s="22"/>
      <c r="H685" s="117"/>
      <c r="I685" s="165"/>
      <c r="J685" s="165"/>
      <c r="K685" s="117"/>
      <c r="L685" s="117"/>
      <c r="M685" s="117">
        <f t="shared" si="1"/>
        <v>0</v>
      </c>
    </row>
    <row r="686" ht="22.5" customHeight="1">
      <c r="A686" s="116"/>
      <c r="C686" s="166"/>
      <c r="D686" s="118" t="str">
        <f>IF(FuturesTrades[Opened] &lt;&gt; "",IF(FuturesTrades[Closed] = "", TODAY(), FuturesTrades[Closed]) - FuturesTrades[Opened], "")</f>
        <v/>
      </c>
      <c r="E686" s="6"/>
      <c r="F686" s="6"/>
      <c r="G686" s="22"/>
      <c r="H686" s="117"/>
      <c r="I686" s="165"/>
      <c r="J686" s="165"/>
      <c r="K686" s="117"/>
      <c r="L686" s="117"/>
      <c r="M686" s="117">
        <f t="shared" si="1"/>
        <v>0</v>
      </c>
    </row>
    <row r="687" ht="22.5" customHeight="1">
      <c r="A687" s="116"/>
      <c r="C687" s="166"/>
      <c r="D687" s="118" t="str">
        <f>IF(FuturesTrades[Opened] &lt;&gt; "",IF(FuturesTrades[Closed] = "", TODAY(), FuturesTrades[Closed]) - FuturesTrades[Opened], "")</f>
        <v/>
      </c>
      <c r="E687" s="6"/>
      <c r="F687" s="6"/>
      <c r="G687" s="22"/>
      <c r="H687" s="117"/>
      <c r="I687" s="165"/>
      <c r="J687" s="165"/>
      <c r="K687" s="117"/>
      <c r="L687" s="117"/>
      <c r="M687" s="117">
        <f t="shared" si="1"/>
        <v>0</v>
      </c>
    </row>
    <row r="688" ht="22.5" customHeight="1">
      <c r="A688" s="116"/>
      <c r="C688" s="166"/>
      <c r="D688" s="118" t="str">
        <f>IF(FuturesTrades[Opened] &lt;&gt; "",IF(FuturesTrades[Closed] = "", TODAY(), FuturesTrades[Closed]) - FuturesTrades[Opened], "")</f>
        <v/>
      </c>
      <c r="E688" s="6"/>
      <c r="F688" s="6"/>
      <c r="G688" s="22"/>
      <c r="H688" s="117"/>
      <c r="I688" s="165"/>
      <c r="J688" s="165"/>
      <c r="K688" s="117"/>
      <c r="L688" s="117"/>
      <c r="M688" s="117">
        <f t="shared" si="1"/>
        <v>0</v>
      </c>
    </row>
    <row r="689" ht="22.5" customHeight="1">
      <c r="A689" s="116"/>
      <c r="C689" s="166"/>
      <c r="D689" s="118" t="str">
        <f>IF(FuturesTrades[Opened] &lt;&gt; "",IF(FuturesTrades[Closed] = "", TODAY(), FuturesTrades[Closed]) - FuturesTrades[Opened], "")</f>
        <v/>
      </c>
      <c r="E689" s="6"/>
      <c r="F689" s="6"/>
      <c r="G689" s="22"/>
      <c r="H689" s="117"/>
      <c r="I689" s="165"/>
      <c r="J689" s="165"/>
      <c r="K689" s="117"/>
      <c r="L689" s="117"/>
      <c r="M689" s="117">
        <f t="shared" si="1"/>
        <v>0</v>
      </c>
    </row>
    <row r="690" ht="22.5" customHeight="1">
      <c r="A690" s="116"/>
      <c r="C690" s="166"/>
      <c r="D690" s="118" t="str">
        <f>IF(FuturesTrades[Opened] &lt;&gt; "",IF(FuturesTrades[Closed] = "", TODAY(), FuturesTrades[Closed]) - FuturesTrades[Opened], "")</f>
        <v/>
      </c>
      <c r="E690" s="6"/>
      <c r="F690" s="6"/>
      <c r="G690" s="22"/>
      <c r="H690" s="117"/>
      <c r="I690" s="165"/>
      <c r="J690" s="165"/>
      <c r="K690" s="117"/>
      <c r="L690" s="117"/>
      <c r="M690" s="117">
        <f t="shared" si="1"/>
        <v>0</v>
      </c>
    </row>
    <row r="691" ht="22.5" customHeight="1">
      <c r="A691" s="116"/>
      <c r="C691" s="166"/>
      <c r="D691" s="118" t="str">
        <f>IF(FuturesTrades[Opened] &lt;&gt; "",IF(FuturesTrades[Closed] = "", TODAY(), FuturesTrades[Closed]) - FuturesTrades[Opened], "")</f>
        <v/>
      </c>
      <c r="E691" s="6"/>
      <c r="F691" s="6"/>
      <c r="G691" s="22"/>
      <c r="H691" s="117"/>
      <c r="I691" s="165"/>
      <c r="J691" s="165"/>
      <c r="K691" s="117"/>
      <c r="L691" s="117"/>
      <c r="M691" s="117">
        <f t="shared" si="1"/>
        <v>0</v>
      </c>
    </row>
    <row r="692" ht="22.5" customHeight="1">
      <c r="A692" s="116"/>
      <c r="C692" s="166"/>
      <c r="D692" s="118" t="str">
        <f>IF(FuturesTrades[Opened] &lt;&gt; "",IF(FuturesTrades[Closed] = "", TODAY(), FuturesTrades[Closed]) - FuturesTrades[Opened], "")</f>
        <v/>
      </c>
      <c r="E692" s="6"/>
      <c r="F692" s="6"/>
      <c r="G692" s="22"/>
      <c r="H692" s="117"/>
      <c r="I692" s="165"/>
      <c r="J692" s="165"/>
      <c r="K692" s="117"/>
      <c r="L692" s="117"/>
      <c r="M692" s="117">
        <f t="shared" si="1"/>
        <v>0</v>
      </c>
    </row>
    <row r="693" ht="22.5" customHeight="1">
      <c r="A693" s="116"/>
      <c r="C693" s="166"/>
      <c r="D693" s="118" t="str">
        <f>IF(FuturesTrades[Opened] &lt;&gt; "",IF(FuturesTrades[Closed] = "", TODAY(), FuturesTrades[Closed]) - FuturesTrades[Opened], "")</f>
        <v/>
      </c>
      <c r="E693" s="6"/>
      <c r="F693" s="6"/>
      <c r="G693" s="22"/>
      <c r="H693" s="117"/>
      <c r="I693" s="165"/>
      <c r="J693" s="165"/>
      <c r="K693" s="117"/>
      <c r="L693" s="117"/>
      <c r="M693" s="117">
        <f t="shared" si="1"/>
        <v>0</v>
      </c>
    </row>
    <row r="694" ht="22.5" customHeight="1">
      <c r="A694" s="116"/>
      <c r="C694" s="166"/>
      <c r="D694" s="118" t="str">
        <f>IF(FuturesTrades[Opened] &lt;&gt; "",IF(FuturesTrades[Closed] = "", TODAY(), FuturesTrades[Closed]) - FuturesTrades[Opened], "")</f>
        <v/>
      </c>
      <c r="E694" s="6"/>
      <c r="F694" s="6"/>
      <c r="G694" s="22"/>
      <c r="H694" s="117"/>
      <c r="I694" s="165"/>
      <c r="J694" s="165"/>
      <c r="K694" s="117"/>
      <c r="L694" s="117"/>
      <c r="M694" s="117">
        <f t="shared" si="1"/>
        <v>0</v>
      </c>
    </row>
    <row r="695" ht="22.5" customHeight="1">
      <c r="A695" s="116"/>
      <c r="C695" s="166"/>
      <c r="D695" s="118" t="str">
        <f>IF(FuturesTrades[Opened] &lt;&gt; "",IF(FuturesTrades[Closed] = "", TODAY(), FuturesTrades[Closed]) - FuturesTrades[Opened], "")</f>
        <v/>
      </c>
      <c r="E695" s="6"/>
      <c r="F695" s="6"/>
      <c r="G695" s="22"/>
      <c r="H695" s="117"/>
      <c r="I695" s="165"/>
      <c r="J695" s="165"/>
      <c r="K695" s="117"/>
      <c r="L695" s="117"/>
      <c r="M695" s="117">
        <f t="shared" si="1"/>
        <v>0</v>
      </c>
    </row>
    <row r="696" ht="22.5" customHeight="1">
      <c r="A696" s="116"/>
      <c r="C696" s="166"/>
      <c r="D696" s="118" t="str">
        <f>IF(FuturesTrades[Opened] &lt;&gt; "",IF(FuturesTrades[Closed] = "", TODAY(), FuturesTrades[Closed]) - FuturesTrades[Opened], "")</f>
        <v/>
      </c>
      <c r="E696" s="6"/>
      <c r="F696" s="6"/>
      <c r="G696" s="22"/>
      <c r="H696" s="117"/>
      <c r="I696" s="165"/>
      <c r="J696" s="165"/>
      <c r="K696" s="117"/>
      <c r="L696" s="117"/>
      <c r="M696" s="117">
        <f t="shared" si="1"/>
        <v>0</v>
      </c>
    </row>
    <row r="697" ht="22.5" customHeight="1">
      <c r="A697" s="116"/>
      <c r="C697" s="166"/>
      <c r="D697" s="118" t="str">
        <f>IF(FuturesTrades[Opened] &lt;&gt; "",IF(FuturesTrades[Closed] = "", TODAY(), FuturesTrades[Closed]) - FuturesTrades[Opened], "")</f>
        <v/>
      </c>
      <c r="E697" s="6"/>
      <c r="F697" s="6"/>
      <c r="G697" s="22"/>
      <c r="H697" s="117"/>
      <c r="I697" s="165"/>
      <c r="J697" s="165"/>
      <c r="K697" s="117"/>
      <c r="L697" s="117"/>
      <c r="M697" s="117">
        <f t="shared" si="1"/>
        <v>0</v>
      </c>
    </row>
    <row r="698" ht="22.5" customHeight="1">
      <c r="A698" s="116"/>
      <c r="C698" s="166"/>
      <c r="D698" s="118" t="str">
        <f>IF(FuturesTrades[Opened] &lt;&gt; "",IF(FuturesTrades[Closed] = "", TODAY(), FuturesTrades[Closed]) - FuturesTrades[Opened], "")</f>
        <v/>
      </c>
      <c r="E698" s="6"/>
      <c r="F698" s="6"/>
      <c r="G698" s="22"/>
      <c r="H698" s="117"/>
      <c r="I698" s="165"/>
      <c r="J698" s="165"/>
      <c r="K698" s="117"/>
      <c r="L698" s="117"/>
      <c r="M698" s="117">
        <f t="shared" si="1"/>
        <v>0</v>
      </c>
    </row>
    <row r="699" ht="22.5" customHeight="1">
      <c r="A699" s="116"/>
      <c r="C699" s="166"/>
      <c r="D699" s="118" t="str">
        <f>IF(FuturesTrades[Opened] &lt;&gt; "",IF(FuturesTrades[Closed] = "", TODAY(), FuturesTrades[Closed]) - FuturesTrades[Opened], "")</f>
        <v/>
      </c>
      <c r="E699" s="6"/>
      <c r="F699" s="6"/>
      <c r="G699" s="22"/>
      <c r="H699" s="117"/>
      <c r="I699" s="165"/>
      <c r="J699" s="165"/>
      <c r="K699" s="117"/>
      <c r="L699" s="117"/>
      <c r="M699" s="117">
        <f t="shared" si="1"/>
        <v>0</v>
      </c>
    </row>
    <row r="700" ht="22.5" customHeight="1">
      <c r="A700" s="116"/>
      <c r="C700" s="166"/>
      <c r="D700" s="118" t="str">
        <f>IF(FuturesTrades[Opened] &lt;&gt; "",IF(FuturesTrades[Closed] = "", TODAY(), FuturesTrades[Closed]) - FuturesTrades[Opened], "")</f>
        <v/>
      </c>
      <c r="E700" s="6"/>
      <c r="F700" s="6"/>
      <c r="G700" s="22"/>
      <c r="H700" s="117"/>
      <c r="I700" s="165"/>
      <c r="J700" s="165"/>
      <c r="K700" s="117"/>
      <c r="L700" s="117"/>
      <c r="M700" s="117">
        <f t="shared" si="1"/>
        <v>0</v>
      </c>
    </row>
    <row r="701" ht="22.5" customHeight="1">
      <c r="A701" s="116"/>
      <c r="C701" s="166"/>
      <c r="D701" s="118" t="str">
        <f>IF(FuturesTrades[Opened] &lt;&gt; "",IF(FuturesTrades[Closed] = "", TODAY(), FuturesTrades[Closed]) - FuturesTrades[Opened], "")</f>
        <v/>
      </c>
      <c r="E701" s="6"/>
      <c r="F701" s="6"/>
      <c r="G701" s="22"/>
      <c r="H701" s="117"/>
      <c r="I701" s="165"/>
      <c r="J701" s="165"/>
      <c r="K701" s="117"/>
      <c r="L701" s="117"/>
      <c r="M701" s="117">
        <f t="shared" si="1"/>
        <v>0</v>
      </c>
    </row>
    <row r="702" ht="22.5" customHeight="1">
      <c r="A702" s="116"/>
      <c r="C702" s="166"/>
      <c r="D702" s="118" t="str">
        <f>IF(FuturesTrades[Opened] &lt;&gt; "",IF(FuturesTrades[Closed] = "", TODAY(), FuturesTrades[Closed]) - FuturesTrades[Opened], "")</f>
        <v/>
      </c>
      <c r="E702" s="6"/>
      <c r="F702" s="6"/>
      <c r="G702" s="22"/>
      <c r="H702" s="117"/>
      <c r="I702" s="165"/>
      <c r="J702" s="165"/>
      <c r="K702" s="117"/>
      <c r="L702" s="117"/>
      <c r="M702" s="117">
        <f t="shared" si="1"/>
        <v>0</v>
      </c>
    </row>
    <row r="703" ht="22.5" customHeight="1">
      <c r="A703" s="116"/>
      <c r="C703" s="166"/>
      <c r="D703" s="118" t="str">
        <f>IF(FuturesTrades[Opened] &lt;&gt; "",IF(FuturesTrades[Closed] = "", TODAY(), FuturesTrades[Closed]) - FuturesTrades[Opened], "")</f>
        <v/>
      </c>
      <c r="E703" s="6"/>
      <c r="F703" s="6"/>
      <c r="G703" s="22"/>
      <c r="H703" s="117"/>
      <c r="I703" s="165"/>
      <c r="J703" s="165"/>
      <c r="K703" s="117"/>
      <c r="L703" s="117"/>
      <c r="M703" s="117">
        <f t="shared" si="1"/>
        <v>0</v>
      </c>
    </row>
    <row r="704" ht="22.5" customHeight="1">
      <c r="A704" s="116"/>
      <c r="C704" s="166"/>
      <c r="D704" s="118" t="str">
        <f>IF(FuturesTrades[Opened] &lt;&gt; "",IF(FuturesTrades[Closed] = "", TODAY(), FuturesTrades[Closed]) - FuturesTrades[Opened], "")</f>
        <v/>
      </c>
      <c r="E704" s="6"/>
      <c r="F704" s="6"/>
      <c r="G704" s="22"/>
      <c r="H704" s="117"/>
      <c r="I704" s="165"/>
      <c r="J704" s="165"/>
      <c r="K704" s="117"/>
      <c r="L704" s="117"/>
      <c r="M704" s="117">
        <f t="shared" si="1"/>
        <v>0</v>
      </c>
    </row>
    <row r="705" ht="22.5" customHeight="1">
      <c r="A705" s="116"/>
      <c r="C705" s="166"/>
      <c r="D705" s="118" t="str">
        <f>IF(FuturesTrades[Opened] &lt;&gt; "",IF(FuturesTrades[Closed] = "", TODAY(), FuturesTrades[Closed]) - FuturesTrades[Opened], "")</f>
        <v/>
      </c>
      <c r="E705" s="6"/>
      <c r="F705" s="6"/>
      <c r="G705" s="22"/>
      <c r="H705" s="117"/>
      <c r="I705" s="165"/>
      <c r="J705" s="165"/>
      <c r="K705" s="117"/>
      <c r="L705" s="117"/>
      <c r="M705" s="117">
        <f t="shared" si="1"/>
        <v>0</v>
      </c>
    </row>
    <row r="706" ht="22.5" customHeight="1">
      <c r="A706" s="116"/>
      <c r="C706" s="166"/>
      <c r="D706" s="118" t="str">
        <f>IF(FuturesTrades[Opened] &lt;&gt; "",IF(FuturesTrades[Closed] = "", TODAY(), FuturesTrades[Closed]) - FuturesTrades[Opened], "")</f>
        <v/>
      </c>
      <c r="E706" s="6"/>
      <c r="F706" s="6"/>
      <c r="G706" s="22"/>
      <c r="H706" s="117"/>
      <c r="I706" s="165"/>
      <c r="J706" s="165"/>
      <c r="K706" s="117"/>
      <c r="L706" s="117"/>
      <c r="M706" s="117">
        <f t="shared" si="1"/>
        <v>0</v>
      </c>
    </row>
    <row r="707" ht="22.5" customHeight="1">
      <c r="A707" s="116"/>
      <c r="C707" s="166"/>
      <c r="D707" s="118" t="str">
        <f>IF(FuturesTrades[Opened] &lt;&gt; "",IF(FuturesTrades[Closed] = "", TODAY(), FuturesTrades[Closed]) - FuturesTrades[Opened], "")</f>
        <v/>
      </c>
      <c r="E707" s="6"/>
      <c r="F707" s="6"/>
      <c r="G707" s="22"/>
      <c r="H707" s="117"/>
      <c r="I707" s="165"/>
      <c r="J707" s="165"/>
      <c r="K707" s="117"/>
      <c r="L707" s="117"/>
      <c r="M707" s="117">
        <f t="shared" si="1"/>
        <v>0</v>
      </c>
    </row>
    <row r="708" ht="22.5" customHeight="1">
      <c r="A708" s="116"/>
      <c r="C708" s="166"/>
      <c r="D708" s="118" t="str">
        <f>IF(FuturesTrades[Opened] &lt;&gt; "",IF(FuturesTrades[Closed] = "", TODAY(), FuturesTrades[Closed]) - FuturesTrades[Opened], "")</f>
        <v/>
      </c>
      <c r="E708" s="6"/>
      <c r="F708" s="6"/>
      <c r="G708" s="22"/>
      <c r="H708" s="117"/>
      <c r="I708" s="165"/>
      <c r="J708" s="165"/>
      <c r="K708" s="117"/>
      <c r="L708" s="117"/>
      <c r="M708" s="117">
        <f t="shared" si="1"/>
        <v>0</v>
      </c>
    </row>
    <row r="709" ht="22.5" customHeight="1">
      <c r="A709" s="116"/>
      <c r="C709" s="166"/>
      <c r="D709" s="118" t="str">
        <f>IF(FuturesTrades[Opened] &lt;&gt; "",IF(FuturesTrades[Closed] = "", TODAY(), FuturesTrades[Closed]) - FuturesTrades[Opened], "")</f>
        <v/>
      </c>
      <c r="E709" s="6"/>
      <c r="F709" s="6"/>
      <c r="G709" s="22"/>
      <c r="H709" s="117"/>
      <c r="I709" s="165"/>
      <c r="J709" s="165"/>
      <c r="K709" s="117"/>
      <c r="L709" s="117"/>
      <c r="M709" s="117">
        <f t="shared" si="1"/>
        <v>0</v>
      </c>
    </row>
    <row r="710" ht="22.5" customHeight="1">
      <c r="A710" s="116"/>
      <c r="C710" s="166"/>
      <c r="D710" s="118" t="str">
        <f>IF(FuturesTrades[Opened] &lt;&gt; "",IF(FuturesTrades[Closed] = "", TODAY(), FuturesTrades[Closed]) - FuturesTrades[Opened], "")</f>
        <v/>
      </c>
      <c r="E710" s="6"/>
      <c r="F710" s="6"/>
      <c r="G710" s="22"/>
      <c r="H710" s="117"/>
      <c r="I710" s="165"/>
      <c r="J710" s="165"/>
      <c r="K710" s="117"/>
      <c r="L710" s="117"/>
      <c r="M710" s="117">
        <f t="shared" si="1"/>
        <v>0</v>
      </c>
    </row>
    <row r="711" ht="22.5" customHeight="1">
      <c r="A711" s="116"/>
      <c r="C711" s="166"/>
      <c r="D711" s="118" t="str">
        <f>IF(FuturesTrades[Opened] &lt;&gt; "",IF(FuturesTrades[Closed] = "", TODAY(), FuturesTrades[Closed]) - FuturesTrades[Opened], "")</f>
        <v/>
      </c>
      <c r="E711" s="6"/>
      <c r="F711" s="6"/>
      <c r="G711" s="22"/>
      <c r="H711" s="117"/>
      <c r="I711" s="165"/>
      <c r="J711" s="165"/>
      <c r="K711" s="117"/>
      <c r="L711" s="117"/>
      <c r="M711" s="117">
        <f t="shared" si="1"/>
        <v>0</v>
      </c>
    </row>
    <row r="712" ht="22.5" customHeight="1">
      <c r="A712" s="116"/>
      <c r="C712" s="166"/>
      <c r="D712" s="118" t="str">
        <f>IF(FuturesTrades[Opened] &lt;&gt; "",IF(FuturesTrades[Closed] = "", TODAY(), FuturesTrades[Closed]) - FuturesTrades[Opened], "")</f>
        <v/>
      </c>
      <c r="E712" s="6"/>
      <c r="F712" s="6"/>
      <c r="G712" s="22"/>
      <c r="H712" s="117"/>
      <c r="I712" s="165"/>
      <c r="J712" s="165"/>
      <c r="K712" s="117"/>
      <c r="L712" s="117"/>
      <c r="M712" s="117">
        <f t="shared" si="1"/>
        <v>0</v>
      </c>
    </row>
    <row r="713" ht="22.5" customHeight="1">
      <c r="A713" s="116"/>
      <c r="C713" s="166"/>
      <c r="D713" s="118" t="str">
        <f>IF(FuturesTrades[Opened] &lt;&gt; "",IF(FuturesTrades[Closed] = "", TODAY(), FuturesTrades[Closed]) - FuturesTrades[Opened], "")</f>
        <v/>
      </c>
      <c r="E713" s="6"/>
      <c r="F713" s="6"/>
      <c r="G713" s="22"/>
      <c r="H713" s="117"/>
      <c r="I713" s="165"/>
      <c r="J713" s="165"/>
      <c r="K713" s="117"/>
      <c r="L713" s="117"/>
      <c r="M713" s="117">
        <f t="shared" si="1"/>
        <v>0</v>
      </c>
    </row>
    <row r="714" ht="22.5" customHeight="1">
      <c r="A714" s="116"/>
      <c r="C714" s="166"/>
      <c r="D714" s="118" t="str">
        <f>IF(FuturesTrades[Opened] &lt;&gt; "",IF(FuturesTrades[Closed] = "", TODAY(), FuturesTrades[Closed]) - FuturesTrades[Opened], "")</f>
        <v/>
      </c>
      <c r="E714" s="6"/>
      <c r="F714" s="6"/>
      <c r="G714" s="22"/>
      <c r="H714" s="117"/>
      <c r="I714" s="165"/>
      <c r="J714" s="165"/>
      <c r="K714" s="117"/>
      <c r="L714" s="117"/>
      <c r="M714" s="117">
        <f t="shared" si="1"/>
        <v>0</v>
      </c>
    </row>
    <row r="715" ht="22.5" customHeight="1">
      <c r="A715" s="116"/>
      <c r="C715" s="166"/>
      <c r="D715" s="118" t="str">
        <f>IF(FuturesTrades[Opened] &lt;&gt; "",IF(FuturesTrades[Closed] = "", TODAY(), FuturesTrades[Closed]) - FuturesTrades[Opened], "")</f>
        <v/>
      </c>
      <c r="E715" s="6"/>
      <c r="F715" s="6"/>
      <c r="G715" s="22"/>
      <c r="H715" s="117"/>
      <c r="I715" s="165"/>
      <c r="J715" s="165"/>
      <c r="K715" s="117"/>
      <c r="L715" s="117"/>
      <c r="M715" s="117">
        <f t="shared" si="1"/>
        <v>0</v>
      </c>
    </row>
    <row r="716" ht="22.5" customHeight="1">
      <c r="A716" s="116"/>
      <c r="C716" s="166"/>
      <c r="D716" s="118" t="str">
        <f>IF(FuturesTrades[Opened] &lt;&gt; "",IF(FuturesTrades[Closed] = "", TODAY(), FuturesTrades[Closed]) - FuturesTrades[Opened], "")</f>
        <v/>
      </c>
      <c r="E716" s="6"/>
      <c r="F716" s="6"/>
      <c r="G716" s="22"/>
      <c r="H716" s="117"/>
      <c r="I716" s="165"/>
      <c r="J716" s="165"/>
      <c r="K716" s="117"/>
      <c r="L716" s="117"/>
      <c r="M716" s="117">
        <f t="shared" si="1"/>
        <v>0</v>
      </c>
    </row>
    <row r="717" ht="22.5" customHeight="1">
      <c r="A717" s="116"/>
      <c r="C717" s="166"/>
      <c r="D717" s="118" t="str">
        <f>IF(FuturesTrades[Opened] &lt;&gt; "",IF(FuturesTrades[Closed] = "", TODAY(), FuturesTrades[Closed]) - FuturesTrades[Opened], "")</f>
        <v/>
      </c>
      <c r="E717" s="6"/>
      <c r="F717" s="6"/>
      <c r="G717" s="22"/>
      <c r="H717" s="117"/>
      <c r="I717" s="165"/>
      <c r="J717" s="165"/>
      <c r="K717" s="117"/>
      <c r="L717" s="117"/>
      <c r="M717" s="117">
        <f t="shared" si="1"/>
        <v>0</v>
      </c>
    </row>
    <row r="718" ht="22.5" customHeight="1">
      <c r="A718" s="116"/>
      <c r="C718" s="166"/>
      <c r="D718" s="118" t="str">
        <f>IF(FuturesTrades[Opened] &lt;&gt; "",IF(FuturesTrades[Closed] = "", TODAY(), FuturesTrades[Closed]) - FuturesTrades[Opened], "")</f>
        <v/>
      </c>
      <c r="E718" s="6"/>
      <c r="F718" s="6"/>
      <c r="G718" s="22"/>
      <c r="H718" s="117"/>
      <c r="I718" s="165"/>
      <c r="J718" s="165"/>
      <c r="K718" s="117"/>
      <c r="L718" s="117"/>
      <c r="M718" s="117">
        <f t="shared" si="1"/>
        <v>0</v>
      </c>
    </row>
    <row r="719" ht="22.5" customHeight="1">
      <c r="A719" s="116"/>
      <c r="C719" s="166"/>
      <c r="D719" s="118" t="str">
        <f>IF(FuturesTrades[Opened] &lt;&gt; "",IF(FuturesTrades[Closed] = "", TODAY(), FuturesTrades[Closed]) - FuturesTrades[Opened], "")</f>
        <v/>
      </c>
      <c r="E719" s="6"/>
      <c r="F719" s="6"/>
      <c r="G719" s="22"/>
      <c r="H719" s="117"/>
      <c r="I719" s="165"/>
      <c r="J719" s="165"/>
      <c r="K719" s="117"/>
      <c r="L719" s="117"/>
      <c r="M719" s="117">
        <f t="shared" si="1"/>
        <v>0</v>
      </c>
    </row>
    <row r="720" ht="22.5" customHeight="1">
      <c r="A720" s="116"/>
      <c r="C720" s="166"/>
      <c r="D720" s="118" t="str">
        <f>IF(FuturesTrades[Opened] &lt;&gt; "",IF(FuturesTrades[Closed] = "", TODAY(), FuturesTrades[Closed]) - FuturesTrades[Opened], "")</f>
        <v/>
      </c>
      <c r="E720" s="6"/>
      <c r="F720" s="6"/>
      <c r="G720" s="22"/>
      <c r="H720" s="117"/>
      <c r="I720" s="165"/>
      <c r="J720" s="165"/>
      <c r="K720" s="117"/>
      <c r="L720" s="117"/>
      <c r="M720" s="117">
        <f t="shared" si="1"/>
        <v>0</v>
      </c>
    </row>
    <row r="721" ht="22.5" customHeight="1">
      <c r="A721" s="116"/>
      <c r="C721" s="166"/>
      <c r="D721" s="118" t="str">
        <f>IF(FuturesTrades[Opened] &lt;&gt; "",IF(FuturesTrades[Closed] = "", TODAY(), FuturesTrades[Closed]) - FuturesTrades[Opened], "")</f>
        <v/>
      </c>
      <c r="E721" s="6"/>
      <c r="F721" s="6"/>
      <c r="G721" s="22"/>
      <c r="H721" s="117"/>
      <c r="I721" s="165"/>
      <c r="J721" s="165"/>
      <c r="K721" s="117"/>
      <c r="L721" s="117"/>
      <c r="M721" s="117">
        <f t="shared" si="1"/>
        <v>0</v>
      </c>
    </row>
    <row r="722" ht="22.5" customHeight="1">
      <c r="A722" s="116"/>
      <c r="C722" s="166"/>
      <c r="D722" s="118" t="str">
        <f>IF(FuturesTrades[Opened] &lt;&gt; "",IF(FuturesTrades[Closed] = "", TODAY(), FuturesTrades[Closed]) - FuturesTrades[Opened], "")</f>
        <v/>
      </c>
      <c r="E722" s="6"/>
      <c r="F722" s="6"/>
      <c r="G722" s="22"/>
      <c r="H722" s="117"/>
      <c r="I722" s="165"/>
      <c r="J722" s="165"/>
      <c r="K722" s="117"/>
      <c r="L722" s="117"/>
      <c r="M722" s="117">
        <f t="shared" si="1"/>
        <v>0</v>
      </c>
    </row>
    <row r="723" ht="22.5" customHeight="1">
      <c r="A723" s="116"/>
      <c r="C723" s="166"/>
      <c r="D723" s="118" t="str">
        <f>IF(FuturesTrades[Opened] &lt;&gt; "",IF(FuturesTrades[Closed] = "", TODAY(), FuturesTrades[Closed]) - FuturesTrades[Opened], "")</f>
        <v/>
      </c>
      <c r="E723" s="6"/>
      <c r="F723" s="6"/>
      <c r="G723" s="22"/>
      <c r="H723" s="117"/>
      <c r="I723" s="165"/>
      <c r="J723" s="165"/>
      <c r="K723" s="117"/>
      <c r="L723" s="117"/>
      <c r="M723" s="117">
        <f t="shared" si="1"/>
        <v>0</v>
      </c>
    </row>
    <row r="724" ht="22.5" customHeight="1">
      <c r="A724" s="116"/>
      <c r="C724" s="166"/>
      <c r="D724" s="118" t="str">
        <f>IF(FuturesTrades[Opened] &lt;&gt; "",IF(FuturesTrades[Closed] = "", TODAY(), FuturesTrades[Closed]) - FuturesTrades[Opened], "")</f>
        <v/>
      </c>
      <c r="E724" s="6"/>
      <c r="F724" s="6"/>
      <c r="G724" s="22"/>
      <c r="H724" s="117"/>
      <c r="I724" s="165"/>
      <c r="J724" s="165"/>
      <c r="K724" s="117"/>
      <c r="L724" s="117"/>
      <c r="M724" s="117">
        <f t="shared" si="1"/>
        <v>0</v>
      </c>
    </row>
    <row r="725" ht="22.5" customHeight="1">
      <c r="A725" s="116"/>
      <c r="C725" s="166"/>
      <c r="D725" s="118" t="str">
        <f>IF(FuturesTrades[Opened] &lt;&gt; "",IF(FuturesTrades[Closed] = "", TODAY(), FuturesTrades[Closed]) - FuturesTrades[Opened], "")</f>
        <v/>
      </c>
      <c r="E725" s="6"/>
      <c r="F725" s="6"/>
      <c r="G725" s="22"/>
      <c r="H725" s="117"/>
      <c r="I725" s="165"/>
      <c r="J725" s="165"/>
      <c r="K725" s="117"/>
      <c r="L725" s="117"/>
      <c r="M725" s="117">
        <f t="shared" si="1"/>
        <v>0</v>
      </c>
    </row>
    <row r="726" ht="22.5" customHeight="1">
      <c r="A726" s="116"/>
      <c r="C726" s="166"/>
      <c r="D726" s="118" t="str">
        <f>IF(FuturesTrades[Opened] &lt;&gt; "",IF(FuturesTrades[Closed] = "", TODAY(), FuturesTrades[Closed]) - FuturesTrades[Opened], "")</f>
        <v/>
      </c>
      <c r="E726" s="6"/>
      <c r="F726" s="6"/>
      <c r="G726" s="22"/>
      <c r="H726" s="117"/>
      <c r="I726" s="165"/>
      <c r="J726" s="165"/>
      <c r="K726" s="117"/>
      <c r="L726" s="117"/>
      <c r="M726" s="117">
        <f t="shared" si="1"/>
        <v>0</v>
      </c>
    </row>
    <row r="727" ht="22.5" customHeight="1">
      <c r="A727" s="116"/>
      <c r="C727" s="166"/>
      <c r="D727" s="118" t="str">
        <f>IF(FuturesTrades[Opened] &lt;&gt; "",IF(FuturesTrades[Closed] = "", TODAY(), FuturesTrades[Closed]) - FuturesTrades[Opened], "")</f>
        <v/>
      </c>
      <c r="E727" s="6"/>
      <c r="F727" s="6"/>
      <c r="G727" s="22"/>
      <c r="H727" s="117"/>
      <c r="I727" s="165"/>
      <c r="J727" s="165"/>
      <c r="K727" s="117"/>
      <c r="L727" s="117"/>
      <c r="M727" s="117">
        <f t="shared" si="1"/>
        <v>0</v>
      </c>
    </row>
    <row r="728" ht="22.5" customHeight="1">
      <c r="A728" s="116"/>
      <c r="C728" s="166"/>
      <c r="D728" s="118" t="str">
        <f>IF(FuturesTrades[Opened] &lt;&gt; "",IF(FuturesTrades[Closed] = "", TODAY(), FuturesTrades[Closed]) - FuturesTrades[Opened], "")</f>
        <v/>
      </c>
      <c r="E728" s="6"/>
      <c r="F728" s="6"/>
      <c r="G728" s="22"/>
      <c r="H728" s="117"/>
      <c r="I728" s="165"/>
      <c r="J728" s="165"/>
      <c r="K728" s="117"/>
      <c r="L728" s="117"/>
      <c r="M728" s="117">
        <f t="shared" si="1"/>
        <v>0</v>
      </c>
    </row>
    <row r="729" ht="22.5" customHeight="1">
      <c r="A729" s="116"/>
      <c r="C729" s="166"/>
      <c r="D729" s="118" t="str">
        <f>IF(FuturesTrades[Opened] &lt;&gt; "",IF(FuturesTrades[Closed] = "", TODAY(), FuturesTrades[Closed]) - FuturesTrades[Opened], "")</f>
        <v/>
      </c>
      <c r="E729" s="6"/>
      <c r="F729" s="6"/>
      <c r="G729" s="22"/>
      <c r="H729" s="117"/>
      <c r="I729" s="165"/>
      <c r="J729" s="165"/>
      <c r="K729" s="117"/>
      <c r="L729" s="117"/>
      <c r="M729" s="117">
        <f t="shared" si="1"/>
        <v>0</v>
      </c>
    </row>
    <row r="730" ht="22.5" customHeight="1">
      <c r="A730" s="116"/>
      <c r="C730" s="166"/>
      <c r="D730" s="118" t="str">
        <f>IF(FuturesTrades[Opened] &lt;&gt; "",IF(FuturesTrades[Closed] = "", TODAY(), FuturesTrades[Closed]) - FuturesTrades[Opened], "")</f>
        <v/>
      </c>
      <c r="E730" s="6"/>
      <c r="F730" s="6"/>
      <c r="G730" s="22"/>
      <c r="H730" s="117"/>
      <c r="I730" s="165"/>
      <c r="J730" s="165"/>
      <c r="K730" s="117"/>
      <c r="L730" s="117"/>
      <c r="M730" s="117">
        <f t="shared" si="1"/>
        <v>0</v>
      </c>
    </row>
    <row r="731" ht="22.5" customHeight="1">
      <c r="A731" s="116"/>
      <c r="C731" s="166"/>
      <c r="D731" s="118" t="str">
        <f>IF(FuturesTrades[Opened] &lt;&gt; "",IF(FuturesTrades[Closed] = "", TODAY(), FuturesTrades[Closed]) - FuturesTrades[Opened], "")</f>
        <v/>
      </c>
      <c r="E731" s="6"/>
      <c r="F731" s="6"/>
      <c r="G731" s="22"/>
      <c r="H731" s="117"/>
      <c r="I731" s="165"/>
      <c r="J731" s="165"/>
      <c r="K731" s="117"/>
      <c r="L731" s="117"/>
      <c r="M731" s="117">
        <f t="shared" si="1"/>
        <v>0</v>
      </c>
    </row>
    <row r="732" ht="22.5" customHeight="1">
      <c r="A732" s="116"/>
      <c r="C732" s="166"/>
      <c r="D732" s="118" t="str">
        <f>IF(FuturesTrades[Opened] &lt;&gt; "",IF(FuturesTrades[Closed] = "", TODAY(), FuturesTrades[Closed]) - FuturesTrades[Opened], "")</f>
        <v/>
      </c>
      <c r="E732" s="6"/>
      <c r="F732" s="6"/>
      <c r="G732" s="22"/>
      <c r="H732" s="117"/>
      <c r="I732" s="165"/>
      <c r="J732" s="165"/>
      <c r="K732" s="117"/>
      <c r="L732" s="117"/>
      <c r="M732" s="117">
        <f t="shared" si="1"/>
        <v>0</v>
      </c>
    </row>
    <row r="733" ht="22.5" customHeight="1">
      <c r="A733" s="116"/>
      <c r="C733" s="166"/>
      <c r="D733" s="118" t="str">
        <f>IF(FuturesTrades[Opened] &lt;&gt; "",IF(FuturesTrades[Closed] = "", TODAY(), FuturesTrades[Closed]) - FuturesTrades[Opened], "")</f>
        <v/>
      </c>
      <c r="E733" s="6"/>
      <c r="F733" s="6"/>
      <c r="G733" s="22"/>
      <c r="H733" s="117"/>
      <c r="I733" s="165"/>
      <c r="J733" s="165"/>
      <c r="K733" s="117"/>
      <c r="L733" s="117"/>
      <c r="M733" s="117">
        <f t="shared" si="1"/>
        <v>0</v>
      </c>
    </row>
    <row r="734" ht="22.5" customHeight="1">
      <c r="A734" s="116"/>
      <c r="C734" s="166"/>
      <c r="D734" s="118" t="str">
        <f>IF(FuturesTrades[Opened] &lt;&gt; "",IF(FuturesTrades[Closed] = "", TODAY(), FuturesTrades[Closed]) - FuturesTrades[Opened], "")</f>
        <v/>
      </c>
      <c r="E734" s="6"/>
      <c r="F734" s="6"/>
      <c r="G734" s="22"/>
      <c r="H734" s="117"/>
      <c r="I734" s="165"/>
      <c r="J734" s="165"/>
      <c r="K734" s="117"/>
      <c r="L734" s="117"/>
      <c r="M734" s="117">
        <f t="shared" si="1"/>
        <v>0</v>
      </c>
    </row>
    <row r="735" ht="22.5" customHeight="1">
      <c r="A735" s="116"/>
      <c r="C735" s="166"/>
      <c r="D735" s="118" t="str">
        <f>IF(FuturesTrades[Opened] &lt;&gt; "",IF(FuturesTrades[Closed] = "", TODAY(), FuturesTrades[Closed]) - FuturesTrades[Opened], "")</f>
        <v/>
      </c>
      <c r="E735" s="6"/>
      <c r="F735" s="6"/>
      <c r="G735" s="22"/>
      <c r="H735" s="117"/>
      <c r="I735" s="165"/>
      <c r="J735" s="165"/>
      <c r="K735" s="117"/>
      <c r="L735" s="117"/>
      <c r="M735" s="117">
        <f t="shared" si="1"/>
        <v>0</v>
      </c>
    </row>
    <row r="736" ht="22.5" customHeight="1">
      <c r="A736" s="116"/>
      <c r="C736" s="166"/>
      <c r="D736" s="118" t="str">
        <f>IF(FuturesTrades[Opened] &lt;&gt; "",IF(FuturesTrades[Closed] = "", TODAY(), FuturesTrades[Closed]) - FuturesTrades[Opened], "")</f>
        <v/>
      </c>
      <c r="E736" s="6"/>
      <c r="F736" s="6"/>
      <c r="G736" s="22"/>
      <c r="H736" s="117"/>
      <c r="I736" s="165"/>
      <c r="J736" s="165"/>
      <c r="K736" s="117"/>
      <c r="L736" s="117"/>
      <c r="M736" s="117">
        <f t="shared" si="1"/>
        <v>0</v>
      </c>
    </row>
    <row r="737" ht="22.5" customHeight="1">
      <c r="A737" s="116"/>
      <c r="C737" s="166"/>
      <c r="D737" s="118" t="str">
        <f>IF(FuturesTrades[Opened] &lt;&gt; "",IF(FuturesTrades[Closed] = "", TODAY(), FuturesTrades[Closed]) - FuturesTrades[Opened], "")</f>
        <v/>
      </c>
      <c r="E737" s="6"/>
      <c r="F737" s="6"/>
      <c r="G737" s="22"/>
      <c r="H737" s="117"/>
      <c r="I737" s="165"/>
      <c r="J737" s="165"/>
      <c r="K737" s="117"/>
      <c r="L737" s="117"/>
      <c r="M737" s="117">
        <f t="shared" si="1"/>
        <v>0</v>
      </c>
    </row>
    <row r="738" ht="22.5" customHeight="1">
      <c r="A738" s="116"/>
      <c r="C738" s="166"/>
      <c r="D738" s="118" t="str">
        <f>IF(FuturesTrades[Opened] &lt;&gt; "",IF(FuturesTrades[Closed] = "", TODAY(), FuturesTrades[Closed]) - FuturesTrades[Opened], "")</f>
        <v/>
      </c>
      <c r="E738" s="6"/>
      <c r="F738" s="6"/>
      <c r="G738" s="22"/>
      <c r="H738" s="117"/>
      <c r="I738" s="165"/>
      <c r="J738" s="165"/>
      <c r="K738" s="117"/>
      <c r="L738" s="117"/>
      <c r="M738" s="117">
        <f t="shared" si="1"/>
        <v>0</v>
      </c>
    </row>
    <row r="739" ht="22.5" customHeight="1">
      <c r="A739" s="116"/>
      <c r="C739" s="166"/>
      <c r="D739" s="118" t="str">
        <f>IF(FuturesTrades[Opened] &lt;&gt; "",IF(FuturesTrades[Closed] = "", TODAY(), FuturesTrades[Closed]) - FuturesTrades[Opened], "")</f>
        <v/>
      </c>
      <c r="E739" s="6"/>
      <c r="F739" s="6"/>
      <c r="G739" s="22"/>
      <c r="H739" s="117"/>
      <c r="I739" s="165"/>
      <c r="J739" s="165"/>
      <c r="K739" s="117"/>
      <c r="L739" s="117"/>
      <c r="M739" s="117">
        <f t="shared" si="1"/>
        <v>0</v>
      </c>
    </row>
    <row r="740" ht="22.5" customHeight="1">
      <c r="A740" s="116"/>
      <c r="C740" s="166"/>
      <c r="D740" s="118" t="str">
        <f>IF(FuturesTrades[Opened] &lt;&gt; "",IF(FuturesTrades[Closed] = "", TODAY(), FuturesTrades[Closed]) - FuturesTrades[Opened], "")</f>
        <v/>
      </c>
      <c r="E740" s="6"/>
      <c r="F740" s="6"/>
      <c r="G740" s="22"/>
      <c r="H740" s="117"/>
      <c r="I740" s="165"/>
      <c r="J740" s="165"/>
      <c r="K740" s="117"/>
      <c r="L740" s="117"/>
      <c r="M740" s="117">
        <f t="shared" si="1"/>
        <v>0</v>
      </c>
    </row>
    <row r="741" ht="22.5" customHeight="1">
      <c r="A741" s="116"/>
      <c r="C741" s="166"/>
      <c r="D741" s="118" t="str">
        <f>IF(FuturesTrades[Opened] &lt;&gt; "",IF(FuturesTrades[Closed] = "", TODAY(), FuturesTrades[Closed]) - FuturesTrades[Opened], "")</f>
        <v/>
      </c>
      <c r="E741" s="6"/>
      <c r="F741" s="6"/>
      <c r="G741" s="22"/>
      <c r="H741" s="117"/>
      <c r="I741" s="165"/>
      <c r="J741" s="165"/>
      <c r="K741" s="117"/>
      <c r="L741" s="117"/>
      <c r="M741" s="117">
        <f t="shared" si="1"/>
        <v>0</v>
      </c>
    </row>
    <row r="742" ht="22.5" customHeight="1">
      <c r="A742" s="116"/>
      <c r="C742" s="166"/>
      <c r="D742" s="118" t="str">
        <f>IF(FuturesTrades[Opened] &lt;&gt; "",IF(FuturesTrades[Closed] = "", TODAY(), FuturesTrades[Closed]) - FuturesTrades[Opened], "")</f>
        <v/>
      </c>
      <c r="E742" s="6"/>
      <c r="F742" s="6"/>
      <c r="G742" s="22"/>
      <c r="H742" s="117"/>
      <c r="I742" s="165"/>
      <c r="J742" s="165"/>
      <c r="K742" s="117"/>
      <c r="L742" s="117"/>
      <c r="M742" s="117">
        <f t="shared" si="1"/>
        <v>0</v>
      </c>
    </row>
    <row r="743" ht="22.5" customHeight="1">
      <c r="A743" s="116"/>
      <c r="C743" s="166"/>
      <c r="D743" s="118" t="str">
        <f>IF(FuturesTrades[Opened] &lt;&gt; "",IF(FuturesTrades[Closed] = "", TODAY(), FuturesTrades[Closed]) - FuturesTrades[Opened], "")</f>
        <v/>
      </c>
      <c r="E743" s="6"/>
      <c r="F743" s="6"/>
      <c r="G743" s="22"/>
      <c r="H743" s="117"/>
      <c r="I743" s="165"/>
      <c r="J743" s="165"/>
      <c r="K743" s="117"/>
      <c r="L743" s="117"/>
      <c r="M743" s="117">
        <f t="shared" si="1"/>
        <v>0</v>
      </c>
    </row>
    <row r="744" ht="22.5" customHeight="1">
      <c r="A744" s="116"/>
      <c r="C744" s="166"/>
      <c r="D744" s="118" t="str">
        <f>IF(FuturesTrades[Opened] &lt;&gt; "",IF(FuturesTrades[Closed] = "", TODAY(), FuturesTrades[Closed]) - FuturesTrades[Opened], "")</f>
        <v/>
      </c>
      <c r="E744" s="6"/>
      <c r="F744" s="6"/>
      <c r="G744" s="22"/>
      <c r="H744" s="117"/>
      <c r="I744" s="165"/>
      <c r="J744" s="165"/>
      <c r="K744" s="117"/>
      <c r="L744" s="117"/>
      <c r="M744" s="117">
        <f t="shared" si="1"/>
        <v>0</v>
      </c>
    </row>
    <row r="745" ht="22.5" customHeight="1">
      <c r="A745" s="116"/>
      <c r="C745" s="166"/>
      <c r="D745" s="118" t="str">
        <f>IF(FuturesTrades[Opened] &lt;&gt; "",IF(FuturesTrades[Closed] = "", TODAY(), FuturesTrades[Closed]) - FuturesTrades[Opened], "")</f>
        <v/>
      </c>
      <c r="E745" s="6"/>
      <c r="F745" s="6"/>
      <c r="G745" s="22"/>
      <c r="H745" s="117"/>
      <c r="I745" s="165"/>
      <c r="J745" s="165"/>
      <c r="K745" s="117"/>
      <c r="L745" s="117"/>
      <c r="M745" s="117">
        <f t="shared" si="1"/>
        <v>0</v>
      </c>
    </row>
    <row r="746" ht="22.5" customHeight="1">
      <c r="A746" s="116"/>
      <c r="C746" s="166"/>
      <c r="D746" s="118" t="str">
        <f>IF(FuturesTrades[Opened] &lt;&gt; "",IF(FuturesTrades[Closed] = "", TODAY(), FuturesTrades[Closed]) - FuturesTrades[Opened], "")</f>
        <v/>
      </c>
      <c r="E746" s="6"/>
      <c r="F746" s="6"/>
      <c r="G746" s="22"/>
      <c r="H746" s="117"/>
      <c r="I746" s="165"/>
      <c r="J746" s="165"/>
      <c r="K746" s="117"/>
      <c r="L746" s="117"/>
      <c r="M746" s="117">
        <f t="shared" si="1"/>
        <v>0</v>
      </c>
    </row>
    <row r="747" ht="22.5" customHeight="1">
      <c r="A747" s="116"/>
      <c r="C747" s="166"/>
      <c r="D747" s="118" t="str">
        <f>IF(FuturesTrades[Opened] &lt;&gt; "",IF(FuturesTrades[Closed] = "", TODAY(), FuturesTrades[Closed]) - FuturesTrades[Opened], "")</f>
        <v/>
      </c>
      <c r="E747" s="6"/>
      <c r="F747" s="6"/>
      <c r="G747" s="22"/>
      <c r="H747" s="117"/>
      <c r="I747" s="165"/>
      <c r="J747" s="165"/>
      <c r="K747" s="117"/>
      <c r="L747" s="117"/>
      <c r="M747" s="117">
        <f t="shared" si="1"/>
        <v>0</v>
      </c>
    </row>
    <row r="748" ht="22.5" customHeight="1">
      <c r="A748" s="116"/>
      <c r="C748" s="166"/>
      <c r="D748" s="118" t="str">
        <f>IF(FuturesTrades[Opened] &lt;&gt; "",IF(FuturesTrades[Closed] = "", TODAY(), FuturesTrades[Closed]) - FuturesTrades[Opened], "")</f>
        <v/>
      </c>
      <c r="E748" s="6"/>
      <c r="F748" s="6"/>
      <c r="G748" s="22"/>
      <c r="H748" s="117"/>
      <c r="I748" s="165"/>
      <c r="J748" s="165"/>
      <c r="K748" s="117"/>
      <c r="L748" s="117"/>
      <c r="M748" s="117">
        <f t="shared" si="1"/>
        <v>0</v>
      </c>
    </row>
    <row r="749" ht="22.5" customHeight="1">
      <c r="A749" s="116"/>
      <c r="C749" s="166"/>
      <c r="D749" s="118" t="str">
        <f>IF(FuturesTrades[Opened] &lt;&gt; "",IF(FuturesTrades[Closed] = "", TODAY(), FuturesTrades[Closed]) - FuturesTrades[Opened], "")</f>
        <v/>
      </c>
      <c r="E749" s="6"/>
      <c r="F749" s="6"/>
      <c r="G749" s="22"/>
      <c r="H749" s="117"/>
      <c r="I749" s="165"/>
      <c r="J749" s="165"/>
      <c r="K749" s="117"/>
      <c r="L749" s="117"/>
      <c r="M749" s="117">
        <f t="shared" si="1"/>
        <v>0</v>
      </c>
    </row>
    <row r="750" ht="22.5" customHeight="1">
      <c r="A750" s="116"/>
      <c r="C750" s="166"/>
      <c r="D750" s="118" t="str">
        <f>IF(FuturesTrades[Opened] &lt;&gt; "",IF(FuturesTrades[Closed] = "", TODAY(), FuturesTrades[Closed]) - FuturesTrades[Opened], "")</f>
        <v/>
      </c>
      <c r="E750" s="6"/>
      <c r="F750" s="6"/>
      <c r="G750" s="22"/>
      <c r="H750" s="117"/>
      <c r="I750" s="165"/>
      <c r="J750" s="165"/>
      <c r="K750" s="117"/>
      <c r="L750" s="117"/>
      <c r="M750" s="117">
        <f t="shared" si="1"/>
        <v>0</v>
      </c>
    </row>
    <row r="751" ht="22.5" customHeight="1">
      <c r="A751" s="116"/>
      <c r="C751" s="166"/>
      <c r="D751" s="118" t="str">
        <f>IF(FuturesTrades[Opened] &lt;&gt; "",IF(FuturesTrades[Closed] = "", TODAY(), FuturesTrades[Closed]) - FuturesTrades[Opened], "")</f>
        <v/>
      </c>
      <c r="E751" s="6"/>
      <c r="F751" s="6"/>
      <c r="G751" s="22"/>
      <c r="H751" s="117"/>
      <c r="I751" s="165"/>
      <c r="J751" s="165"/>
      <c r="K751" s="117"/>
      <c r="L751" s="117"/>
      <c r="M751" s="117">
        <f t="shared" si="1"/>
        <v>0</v>
      </c>
    </row>
    <row r="752" ht="22.5" customHeight="1">
      <c r="A752" s="116"/>
      <c r="C752" s="166"/>
      <c r="D752" s="118" t="str">
        <f>IF(FuturesTrades[Opened] &lt;&gt; "",IF(FuturesTrades[Closed] = "", TODAY(), FuturesTrades[Closed]) - FuturesTrades[Opened], "")</f>
        <v/>
      </c>
      <c r="E752" s="6"/>
      <c r="F752" s="6"/>
      <c r="G752" s="22"/>
      <c r="H752" s="117"/>
      <c r="I752" s="165"/>
      <c r="J752" s="165"/>
      <c r="K752" s="117"/>
      <c r="L752" s="117"/>
      <c r="M752" s="117">
        <f t="shared" si="1"/>
        <v>0</v>
      </c>
    </row>
    <row r="753" ht="22.5" customHeight="1">
      <c r="A753" s="116"/>
      <c r="C753" s="166"/>
      <c r="D753" s="118" t="str">
        <f>IF(FuturesTrades[Opened] &lt;&gt; "",IF(FuturesTrades[Closed] = "", TODAY(), FuturesTrades[Closed]) - FuturesTrades[Opened], "")</f>
        <v/>
      </c>
      <c r="E753" s="6"/>
      <c r="F753" s="6"/>
      <c r="G753" s="22"/>
      <c r="H753" s="117"/>
      <c r="I753" s="165"/>
      <c r="J753" s="165"/>
      <c r="K753" s="117"/>
      <c r="L753" s="117"/>
      <c r="M753" s="117">
        <f t="shared" si="1"/>
        <v>0</v>
      </c>
    </row>
    <row r="754" ht="22.5" customHeight="1">
      <c r="A754" s="116"/>
      <c r="C754" s="166"/>
      <c r="D754" s="118" t="str">
        <f>IF(FuturesTrades[Opened] &lt;&gt; "",IF(FuturesTrades[Closed] = "", TODAY(), FuturesTrades[Closed]) - FuturesTrades[Opened], "")</f>
        <v/>
      </c>
      <c r="E754" s="6"/>
      <c r="F754" s="6"/>
      <c r="G754" s="22"/>
      <c r="H754" s="117"/>
      <c r="I754" s="165"/>
      <c r="J754" s="165"/>
      <c r="K754" s="117"/>
      <c r="L754" s="117"/>
      <c r="M754" s="117">
        <f t="shared" si="1"/>
        <v>0</v>
      </c>
    </row>
    <row r="755" ht="22.5" customHeight="1">
      <c r="A755" s="116"/>
      <c r="C755" s="166"/>
      <c r="D755" s="118" t="str">
        <f>IF(FuturesTrades[Opened] &lt;&gt; "",IF(FuturesTrades[Closed] = "", TODAY(), FuturesTrades[Closed]) - FuturesTrades[Opened], "")</f>
        <v/>
      </c>
      <c r="E755" s="6"/>
      <c r="F755" s="6"/>
      <c r="G755" s="22"/>
      <c r="H755" s="117"/>
      <c r="I755" s="165"/>
      <c r="J755" s="165"/>
      <c r="K755" s="117"/>
      <c r="L755" s="117"/>
      <c r="M755" s="117">
        <f t="shared" si="1"/>
        <v>0</v>
      </c>
    </row>
    <row r="756" ht="22.5" customHeight="1">
      <c r="A756" s="116"/>
      <c r="C756" s="166"/>
      <c r="D756" s="118" t="str">
        <f>IF(FuturesTrades[Opened] &lt;&gt; "",IF(FuturesTrades[Closed] = "", TODAY(), FuturesTrades[Closed]) - FuturesTrades[Opened], "")</f>
        <v/>
      </c>
      <c r="E756" s="6"/>
      <c r="F756" s="6"/>
      <c r="G756" s="22"/>
      <c r="H756" s="117"/>
      <c r="I756" s="165"/>
      <c r="J756" s="165"/>
      <c r="K756" s="117"/>
      <c r="L756" s="117"/>
      <c r="M756" s="117">
        <f t="shared" si="1"/>
        <v>0</v>
      </c>
    </row>
    <row r="757" ht="22.5" customHeight="1">
      <c r="A757" s="116"/>
      <c r="C757" s="166"/>
      <c r="D757" s="118" t="str">
        <f>IF(FuturesTrades[Opened] &lt;&gt; "",IF(FuturesTrades[Closed] = "", TODAY(), FuturesTrades[Closed]) - FuturesTrades[Opened], "")</f>
        <v/>
      </c>
      <c r="E757" s="6"/>
      <c r="F757" s="6"/>
      <c r="G757" s="22"/>
      <c r="H757" s="117"/>
      <c r="I757" s="165"/>
      <c r="J757" s="165"/>
      <c r="K757" s="117"/>
      <c r="L757" s="117"/>
      <c r="M757" s="117">
        <f t="shared" si="1"/>
        <v>0</v>
      </c>
    </row>
    <row r="758" ht="22.5" customHeight="1">
      <c r="A758" s="116"/>
      <c r="C758" s="166"/>
      <c r="D758" s="118" t="str">
        <f>IF(FuturesTrades[Opened] &lt;&gt; "",IF(FuturesTrades[Closed] = "", TODAY(), FuturesTrades[Closed]) - FuturesTrades[Opened], "")</f>
        <v/>
      </c>
      <c r="E758" s="6"/>
      <c r="F758" s="6"/>
      <c r="G758" s="22"/>
      <c r="H758" s="117"/>
      <c r="I758" s="165"/>
      <c r="J758" s="165"/>
      <c r="K758" s="117"/>
      <c r="L758" s="117"/>
      <c r="M758" s="117">
        <f t="shared" si="1"/>
        <v>0</v>
      </c>
    </row>
    <row r="759" ht="22.5" customHeight="1">
      <c r="A759" s="116"/>
      <c r="C759" s="166"/>
      <c r="D759" s="118" t="str">
        <f>IF(FuturesTrades[Opened] &lt;&gt; "",IF(FuturesTrades[Closed] = "", TODAY(), FuturesTrades[Closed]) - FuturesTrades[Opened], "")</f>
        <v/>
      </c>
      <c r="E759" s="6"/>
      <c r="F759" s="6"/>
      <c r="G759" s="22"/>
      <c r="H759" s="117"/>
      <c r="I759" s="165"/>
      <c r="J759" s="165"/>
      <c r="K759" s="117"/>
      <c r="L759" s="117"/>
      <c r="M759" s="117">
        <f t="shared" si="1"/>
        <v>0</v>
      </c>
    </row>
    <row r="760" ht="22.5" customHeight="1">
      <c r="A760" s="116"/>
      <c r="C760" s="166"/>
      <c r="D760" s="118" t="str">
        <f>IF(FuturesTrades[Opened] &lt;&gt; "",IF(FuturesTrades[Closed] = "", TODAY(), FuturesTrades[Closed]) - FuturesTrades[Opened], "")</f>
        <v/>
      </c>
      <c r="E760" s="6"/>
      <c r="F760" s="6"/>
      <c r="G760" s="22"/>
      <c r="H760" s="117"/>
      <c r="I760" s="165"/>
      <c r="J760" s="165"/>
      <c r="K760" s="117"/>
      <c r="L760" s="117"/>
      <c r="M760" s="117">
        <f t="shared" si="1"/>
        <v>0</v>
      </c>
    </row>
    <row r="761" ht="22.5" customHeight="1">
      <c r="A761" s="116"/>
      <c r="C761" s="166"/>
      <c r="D761" s="118" t="str">
        <f>IF(FuturesTrades[Opened] &lt;&gt; "",IF(FuturesTrades[Closed] = "", TODAY(), FuturesTrades[Closed]) - FuturesTrades[Opened], "")</f>
        <v/>
      </c>
      <c r="E761" s="6"/>
      <c r="F761" s="6"/>
      <c r="G761" s="22"/>
      <c r="H761" s="117"/>
      <c r="I761" s="165"/>
      <c r="J761" s="165"/>
      <c r="K761" s="117"/>
      <c r="L761" s="117"/>
      <c r="M761" s="117">
        <f t="shared" si="1"/>
        <v>0</v>
      </c>
    </row>
    <row r="762" ht="22.5" customHeight="1">
      <c r="A762" s="116"/>
      <c r="C762" s="166"/>
      <c r="D762" s="118" t="str">
        <f>IF(FuturesTrades[Opened] &lt;&gt; "",IF(FuturesTrades[Closed] = "", TODAY(), FuturesTrades[Closed]) - FuturesTrades[Opened], "")</f>
        <v/>
      </c>
      <c r="E762" s="6"/>
      <c r="F762" s="6"/>
      <c r="G762" s="22"/>
      <c r="H762" s="117"/>
      <c r="I762" s="165"/>
      <c r="J762" s="165"/>
      <c r="K762" s="117"/>
      <c r="L762" s="117"/>
      <c r="M762" s="117">
        <f t="shared" si="1"/>
        <v>0</v>
      </c>
    </row>
    <row r="763" ht="22.5" customHeight="1">
      <c r="A763" s="116"/>
      <c r="C763" s="166"/>
      <c r="D763" s="118" t="str">
        <f>IF(FuturesTrades[Opened] &lt;&gt; "",IF(FuturesTrades[Closed] = "", TODAY(), FuturesTrades[Closed]) - FuturesTrades[Opened], "")</f>
        <v/>
      </c>
      <c r="E763" s="6"/>
      <c r="F763" s="6"/>
      <c r="G763" s="22"/>
      <c r="H763" s="117"/>
      <c r="I763" s="165"/>
      <c r="J763" s="165"/>
      <c r="K763" s="117"/>
      <c r="L763" s="117"/>
      <c r="M763" s="117">
        <f t="shared" si="1"/>
        <v>0</v>
      </c>
    </row>
    <row r="764" ht="22.5" customHeight="1">
      <c r="A764" s="116"/>
      <c r="C764" s="166"/>
      <c r="D764" s="118" t="str">
        <f>IF(FuturesTrades[Opened] &lt;&gt; "",IF(FuturesTrades[Closed] = "", TODAY(), FuturesTrades[Closed]) - FuturesTrades[Opened], "")</f>
        <v/>
      </c>
      <c r="E764" s="6"/>
      <c r="F764" s="6"/>
      <c r="G764" s="22"/>
      <c r="H764" s="117"/>
      <c r="I764" s="165"/>
      <c r="J764" s="165"/>
      <c r="K764" s="117"/>
      <c r="L764" s="117"/>
      <c r="M764" s="117">
        <f t="shared" si="1"/>
        <v>0</v>
      </c>
    </row>
    <row r="765" ht="22.5" customHeight="1">
      <c r="A765" s="116"/>
      <c r="C765" s="166"/>
      <c r="D765" s="118" t="str">
        <f>IF(FuturesTrades[Opened] &lt;&gt; "",IF(FuturesTrades[Closed] = "", TODAY(), FuturesTrades[Closed]) - FuturesTrades[Opened], "")</f>
        <v/>
      </c>
      <c r="E765" s="6"/>
      <c r="F765" s="6"/>
      <c r="G765" s="22"/>
      <c r="H765" s="117"/>
      <c r="I765" s="165"/>
      <c r="J765" s="165"/>
      <c r="K765" s="117"/>
      <c r="L765" s="117"/>
      <c r="M765" s="117">
        <f t="shared" si="1"/>
        <v>0</v>
      </c>
    </row>
    <row r="766" ht="22.5" customHeight="1">
      <c r="A766" s="116"/>
      <c r="C766" s="166"/>
      <c r="D766" s="118" t="str">
        <f>IF(FuturesTrades[Opened] &lt;&gt; "",IF(FuturesTrades[Closed] = "", TODAY(), FuturesTrades[Closed]) - FuturesTrades[Opened], "")</f>
        <v/>
      </c>
      <c r="E766" s="6"/>
      <c r="F766" s="6"/>
      <c r="G766" s="22"/>
      <c r="H766" s="117"/>
      <c r="I766" s="165"/>
      <c r="J766" s="165"/>
      <c r="K766" s="117"/>
      <c r="L766" s="117"/>
      <c r="M766" s="117">
        <f t="shared" si="1"/>
        <v>0</v>
      </c>
    </row>
    <row r="767" ht="22.5" customHeight="1">
      <c r="A767" s="116"/>
      <c r="C767" s="166"/>
      <c r="D767" s="118" t="str">
        <f>IF(FuturesTrades[Opened] &lt;&gt; "",IF(FuturesTrades[Closed] = "", TODAY(), FuturesTrades[Closed]) - FuturesTrades[Opened], "")</f>
        <v/>
      </c>
      <c r="E767" s="6"/>
      <c r="F767" s="6"/>
      <c r="G767" s="22"/>
      <c r="H767" s="117"/>
      <c r="I767" s="165"/>
      <c r="J767" s="165"/>
      <c r="K767" s="117"/>
      <c r="L767" s="117"/>
      <c r="M767" s="117">
        <f t="shared" si="1"/>
        <v>0</v>
      </c>
    </row>
    <row r="768" ht="22.5" customHeight="1">
      <c r="A768" s="116"/>
      <c r="C768" s="166"/>
      <c r="D768" s="118" t="str">
        <f>IF(FuturesTrades[Opened] &lt;&gt; "",IF(FuturesTrades[Closed] = "", TODAY(), FuturesTrades[Closed]) - FuturesTrades[Opened], "")</f>
        <v/>
      </c>
      <c r="E768" s="6"/>
      <c r="F768" s="6"/>
      <c r="G768" s="22"/>
      <c r="H768" s="117"/>
      <c r="I768" s="165"/>
      <c r="J768" s="165"/>
      <c r="K768" s="117"/>
      <c r="L768" s="117"/>
      <c r="M768" s="117">
        <f t="shared" si="1"/>
        <v>0</v>
      </c>
    </row>
    <row r="769" ht="22.5" customHeight="1">
      <c r="A769" s="116"/>
      <c r="C769" s="166"/>
      <c r="D769" s="118" t="str">
        <f>IF(FuturesTrades[Opened] &lt;&gt; "",IF(FuturesTrades[Closed] = "", TODAY(), FuturesTrades[Closed]) - FuturesTrades[Opened], "")</f>
        <v/>
      </c>
      <c r="E769" s="6"/>
      <c r="F769" s="6"/>
      <c r="G769" s="22"/>
      <c r="H769" s="117"/>
      <c r="I769" s="165"/>
      <c r="J769" s="165"/>
      <c r="K769" s="117"/>
      <c r="L769" s="117"/>
      <c r="M769" s="117">
        <f t="shared" si="1"/>
        <v>0</v>
      </c>
    </row>
    <row r="770" ht="22.5" customHeight="1">
      <c r="A770" s="116"/>
      <c r="C770" s="166"/>
      <c r="D770" s="118" t="str">
        <f>IF(FuturesTrades[Opened] &lt;&gt; "",IF(FuturesTrades[Closed] = "", TODAY(), FuturesTrades[Closed]) - FuturesTrades[Opened], "")</f>
        <v/>
      </c>
      <c r="E770" s="6"/>
      <c r="F770" s="6"/>
      <c r="G770" s="22"/>
      <c r="H770" s="117"/>
      <c r="I770" s="165"/>
      <c r="J770" s="165"/>
      <c r="K770" s="117"/>
      <c r="L770" s="117"/>
      <c r="M770" s="117">
        <f t="shared" si="1"/>
        <v>0</v>
      </c>
    </row>
    <row r="771" ht="22.5" customHeight="1">
      <c r="A771" s="116"/>
      <c r="C771" s="166"/>
      <c r="D771" s="118" t="str">
        <f>IF(FuturesTrades[Opened] &lt;&gt; "",IF(FuturesTrades[Closed] = "", TODAY(), FuturesTrades[Closed]) - FuturesTrades[Opened], "")</f>
        <v/>
      </c>
      <c r="E771" s="6"/>
      <c r="F771" s="6"/>
      <c r="G771" s="22"/>
      <c r="H771" s="117"/>
      <c r="I771" s="165"/>
      <c r="J771" s="165"/>
      <c r="K771" s="117"/>
      <c r="L771" s="117"/>
      <c r="M771" s="117">
        <f t="shared" si="1"/>
        <v>0</v>
      </c>
    </row>
    <row r="772" ht="22.5" customHeight="1">
      <c r="A772" s="116"/>
      <c r="C772" s="166"/>
      <c r="D772" s="118" t="str">
        <f>IF(FuturesTrades[Opened] &lt;&gt; "",IF(FuturesTrades[Closed] = "", TODAY(), FuturesTrades[Closed]) - FuturesTrades[Opened], "")</f>
        <v/>
      </c>
      <c r="E772" s="6"/>
      <c r="F772" s="6"/>
      <c r="G772" s="22"/>
      <c r="H772" s="117"/>
      <c r="I772" s="165"/>
      <c r="J772" s="165"/>
      <c r="K772" s="117"/>
      <c r="L772" s="117"/>
      <c r="M772" s="117">
        <f t="shared" si="1"/>
        <v>0</v>
      </c>
    </row>
    <row r="773" ht="22.5" customHeight="1">
      <c r="A773" s="116"/>
      <c r="C773" s="166"/>
      <c r="D773" s="118" t="str">
        <f>IF(FuturesTrades[Opened] &lt;&gt; "",IF(FuturesTrades[Closed] = "", TODAY(), FuturesTrades[Closed]) - FuturesTrades[Opened], "")</f>
        <v/>
      </c>
      <c r="E773" s="6"/>
      <c r="F773" s="6"/>
      <c r="G773" s="22"/>
      <c r="H773" s="117"/>
      <c r="I773" s="165"/>
      <c r="J773" s="165"/>
      <c r="K773" s="117"/>
      <c r="L773" s="117"/>
      <c r="M773" s="117">
        <f t="shared" si="1"/>
        <v>0</v>
      </c>
    </row>
    <row r="774" ht="22.5" customHeight="1">
      <c r="A774" s="116"/>
      <c r="C774" s="166"/>
      <c r="D774" s="118" t="str">
        <f>IF(FuturesTrades[Opened] &lt;&gt; "",IF(FuturesTrades[Closed] = "", TODAY(), FuturesTrades[Closed]) - FuturesTrades[Opened], "")</f>
        <v/>
      </c>
      <c r="E774" s="6"/>
      <c r="F774" s="6"/>
      <c r="G774" s="22"/>
      <c r="H774" s="117"/>
      <c r="I774" s="165"/>
      <c r="J774" s="165"/>
      <c r="K774" s="117"/>
      <c r="L774" s="117"/>
      <c r="M774" s="117">
        <f t="shared" si="1"/>
        <v>0</v>
      </c>
    </row>
    <row r="775" ht="22.5" customHeight="1">
      <c r="A775" s="116"/>
      <c r="C775" s="166"/>
      <c r="D775" s="118" t="str">
        <f>IF(FuturesTrades[Opened] &lt;&gt; "",IF(FuturesTrades[Closed] = "", TODAY(), FuturesTrades[Closed]) - FuturesTrades[Opened], "")</f>
        <v/>
      </c>
      <c r="E775" s="6"/>
      <c r="F775" s="6"/>
      <c r="G775" s="22"/>
      <c r="H775" s="117"/>
      <c r="I775" s="165"/>
      <c r="J775" s="165"/>
      <c r="K775" s="117"/>
      <c r="L775" s="117"/>
      <c r="M775" s="117">
        <f t="shared" si="1"/>
        <v>0</v>
      </c>
    </row>
    <row r="776" ht="22.5" customHeight="1">
      <c r="A776" s="116"/>
      <c r="C776" s="166"/>
      <c r="D776" s="118" t="str">
        <f>IF(FuturesTrades[Opened] &lt;&gt; "",IF(FuturesTrades[Closed] = "", TODAY(), FuturesTrades[Closed]) - FuturesTrades[Opened], "")</f>
        <v/>
      </c>
      <c r="E776" s="6"/>
      <c r="F776" s="6"/>
      <c r="G776" s="22"/>
      <c r="H776" s="117"/>
      <c r="I776" s="165"/>
      <c r="J776" s="165"/>
      <c r="K776" s="117"/>
      <c r="L776" s="117"/>
      <c r="M776" s="117">
        <f t="shared" si="1"/>
        <v>0</v>
      </c>
    </row>
    <row r="777" ht="22.5" customHeight="1">
      <c r="A777" s="116"/>
      <c r="C777" s="166"/>
      <c r="D777" s="118" t="str">
        <f>IF(FuturesTrades[Opened] &lt;&gt; "",IF(FuturesTrades[Closed] = "", TODAY(), FuturesTrades[Closed]) - FuturesTrades[Opened], "")</f>
        <v/>
      </c>
      <c r="E777" s="6"/>
      <c r="F777" s="6"/>
      <c r="G777" s="22"/>
      <c r="H777" s="117"/>
      <c r="I777" s="165"/>
      <c r="J777" s="165"/>
      <c r="K777" s="117"/>
      <c r="L777" s="117"/>
      <c r="M777" s="117">
        <f t="shared" si="1"/>
        <v>0</v>
      </c>
    </row>
    <row r="778" ht="22.5" customHeight="1">
      <c r="A778" s="116"/>
      <c r="C778" s="166"/>
      <c r="D778" s="118" t="str">
        <f>IF(FuturesTrades[Opened] &lt;&gt; "",IF(FuturesTrades[Closed] = "", TODAY(), FuturesTrades[Closed]) - FuturesTrades[Opened], "")</f>
        <v/>
      </c>
      <c r="E778" s="6"/>
      <c r="F778" s="6"/>
      <c r="G778" s="22"/>
      <c r="H778" s="117"/>
      <c r="I778" s="165"/>
      <c r="J778" s="165"/>
      <c r="K778" s="117"/>
      <c r="L778" s="117"/>
      <c r="M778" s="117">
        <f t="shared" si="1"/>
        <v>0</v>
      </c>
    </row>
    <row r="779" ht="22.5" customHeight="1">
      <c r="A779" s="116"/>
      <c r="C779" s="166"/>
      <c r="D779" s="118" t="str">
        <f>IF(FuturesTrades[Opened] &lt;&gt; "",IF(FuturesTrades[Closed] = "", TODAY(), FuturesTrades[Closed]) - FuturesTrades[Opened], "")</f>
        <v/>
      </c>
      <c r="E779" s="6"/>
      <c r="F779" s="6"/>
      <c r="G779" s="22"/>
      <c r="H779" s="117"/>
      <c r="I779" s="165"/>
      <c r="J779" s="165"/>
      <c r="K779" s="117"/>
      <c r="L779" s="117"/>
      <c r="M779" s="117">
        <f t="shared" si="1"/>
        <v>0</v>
      </c>
    </row>
    <row r="780" ht="22.5" customHeight="1">
      <c r="A780" s="116"/>
      <c r="C780" s="166"/>
      <c r="D780" s="118" t="str">
        <f>IF(FuturesTrades[Opened] &lt;&gt; "",IF(FuturesTrades[Closed] = "", TODAY(), FuturesTrades[Closed]) - FuturesTrades[Opened], "")</f>
        <v/>
      </c>
      <c r="E780" s="6"/>
      <c r="F780" s="6"/>
      <c r="G780" s="22"/>
      <c r="H780" s="117"/>
      <c r="I780" s="165"/>
      <c r="J780" s="165"/>
      <c r="K780" s="117"/>
      <c r="L780" s="117"/>
      <c r="M780" s="117">
        <f t="shared" si="1"/>
        <v>0</v>
      </c>
    </row>
    <row r="781" ht="22.5" customHeight="1">
      <c r="A781" s="116"/>
      <c r="C781" s="166"/>
      <c r="D781" s="118" t="str">
        <f>IF(FuturesTrades[Opened] &lt;&gt; "",IF(FuturesTrades[Closed] = "", TODAY(), FuturesTrades[Closed]) - FuturesTrades[Opened], "")</f>
        <v/>
      </c>
      <c r="E781" s="6"/>
      <c r="F781" s="6"/>
      <c r="G781" s="22"/>
      <c r="H781" s="117"/>
      <c r="I781" s="165"/>
      <c r="J781" s="165"/>
      <c r="K781" s="117"/>
      <c r="L781" s="117"/>
      <c r="M781" s="117">
        <f t="shared" si="1"/>
        <v>0</v>
      </c>
    </row>
    <row r="782" ht="22.5" customHeight="1">
      <c r="A782" s="116"/>
      <c r="C782" s="166"/>
      <c r="D782" s="118" t="str">
        <f>IF(FuturesTrades[Opened] &lt;&gt; "",IF(FuturesTrades[Closed] = "", TODAY(), FuturesTrades[Closed]) - FuturesTrades[Opened], "")</f>
        <v/>
      </c>
      <c r="E782" s="6"/>
      <c r="F782" s="6"/>
      <c r="G782" s="22"/>
      <c r="H782" s="117"/>
      <c r="I782" s="165"/>
      <c r="J782" s="165"/>
      <c r="K782" s="117"/>
      <c r="L782" s="117"/>
      <c r="M782" s="117">
        <f t="shared" si="1"/>
        <v>0</v>
      </c>
    </row>
    <row r="783" ht="22.5" customHeight="1">
      <c r="A783" s="116"/>
      <c r="C783" s="166"/>
      <c r="D783" s="118" t="str">
        <f>IF(FuturesTrades[Opened] &lt;&gt; "",IF(FuturesTrades[Closed] = "", TODAY(), FuturesTrades[Closed]) - FuturesTrades[Opened], "")</f>
        <v/>
      </c>
      <c r="E783" s="6"/>
      <c r="F783" s="6"/>
      <c r="G783" s="22"/>
      <c r="H783" s="117"/>
      <c r="I783" s="165"/>
      <c r="J783" s="165"/>
      <c r="K783" s="117"/>
      <c r="L783" s="117"/>
      <c r="M783" s="117">
        <f t="shared" si="1"/>
        <v>0</v>
      </c>
    </row>
    <row r="784" ht="22.5" customHeight="1">
      <c r="A784" s="116"/>
      <c r="C784" s="166"/>
      <c r="D784" s="118" t="str">
        <f>IF(FuturesTrades[Opened] &lt;&gt; "",IF(FuturesTrades[Closed] = "", TODAY(), FuturesTrades[Closed]) - FuturesTrades[Opened], "")</f>
        <v/>
      </c>
      <c r="E784" s="6"/>
      <c r="F784" s="6"/>
      <c r="G784" s="22"/>
      <c r="H784" s="117"/>
      <c r="I784" s="165"/>
      <c r="J784" s="165"/>
      <c r="K784" s="117"/>
      <c r="L784" s="117"/>
      <c r="M784" s="117">
        <f t="shared" si="1"/>
        <v>0</v>
      </c>
    </row>
    <row r="785" ht="22.5" customHeight="1">
      <c r="A785" s="116"/>
      <c r="C785" s="166"/>
      <c r="D785" s="118" t="str">
        <f>IF(FuturesTrades[Opened] &lt;&gt; "",IF(FuturesTrades[Closed] = "", TODAY(), FuturesTrades[Closed]) - FuturesTrades[Opened], "")</f>
        <v/>
      </c>
      <c r="E785" s="6"/>
      <c r="F785" s="6"/>
      <c r="G785" s="22"/>
      <c r="H785" s="117"/>
      <c r="I785" s="165"/>
      <c r="J785" s="165"/>
      <c r="K785" s="117"/>
      <c r="L785" s="117"/>
      <c r="M785" s="117">
        <f t="shared" si="1"/>
        <v>0</v>
      </c>
    </row>
    <row r="786" ht="22.5" customHeight="1">
      <c r="A786" s="116"/>
      <c r="C786" s="166"/>
      <c r="D786" s="118" t="str">
        <f>IF(FuturesTrades[Opened] &lt;&gt; "",IF(FuturesTrades[Closed] = "", TODAY(), FuturesTrades[Closed]) - FuturesTrades[Opened], "")</f>
        <v/>
      </c>
      <c r="E786" s="6"/>
      <c r="F786" s="6"/>
      <c r="G786" s="22"/>
      <c r="H786" s="117"/>
      <c r="I786" s="165"/>
      <c r="J786" s="165"/>
      <c r="K786" s="117"/>
      <c r="L786" s="117"/>
      <c r="M786" s="117">
        <f t="shared" si="1"/>
        <v>0</v>
      </c>
    </row>
    <row r="787" ht="22.5" customHeight="1">
      <c r="A787" s="116"/>
      <c r="C787" s="166"/>
      <c r="D787" s="118" t="str">
        <f>IF(FuturesTrades[Opened] &lt;&gt; "",IF(FuturesTrades[Closed] = "", TODAY(), FuturesTrades[Closed]) - FuturesTrades[Opened], "")</f>
        <v/>
      </c>
      <c r="E787" s="6"/>
      <c r="F787" s="6"/>
      <c r="G787" s="22"/>
      <c r="H787" s="117"/>
      <c r="I787" s="165"/>
      <c r="J787" s="165"/>
      <c r="K787" s="117"/>
      <c r="L787" s="117"/>
      <c r="M787" s="117">
        <f t="shared" si="1"/>
        <v>0</v>
      </c>
    </row>
    <row r="788" ht="22.5" customHeight="1">
      <c r="A788" s="116"/>
      <c r="C788" s="166"/>
      <c r="D788" s="118" t="str">
        <f>IF(FuturesTrades[Opened] &lt;&gt; "",IF(FuturesTrades[Closed] = "", TODAY(), FuturesTrades[Closed]) - FuturesTrades[Opened], "")</f>
        <v/>
      </c>
      <c r="E788" s="6"/>
      <c r="F788" s="6"/>
      <c r="G788" s="22"/>
      <c r="H788" s="117"/>
      <c r="I788" s="165"/>
      <c r="J788" s="165"/>
      <c r="K788" s="117"/>
      <c r="L788" s="117"/>
      <c r="M788" s="117">
        <f t="shared" si="1"/>
        <v>0</v>
      </c>
    </row>
    <row r="789" ht="22.5" customHeight="1">
      <c r="A789" s="116"/>
      <c r="C789" s="166"/>
      <c r="D789" s="118" t="str">
        <f>IF(FuturesTrades[Opened] &lt;&gt; "",IF(FuturesTrades[Closed] = "", TODAY(), FuturesTrades[Closed]) - FuturesTrades[Opened], "")</f>
        <v/>
      </c>
      <c r="E789" s="6"/>
      <c r="F789" s="6"/>
      <c r="G789" s="22"/>
      <c r="H789" s="117"/>
      <c r="I789" s="165"/>
      <c r="J789" s="165"/>
      <c r="K789" s="117"/>
      <c r="L789" s="117"/>
      <c r="M789" s="117">
        <f t="shared" si="1"/>
        <v>0</v>
      </c>
    </row>
    <row r="790" ht="22.5" customHeight="1">
      <c r="A790" s="116"/>
      <c r="C790" s="166"/>
      <c r="D790" s="118" t="str">
        <f>IF(FuturesTrades[Opened] &lt;&gt; "",IF(FuturesTrades[Closed] = "", TODAY(), FuturesTrades[Closed]) - FuturesTrades[Opened], "")</f>
        <v/>
      </c>
      <c r="E790" s="6"/>
      <c r="F790" s="6"/>
      <c r="G790" s="22"/>
      <c r="H790" s="117"/>
      <c r="I790" s="165"/>
      <c r="J790" s="165"/>
      <c r="K790" s="117"/>
      <c r="L790" s="117"/>
      <c r="M790" s="117">
        <f t="shared" si="1"/>
        <v>0</v>
      </c>
    </row>
    <row r="791" ht="22.5" customHeight="1">
      <c r="A791" s="116"/>
      <c r="C791" s="166"/>
      <c r="D791" s="118" t="str">
        <f>IF(FuturesTrades[Opened] &lt;&gt; "",IF(FuturesTrades[Closed] = "", TODAY(), FuturesTrades[Closed]) - FuturesTrades[Opened], "")</f>
        <v/>
      </c>
      <c r="E791" s="6"/>
      <c r="F791" s="6"/>
      <c r="G791" s="22"/>
      <c r="H791" s="117"/>
      <c r="I791" s="165"/>
      <c r="J791" s="165"/>
      <c r="K791" s="117"/>
      <c r="L791" s="117"/>
      <c r="M791" s="117">
        <f t="shared" si="1"/>
        <v>0</v>
      </c>
    </row>
    <row r="792" ht="22.5" customHeight="1">
      <c r="A792" s="116"/>
      <c r="C792" s="166"/>
      <c r="D792" s="118" t="str">
        <f>IF(FuturesTrades[Opened] &lt;&gt; "",IF(FuturesTrades[Closed] = "", TODAY(), FuturesTrades[Closed]) - FuturesTrades[Opened], "")</f>
        <v/>
      </c>
      <c r="E792" s="6"/>
      <c r="F792" s="6"/>
      <c r="G792" s="22"/>
      <c r="H792" s="117"/>
      <c r="I792" s="165"/>
      <c r="J792" s="165"/>
      <c r="K792" s="117"/>
      <c r="L792" s="117"/>
      <c r="M792" s="117">
        <f t="shared" si="1"/>
        <v>0</v>
      </c>
    </row>
    <row r="793" ht="22.5" customHeight="1">
      <c r="A793" s="116"/>
      <c r="C793" s="166"/>
      <c r="D793" s="118" t="str">
        <f>IF(FuturesTrades[Opened] &lt;&gt; "",IF(FuturesTrades[Closed] = "", TODAY(), FuturesTrades[Closed]) - FuturesTrades[Opened], "")</f>
        <v/>
      </c>
      <c r="E793" s="6"/>
      <c r="F793" s="6"/>
      <c r="G793" s="22"/>
      <c r="H793" s="117"/>
      <c r="I793" s="165"/>
      <c r="J793" s="165"/>
      <c r="K793" s="117"/>
      <c r="L793" s="117"/>
      <c r="M793" s="117">
        <f t="shared" si="1"/>
        <v>0</v>
      </c>
    </row>
    <row r="794" ht="22.5" customHeight="1">
      <c r="A794" s="116"/>
      <c r="C794" s="166"/>
      <c r="D794" s="118" t="str">
        <f>IF(FuturesTrades[Opened] &lt;&gt; "",IF(FuturesTrades[Closed] = "", TODAY(), FuturesTrades[Closed]) - FuturesTrades[Opened], "")</f>
        <v/>
      </c>
      <c r="E794" s="6"/>
      <c r="F794" s="6"/>
      <c r="G794" s="22"/>
      <c r="H794" s="117"/>
      <c r="I794" s="165"/>
      <c r="J794" s="165"/>
      <c r="K794" s="117"/>
      <c r="L794" s="117"/>
      <c r="M794" s="117">
        <f t="shared" si="1"/>
        <v>0</v>
      </c>
    </row>
    <row r="795" ht="22.5" customHeight="1">
      <c r="A795" s="116"/>
      <c r="C795" s="166"/>
      <c r="D795" s="118" t="str">
        <f>IF(FuturesTrades[Opened] &lt;&gt; "",IF(FuturesTrades[Closed] = "", TODAY(), FuturesTrades[Closed]) - FuturesTrades[Opened], "")</f>
        <v/>
      </c>
      <c r="E795" s="6"/>
      <c r="F795" s="6"/>
      <c r="G795" s="22"/>
      <c r="H795" s="117"/>
      <c r="I795" s="165"/>
      <c r="J795" s="165"/>
      <c r="K795" s="117"/>
      <c r="L795" s="117"/>
      <c r="M795" s="117">
        <f t="shared" si="1"/>
        <v>0</v>
      </c>
    </row>
    <row r="796" ht="22.5" customHeight="1">
      <c r="A796" s="116"/>
      <c r="C796" s="166"/>
      <c r="D796" s="118" t="str">
        <f>IF(FuturesTrades[Opened] &lt;&gt; "",IF(FuturesTrades[Closed] = "", TODAY(), FuturesTrades[Closed]) - FuturesTrades[Opened], "")</f>
        <v/>
      </c>
      <c r="E796" s="6"/>
      <c r="F796" s="6"/>
      <c r="G796" s="22"/>
      <c r="H796" s="117"/>
      <c r="I796" s="165"/>
      <c r="J796" s="165"/>
      <c r="K796" s="117"/>
      <c r="L796" s="117"/>
      <c r="M796" s="117">
        <f t="shared" si="1"/>
        <v>0</v>
      </c>
    </row>
    <row r="797" ht="22.5" customHeight="1">
      <c r="A797" s="116"/>
      <c r="C797" s="166"/>
      <c r="D797" s="118" t="str">
        <f>IF(FuturesTrades[Opened] &lt;&gt; "",IF(FuturesTrades[Closed] = "", TODAY(), FuturesTrades[Closed]) - FuturesTrades[Opened], "")</f>
        <v/>
      </c>
      <c r="E797" s="6"/>
      <c r="F797" s="6"/>
      <c r="G797" s="22"/>
      <c r="H797" s="117"/>
      <c r="I797" s="165"/>
      <c r="J797" s="165"/>
      <c r="K797" s="117"/>
      <c r="L797" s="117"/>
      <c r="M797" s="117">
        <f t="shared" si="1"/>
        <v>0</v>
      </c>
    </row>
    <row r="798" ht="22.5" customHeight="1">
      <c r="A798" s="116"/>
      <c r="C798" s="166"/>
      <c r="D798" s="118" t="str">
        <f>IF(FuturesTrades[Opened] &lt;&gt; "",IF(FuturesTrades[Closed] = "", TODAY(), FuturesTrades[Closed]) - FuturesTrades[Opened], "")</f>
        <v/>
      </c>
      <c r="E798" s="6"/>
      <c r="F798" s="6"/>
      <c r="G798" s="22"/>
      <c r="H798" s="117"/>
      <c r="I798" s="165"/>
      <c r="J798" s="165"/>
      <c r="K798" s="117"/>
      <c r="L798" s="117"/>
      <c r="M798" s="117">
        <f t="shared" si="1"/>
        <v>0</v>
      </c>
    </row>
    <row r="799" ht="22.5" customHeight="1">
      <c r="A799" s="116"/>
      <c r="C799" s="166"/>
      <c r="D799" s="118" t="str">
        <f>IF(FuturesTrades[Opened] &lt;&gt; "",IF(FuturesTrades[Closed] = "", TODAY(), FuturesTrades[Closed]) - FuturesTrades[Opened], "")</f>
        <v/>
      </c>
      <c r="E799" s="6"/>
      <c r="F799" s="6"/>
      <c r="G799" s="22"/>
      <c r="H799" s="117"/>
      <c r="I799" s="165"/>
      <c r="J799" s="165"/>
      <c r="K799" s="117"/>
      <c r="L799" s="117"/>
      <c r="M799" s="117">
        <f t="shared" si="1"/>
        <v>0</v>
      </c>
    </row>
    <row r="800" ht="22.5" customHeight="1">
      <c r="A800" s="116"/>
      <c r="C800" s="166"/>
      <c r="D800" s="118" t="str">
        <f>IF(FuturesTrades[Opened] &lt;&gt; "",IF(FuturesTrades[Closed] = "", TODAY(), FuturesTrades[Closed]) - FuturesTrades[Opened], "")</f>
        <v/>
      </c>
      <c r="E800" s="6"/>
      <c r="F800" s="6"/>
      <c r="G800" s="22"/>
      <c r="H800" s="117"/>
      <c r="I800" s="165"/>
      <c r="J800" s="165"/>
      <c r="K800" s="117"/>
      <c r="L800" s="117"/>
      <c r="M800" s="117">
        <f t="shared" si="1"/>
        <v>0</v>
      </c>
    </row>
    <row r="801" ht="22.5" customHeight="1">
      <c r="A801" s="116"/>
      <c r="C801" s="166"/>
      <c r="D801" s="118" t="str">
        <f>IF(FuturesTrades[Opened] &lt;&gt; "",IF(FuturesTrades[Closed] = "", TODAY(), FuturesTrades[Closed]) - FuturesTrades[Opened], "")</f>
        <v/>
      </c>
      <c r="E801" s="6"/>
      <c r="F801" s="6"/>
      <c r="G801" s="22"/>
      <c r="H801" s="117"/>
      <c r="I801" s="165"/>
      <c r="J801" s="165"/>
      <c r="K801" s="117"/>
      <c r="L801" s="117"/>
      <c r="M801" s="117">
        <f t="shared" si="1"/>
        <v>0</v>
      </c>
    </row>
    <row r="802" ht="22.5" customHeight="1">
      <c r="A802" s="116"/>
      <c r="C802" s="166"/>
      <c r="D802" s="118" t="str">
        <f>IF(FuturesTrades[Opened] &lt;&gt; "",IF(FuturesTrades[Closed] = "", TODAY(), FuturesTrades[Closed]) - FuturesTrades[Opened], "")</f>
        <v/>
      </c>
      <c r="E802" s="6"/>
      <c r="F802" s="6"/>
      <c r="G802" s="22"/>
      <c r="H802" s="117"/>
      <c r="I802" s="165"/>
      <c r="J802" s="165"/>
      <c r="K802" s="117"/>
      <c r="L802" s="117"/>
      <c r="M802" s="117">
        <f t="shared" si="1"/>
        <v>0</v>
      </c>
    </row>
    <row r="803" ht="22.5" customHeight="1">
      <c r="A803" s="116"/>
      <c r="C803" s="166"/>
      <c r="D803" s="118" t="str">
        <f>IF(FuturesTrades[Opened] &lt;&gt; "",IF(FuturesTrades[Closed] = "", TODAY(), FuturesTrades[Closed]) - FuturesTrades[Opened], "")</f>
        <v/>
      </c>
      <c r="E803" s="6"/>
      <c r="F803" s="6"/>
      <c r="G803" s="22"/>
      <c r="H803" s="117"/>
      <c r="I803" s="165"/>
      <c r="J803" s="165"/>
      <c r="K803" s="117"/>
      <c r="L803" s="117"/>
      <c r="M803" s="117">
        <f t="shared" si="1"/>
        <v>0</v>
      </c>
    </row>
    <row r="804" ht="22.5" customHeight="1">
      <c r="A804" s="116"/>
      <c r="C804" s="166"/>
      <c r="D804" s="118" t="str">
        <f>IF(FuturesTrades[Opened] &lt;&gt; "",IF(FuturesTrades[Closed] = "", TODAY(), FuturesTrades[Closed]) - FuturesTrades[Opened], "")</f>
        <v/>
      </c>
      <c r="E804" s="6"/>
      <c r="F804" s="6"/>
      <c r="G804" s="22"/>
      <c r="H804" s="117"/>
      <c r="I804" s="165"/>
      <c r="J804" s="165"/>
      <c r="K804" s="117"/>
      <c r="L804" s="117"/>
      <c r="M804" s="117">
        <f t="shared" si="1"/>
        <v>0</v>
      </c>
    </row>
    <row r="805" ht="22.5" customHeight="1">
      <c r="A805" s="116"/>
      <c r="C805" s="166"/>
      <c r="D805" s="118" t="str">
        <f>IF(FuturesTrades[Opened] &lt;&gt; "",IF(FuturesTrades[Closed] = "", TODAY(), FuturesTrades[Closed]) - FuturesTrades[Opened], "")</f>
        <v/>
      </c>
      <c r="E805" s="6"/>
      <c r="F805" s="6"/>
      <c r="G805" s="22"/>
      <c r="H805" s="117"/>
      <c r="I805" s="165"/>
      <c r="J805" s="165"/>
      <c r="K805" s="117"/>
      <c r="L805" s="117"/>
      <c r="M805" s="117">
        <f t="shared" si="1"/>
        <v>0</v>
      </c>
    </row>
    <row r="806" ht="22.5" customHeight="1">
      <c r="A806" s="116"/>
      <c r="C806" s="166"/>
      <c r="D806" s="118" t="str">
        <f>IF(FuturesTrades[Opened] &lt;&gt; "",IF(FuturesTrades[Closed] = "", TODAY(), FuturesTrades[Closed]) - FuturesTrades[Opened], "")</f>
        <v/>
      </c>
      <c r="E806" s="6"/>
      <c r="F806" s="6"/>
      <c r="G806" s="22"/>
      <c r="H806" s="117"/>
      <c r="I806" s="165"/>
      <c r="J806" s="165"/>
      <c r="K806" s="117"/>
      <c r="L806" s="117"/>
      <c r="M806" s="117">
        <f t="shared" si="1"/>
        <v>0</v>
      </c>
    </row>
    <row r="807" ht="22.5" customHeight="1">
      <c r="A807" s="116"/>
      <c r="C807" s="166"/>
      <c r="D807" s="118" t="str">
        <f>IF(FuturesTrades[Opened] &lt;&gt; "",IF(FuturesTrades[Closed] = "", TODAY(), FuturesTrades[Closed]) - FuturesTrades[Opened], "")</f>
        <v/>
      </c>
      <c r="E807" s="6"/>
      <c r="F807" s="6"/>
      <c r="G807" s="22"/>
      <c r="H807" s="117"/>
      <c r="I807" s="165"/>
      <c r="J807" s="165"/>
      <c r="K807" s="117"/>
      <c r="L807" s="117"/>
      <c r="M807" s="117">
        <f t="shared" si="1"/>
        <v>0</v>
      </c>
    </row>
    <row r="808" ht="22.5" customHeight="1">
      <c r="A808" s="116"/>
      <c r="C808" s="166"/>
      <c r="D808" s="118" t="str">
        <f>IF(FuturesTrades[Opened] &lt;&gt; "",IF(FuturesTrades[Closed] = "", TODAY(), FuturesTrades[Closed]) - FuturesTrades[Opened], "")</f>
        <v/>
      </c>
      <c r="E808" s="6"/>
      <c r="F808" s="6"/>
      <c r="G808" s="22"/>
      <c r="H808" s="117"/>
      <c r="I808" s="165"/>
      <c r="J808" s="165"/>
      <c r="K808" s="117"/>
      <c r="L808" s="117"/>
      <c r="M808" s="117">
        <f t="shared" si="1"/>
        <v>0</v>
      </c>
    </row>
    <row r="809" ht="22.5" customHeight="1">
      <c r="A809" s="116"/>
      <c r="C809" s="166"/>
      <c r="D809" s="118" t="str">
        <f>IF(FuturesTrades[Opened] &lt;&gt; "",IF(FuturesTrades[Closed] = "", TODAY(), FuturesTrades[Closed]) - FuturesTrades[Opened], "")</f>
        <v/>
      </c>
      <c r="E809" s="6"/>
      <c r="F809" s="6"/>
      <c r="G809" s="22"/>
      <c r="H809" s="117"/>
      <c r="I809" s="165"/>
      <c r="J809" s="165"/>
      <c r="K809" s="117"/>
      <c r="L809" s="117"/>
      <c r="M809" s="117">
        <f t="shared" si="1"/>
        <v>0</v>
      </c>
    </row>
    <row r="810" ht="22.5" customHeight="1">
      <c r="A810" s="116"/>
      <c r="C810" s="166"/>
      <c r="D810" s="118" t="str">
        <f>IF(FuturesTrades[Opened] &lt;&gt; "",IF(FuturesTrades[Closed] = "", TODAY(), FuturesTrades[Closed]) - FuturesTrades[Opened], "")</f>
        <v/>
      </c>
      <c r="E810" s="6"/>
      <c r="F810" s="6"/>
      <c r="G810" s="22"/>
      <c r="H810" s="117"/>
      <c r="I810" s="165"/>
      <c r="J810" s="165"/>
      <c r="K810" s="117"/>
      <c r="L810" s="117"/>
      <c r="M810" s="117">
        <f t="shared" si="1"/>
        <v>0</v>
      </c>
    </row>
    <row r="811" ht="22.5" customHeight="1">
      <c r="A811" s="116"/>
      <c r="C811" s="166"/>
      <c r="D811" s="118" t="str">
        <f>IF(FuturesTrades[Opened] &lt;&gt; "",IF(FuturesTrades[Closed] = "", TODAY(), FuturesTrades[Closed]) - FuturesTrades[Opened], "")</f>
        <v/>
      </c>
      <c r="E811" s="6"/>
      <c r="F811" s="6"/>
      <c r="G811" s="22"/>
      <c r="H811" s="117"/>
      <c r="I811" s="165"/>
      <c r="J811" s="165"/>
      <c r="K811" s="117"/>
      <c r="L811" s="117"/>
      <c r="M811" s="117">
        <f t="shared" si="1"/>
        <v>0</v>
      </c>
    </row>
    <row r="812" ht="22.5" customHeight="1">
      <c r="A812" s="116"/>
      <c r="C812" s="166"/>
      <c r="D812" s="118" t="str">
        <f>IF(FuturesTrades[Opened] &lt;&gt; "",IF(FuturesTrades[Closed] = "", TODAY(), FuturesTrades[Closed]) - FuturesTrades[Opened], "")</f>
        <v/>
      </c>
      <c r="E812" s="6"/>
      <c r="F812" s="6"/>
      <c r="G812" s="22"/>
      <c r="H812" s="117"/>
      <c r="I812" s="165"/>
      <c r="J812" s="165"/>
      <c r="K812" s="117"/>
      <c r="L812" s="117"/>
      <c r="M812" s="117">
        <f t="shared" si="1"/>
        <v>0</v>
      </c>
    </row>
    <row r="813" ht="22.5" customHeight="1">
      <c r="A813" s="116"/>
      <c r="C813" s="166"/>
      <c r="D813" s="118" t="str">
        <f>IF(FuturesTrades[Opened] &lt;&gt; "",IF(FuturesTrades[Closed] = "", TODAY(), FuturesTrades[Closed]) - FuturesTrades[Opened], "")</f>
        <v/>
      </c>
      <c r="E813" s="6"/>
      <c r="F813" s="6"/>
      <c r="G813" s="22"/>
      <c r="H813" s="117"/>
      <c r="I813" s="165"/>
      <c r="J813" s="165"/>
      <c r="K813" s="117"/>
      <c r="L813" s="117"/>
      <c r="M813" s="117">
        <f t="shared" si="1"/>
        <v>0</v>
      </c>
    </row>
    <row r="814" ht="22.5" customHeight="1">
      <c r="A814" s="116"/>
      <c r="C814" s="166"/>
      <c r="D814" s="118" t="str">
        <f>IF(FuturesTrades[Opened] &lt;&gt; "",IF(FuturesTrades[Closed] = "", TODAY(), FuturesTrades[Closed]) - FuturesTrades[Opened], "")</f>
        <v/>
      </c>
      <c r="E814" s="6"/>
      <c r="F814" s="6"/>
      <c r="G814" s="22"/>
      <c r="H814" s="117"/>
      <c r="I814" s="165"/>
      <c r="J814" s="165"/>
      <c r="K814" s="117"/>
      <c r="L814" s="117"/>
      <c r="M814" s="117">
        <f t="shared" si="1"/>
        <v>0</v>
      </c>
    </row>
    <row r="815" ht="22.5" customHeight="1">
      <c r="A815" s="116"/>
      <c r="C815" s="166"/>
      <c r="D815" s="118" t="str">
        <f>IF(FuturesTrades[Opened] &lt;&gt; "",IF(FuturesTrades[Closed] = "", TODAY(), FuturesTrades[Closed]) - FuturesTrades[Opened], "")</f>
        <v/>
      </c>
      <c r="E815" s="6"/>
      <c r="F815" s="6"/>
      <c r="G815" s="22"/>
      <c r="H815" s="117"/>
      <c r="I815" s="165"/>
      <c r="J815" s="165"/>
      <c r="K815" s="117"/>
      <c r="L815" s="117"/>
      <c r="M815" s="117">
        <f t="shared" si="1"/>
        <v>0</v>
      </c>
    </row>
    <row r="816" ht="22.5" customHeight="1">
      <c r="A816" s="116"/>
      <c r="C816" s="166"/>
      <c r="D816" s="118" t="str">
        <f>IF(FuturesTrades[Opened] &lt;&gt; "",IF(FuturesTrades[Closed] = "", TODAY(), FuturesTrades[Closed]) - FuturesTrades[Opened], "")</f>
        <v/>
      </c>
      <c r="E816" s="6"/>
      <c r="F816" s="6"/>
      <c r="G816" s="22"/>
      <c r="H816" s="117"/>
      <c r="I816" s="165"/>
      <c r="J816" s="165"/>
      <c r="K816" s="117"/>
      <c r="L816" s="117"/>
      <c r="M816" s="117">
        <f t="shared" si="1"/>
        <v>0</v>
      </c>
    </row>
    <row r="817" ht="22.5" customHeight="1">
      <c r="A817" s="116"/>
      <c r="C817" s="166"/>
      <c r="D817" s="118" t="str">
        <f>IF(FuturesTrades[Opened] &lt;&gt; "",IF(FuturesTrades[Closed] = "", TODAY(), FuturesTrades[Closed]) - FuturesTrades[Opened], "")</f>
        <v/>
      </c>
      <c r="E817" s="6"/>
      <c r="F817" s="6"/>
      <c r="G817" s="22"/>
      <c r="H817" s="117"/>
      <c r="I817" s="165"/>
      <c r="J817" s="165"/>
      <c r="K817" s="117"/>
      <c r="L817" s="117"/>
      <c r="M817" s="117">
        <f t="shared" si="1"/>
        <v>0</v>
      </c>
    </row>
    <row r="818" ht="22.5" customHeight="1">
      <c r="A818" s="116"/>
      <c r="C818" s="166"/>
      <c r="D818" s="118" t="str">
        <f>IF(FuturesTrades[Opened] &lt;&gt; "",IF(FuturesTrades[Closed] = "", TODAY(), FuturesTrades[Closed]) - FuturesTrades[Opened], "")</f>
        <v/>
      </c>
      <c r="E818" s="6"/>
      <c r="F818" s="6"/>
      <c r="G818" s="22"/>
      <c r="H818" s="117"/>
      <c r="I818" s="165"/>
      <c r="J818" s="165"/>
      <c r="K818" s="117"/>
      <c r="L818" s="117"/>
      <c r="M818" s="117">
        <f t="shared" si="1"/>
        <v>0</v>
      </c>
    </row>
    <row r="819" ht="22.5" customHeight="1">
      <c r="A819" s="116"/>
      <c r="C819" s="166"/>
      <c r="D819" s="118" t="str">
        <f>IF(FuturesTrades[Opened] &lt;&gt; "",IF(FuturesTrades[Closed] = "", TODAY(), FuturesTrades[Closed]) - FuturesTrades[Opened], "")</f>
        <v/>
      </c>
      <c r="E819" s="6"/>
      <c r="F819" s="6"/>
      <c r="G819" s="22"/>
      <c r="H819" s="117"/>
      <c r="I819" s="165"/>
      <c r="J819" s="165"/>
      <c r="K819" s="117"/>
      <c r="L819" s="117"/>
      <c r="M819" s="117">
        <f t="shared" si="1"/>
        <v>0</v>
      </c>
    </row>
    <row r="820" ht="22.5" customHeight="1">
      <c r="A820" s="116"/>
      <c r="C820" s="166"/>
      <c r="D820" s="118" t="str">
        <f>IF(FuturesTrades[Opened] &lt;&gt; "",IF(FuturesTrades[Closed] = "", TODAY(), FuturesTrades[Closed]) - FuturesTrades[Opened], "")</f>
        <v/>
      </c>
      <c r="E820" s="6"/>
      <c r="F820" s="6"/>
      <c r="G820" s="22"/>
      <c r="H820" s="117"/>
      <c r="I820" s="165"/>
      <c r="J820" s="165"/>
      <c r="K820" s="117"/>
      <c r="L820" s="117"/>
      <c r="M820" s="117">
        <f t="shared" si="1"/>
        <v>0</v>
      </c>
    </row>
    <row r="821" ht="22.5" customHeight="1">
      <c r="A821" s="116"/>
      <c r="C821" s="166"/>
      <c r="D821" s="118" t="str">
        <f>IF(FuturesTrades[Opened] &lt;&gt; "",IF(FuturesTrades[Closed] = "", TODAY(), FuturesTrades[Closed]) - FuturesTrades[Opened], "")</f>
        <v/>
      </c>
      <c r="E821" s="6"/>
      <c r="F821" s="6"/>
      <c r="G821" s="22"/>
      <c r="H821" s="117"/>
      <c r="I821" s="165"/>
      <c r="J821" s="165"/>
      <c r="K821" s="117"/>
      <c r="L821" s="117"/>
      <c r="M821" s="117">
        <f t="shared" si="1"/>
        <v>0</v>
      </c>
    </row>
    <row r="822" ht="22.5" customHeight="1">
      <c r="A822" s="116"/>
      <c r="C822" s="166"/>
      <c r="D822" s="118" t="str">
        <f>IF(FuturesTrades[Opened] &lt;&gt; "",IF(FuturesTrades[Closed] = "", TODAY(), FuturesTrades[Closed]) - FuturesTrades[Opened], "")</f>
        <v/>
      </c>
      <c r="E822" s="6"/>
      <c r="F822" s="6"/>
      <c r="G822" s="22"/>
      <c r="H822" s="117"/>
      <c r="I822" s="165"/>
      <c r="J822" s="165"/>
      <c r="K822" s="117"/>
      <c r="L822" s="117"/>
      <c r="M822" s="117">
        <f t="shared" si="1"/>
        <v>0</v>
      </c>
    </row>
    <row r="823" ht="22.5" customHeight="1">
      <c r="A823" s="116"/>
      <c r="C823" s="166"/>
      <c r="D823" s="118" t="str">
        <f>IF(FuturesTrades[Opened] &lt;&gt; "",IF(FuturesTrades[Closed] = "", TODAY(), FuturesTrades[Closed]) - FuturesTrades[Opened], "")</f>
        <v/>
      </c>
      <c r="E823" s="6"/>
      <c r="F823" s="6"/>
      <c r="G823" s="22"/>
      <c r="H823" s="117"/>
      <c r="I823" s="165"/>
      <c r="J823" s="165"/>
      <c r="K823" s="117"/>
      <c r="L823" s="117"/>
      <c r="M823" s="117">
        <f t="shared" si="1"/>
        <v>0</v>
      </c>
    </row>
    <row r="824" ht="22.5" customHeight="1">
      <c r="A824" s="116"/>
      <c r="C824" s="166"/>
      <c r="D824" s="118" t="str">
        <f>IF(FuturesTrades[Opened] &lt;&gt; "",IF(FuturesTrades[Closed] = "", TODAY(), FuturesTrades[Closed]) - FuturesTrades[Opened], "")</f>
        <v/>
      </c>
      <c r="E824" s="6"/>
      <c r="F824" s="6"/>
      <c r="G824" s="22"/>
      <c r="H824" s="117"/>
      <c r="I824" s="165"/>
      <c r="J824" s="165"/>
      <c r="K824" s="117"/>
      <c r="L824" s="117"/>
      <c r="M824" s="117">
        <f t="shared" si="1"/>
        <v>0</v>
      </c>
    </row>
    <row r="825" ht="22.5" customHeight="1">
      <c r="A825" s="116"/>
      <c r="C825" s="166"/>
      <c r="D825" s="118" t="str">
        <f>IF(FuturesTrades[Opened] &lt;&gt; "",IF(FuturesTrades[Closed] = "", TODAY(), FuturesTrades[Closed]) - FuturesTrades[Opened], "")</f>
        <v/>
      </c>
      <c r="E825" s="6"/>
      <c r="F825" s="6"/>
      <c r="G825" s="22"/>
      <c r="H825" s="117"/>
      <c r="I825" s="165"/>
      <c r="J825" s="165"/>
      <c r="K825" s="117"/>
      <c r="L825" s="117"/>
      <c r="M825" s="117">
        <f t="shared" si="1"/>
        <v>0</v>
      </c>
    </row>
    <row r="826" ht="22.5" customHeight="1">
      <c r="A826" s="116"/>
      <c r="C826" s="166"/>
      <c r="D826" s="118" t="str">
        <f>IF(FuturesTrades[Opened] &lt;&gt; "",IF(FuturesTrades[Closed] = "", TODAY(), FuturesTrades[Closed]) - FuturesTrades[Opened], "")</f>
        <v/>
      </c>
      <c r="E826" s="6"/>
      <c r="F826" s="6"/>
      <c r="G826" s="22"/>
      <c r="H826" s="117"/>
      <c r="I826" s="165"/>
      <c r="J826" s="165"/>
      <c r="K826" s="117"/>
      <c r="L826" s="117"/>
      <c r="M826" s="117">
        <f t="shared" si="1"/>
        <v>0</v>
      </c>
    </row>
    <row r="827" ht="22.5" customHeight="1">
      <c r="A827" s="116"/>
      <c r="C827" s="166"/>
      <c r="D827" s="118" t="str">
        <f>IF(FuturesTrades[Opened] &lt;&gt; "",IF(FuturesTrades[Closed] = "", TODAY(), FuturesTrades[Closed]) - FuturesTrades[Opened], "")</f>
        <v/>
      </c>
      <c r="E827" s="6"/>
      <c r="F827" s="6"/>
      <c r="G827" s="22"/>
      <c r="H827" s="117"/>
      <c r="I827" s="165"/>
      <c r="J827" s="165"/>
      <c r="K827" s="117"/>
      <c r="L827" s="117"/>
      <c r="M827" s="117">
        <f t="shared" si="1"/>
        <v>0</v>
      </c>
    </row>
    <row r="828" ht="22.5" customHeight="1">
      <c r="A828" s="116"/>
      <c r="C828" s="166"/>
      <c r="D828" s="118" t="str">
        <f>IF(FuturesTrades[Opened] &lt;&gt; "",IF(FuturesTrades[Closed] = "", TODAY(), FuturesTrades[Closed]) - FuturesTrades[Opened], "")</f>
        <v/>
      </c>
      <c r="E828" s="6"/>
      <c r="F828" s="6"/>
      <c r="G828" s="22"/>
      <c r="H828" s="117"/>
      <c r="I828" s="165"/>
      <c r="J828" s="165"/>
      <c r="K828" s="117"/>
      <c r="L828" s="117"/>
      <c r="M828" s="117">
        <f t="shared" si="1"/>
        <v>0</v>
      </c>
    </row>
    <row r="829" ht="22.5" customHeight="1">
      <c r="A829" s="116"/>
      <c r="C829" s="166"/>
      <c r="D829" s="118" t="str">
        <f>IF(FuturesTrades[Opened] &lt;&gt; "",IF(FuturesTrades[Closed] = "", TODAY(), FuturesTrades[Closed]) - FuturesTrades[Opened], "")</f>
        <v/>
      </c>
      <c r="E829" s="6"/>
      <c r="F829" s="6"/>
      <c r="G829" s="22"/>
      <c r="H829" s="117"/>
      <c r="I829" s="165"/>
      <c r="J829" s="165"/>
      <c r="K829" s="117"/>
      <c r="L829" s="117"/>
      <c r="M829" s="117">
        <f t="shared" si="1"/>
        <v>0</v>
      </c>
    </row>
    <row r="830" ht="22.5" customHeight="1">
      <c r="A830" s="116"/>
      <c r="C830" s="166"/>
      <c r="D830" s="118" t="str">
        <f>IF(FuturesTrades[Opened] &lt;&gt; "",IF(FuturesTrades[Closed] = "", TODAY(), FuturesTrades[Closed]) - FuturesTrades[Opened], "")</f>
        <v/>
      </c>
      <c r="E830" s="6"/>
      <c r="F830" s="6"/>
      <c r="G830" s="22"/>
      <c r="H830" s="117"/>
      <c r="I830" s="165"/>
      <c r="J830" s="165"/>
      <c r="K830" s="117"/>
      <c r="L830" s="117"/>
      <c r="M830" s="117">
        <f t="shared" si="1"/>
        <v>0</v>
      </c>
    </row>
    <row r="831" ht="22.5" customHeight="1">
      <c r="A831" s="116"/>
      <c r="C831" s="166"/>
      <c r="D831" s="118" t="str">
        <f>IF(FuturesTrades[Opened] &lt;&gt; "",IF(FuturesTrades[Closed] = "", TODAY(), FuturesTrades[Closed]) - FuturesTrades[Opened], "")</f>
        <v/>
      </c>
      <c r="E831" s="6"/>
      <c r="F831" s="6"/>
      <c r="G831" s="22"/>
      <c r="H831" s="117"/>
      <c r="I831" s="165"/>
      <c r="J831" s="165"/>
      <c r="K831" s="117"/>
      <c r="L831" s="117"/>
      <c r="M831" s="117">
        <f t="shared" si="1"/>
        <v>0</v>
      </c>
    </row>
    <row r="832" ht="22.5" customHeight="1">
      <c r="A832" s="116"/>
      <c r="C832" s="166"/>
      <c r="D832" s="118" t="str">
        <f>IF(FuturesTrades[Opened] &lt;&gt; "",IF(FuturesTrades[Closed] = "", TODAY(), FuturesTrades[Closed]) - FuturesTrades[Opened], "")</f>
        <v/>
      </c>
      <c r="E832" s="6"/>
      <c r="F832" s="6"/>
      <c r="G832" s="22"/>
      <c r="H832" s="117"/>
      <c r="I832" s="165"/>
      <c r="J832" s="165"/>
      <c r="K832" s="117"/>
      <c r="L832" s="117"/>
      <c r="M832" s="117">
        <f t="shared" si="1"/>
        <v>0</v>
      </c>
    </row>
    <row r="833" ht="22.5" customHeight="1">
      <c r="A833" s="116"/>
      <c r="C833" s="166"/>
      <c r="D833" s="118" t="str">
        <f>IF(FuturesTrades[Opened] &lt;&gt; "",IF(FuturesTrades[Closed] = "", TODAY(), FuturesTrades[Closed]) - FuturesTrades[Opened], "")</f>
        <v/>
      </c>
      <c r="E833" s="6"/>
      <c r="F833" s="6"/>
      <c r="G833" s="22"/>
      <c r="H833" s="117"/>
      <c r="I833" s="165"/>
      <c r="J833" s="165"/>
      <c r="K833" s="117"/>
      <c r="L833" s="117"/>
      <c r="M833" s="117">
        <f t="shared" si="1"/>
        <v>0</v>
      </c>
    </row>
    <row r="834" ht="22.5" customHeight="1">
      <c r="A834" s="116"/>
      <c r="C834" s="166"/>
      <c r="D834" s="118" t="str">
        <f>IF(FuturesTrades[Opened] &lt;&gt; "",IF(FuturesTrades[Closed] = "", TODAY(), FuturesTrades[Closed]) - FuturesTrades[Opened], "")</f>
        <v/>
      </c>
      <c r="E834" s="6"/>
      <c r="F834" s="6"/>
      <c r="G834" s="22"/>
      <c r="H834" s="117"/>
      <c r="I834" s="165"/>
      <c r="J834" s="165"/>
      <c r="K834" s="117"/>
      <c r="L834" s="117"/>
      <c r="M834" s="117">
        <f t="shared" si="1"/>
        <v>0</v>
      </c>
    </row>
    <row r="835" ht="22.5" customHeight="1">
      <c r="A835" s="116"/>
      <c r="C835" s="166"/>
      <c r="D835" s="118" t="str">
        <f>IF(FuturesTrades[Opened] &lt;&gt; "",IF(FuturesTrades[Closed] = "", TODAY(), FuturesTrades[Closed]) - FuturesTrades[Opened], "")</f>
        <v/>
      </c>
      <c r="E835" s="6"/>
      <c r="F835" s="6"/>
      <c r="G835" s="22"/>
      <c r="H835" s="117"/>
      <c r="I835" s="165"/>
      <c r="J835" s="165"/>
      <c r="K835" s="117"/>
      <c r="L835" s="117"/>
      <c r="M835" s="117">
        <f t="shared" si="1"/>
        <v>0</v>
      </c>
    </row>
    <row r="836" ht="22.5" customHeight="1">
      <c r="A836" s="116"/>
      <c r="C836" s="166"/>
      <c r="D836" s="118" t="str">
        <f>IF(FuturesTrades[Opened] &lt;&gt; "",IF(FuturesTrades[Closed] = "", TODAY(), FuturesTrades[Closed]) - FuturesTrades[Opened], "")</f>
        <v/>
      </c>
      <c r="E836" s="6"/>
      <c r="F836" s="6"/>
      <c r="G836" s="22"/>
      <c r="H836" s="117"/>
      <c r="I836" s="165"/>
      <c r="J836" s="165"/>
      <c r="K836" s="117"/>
      <c r="L836" s="117"/>
      <c r="M836" s="117">
        <f t="shared" si="1"/>
        <v>0</v>
      </c>
    </row>
    <row r="837" ht="22.5" customHeight="1">
      <c r="A837" s="116"/>
      <c r="C837" s="166"/>
      <c r="D837" s="118" t="str">
        <f>IF(FuturesTrades[Opened] &lt;&gt; "",IF(FuturesTrades[Closed] = "", TODAY(), FuturesTrades[Closed]) - FuturesTrades[Opened], "")</f>
        <v/>
      </c>
      <c r="E837" s="6"/>
      <c r="F837" s="6"/>
      <c r="G837" s="22"/>
      <c r="H837" s="117"/>
      <c r="I837" s="165"/>
      <c r="J837" s="165"/>
      <c r="K837" s="117"/>
      <c r="L837" s="117"/>
      <c r="M837" s="117">
        <f t="shared" si="1"/>
        <v>0</v>
      </c>
    </row>
    <row r="838" ht="22.5" customHeight="1">
      <c r="A838" s="116"/>
      <c r="C838" s="166"/>
      <c r="D838" s="118" t="str">
        <f>IF(FuturesTrades[Opened] &lt;&gt; "",IF(FuturesTrades[Closed] = "", TODAY(), FuturesTrades[Closed]) - FuturesTrades[Opened], "")</f>
        <v/>
      </c>
      <c r="E838" s="6"/>
      <c r="F838" s="6"/>
      <c r="G838" s="22"/>
      <c r="H838" s="117"/>
      <c r="I838" s="165"/>
      <c r="J838" s="165"/>
      <c r="K838" s="117"/>
      <c r="L838" s="117"/>
      <c r="M838" s="117">
        <f t="shared" si="1"/>
        <v>0</v>
      </c>
    </row>
    <row r="839" ht="22.5" customHeight="1">
      <c r="A839" s="116"/>
      <c r="C839" s="166"/>
      <c r="D839" s="118" t="str">
        <f>IF(FuturesTrades[Opened] &lt;&gt; "",IF(FuturesTrades[Closed] = "", TODAY(), FuturesTrades[Closed]) - FuturesTrades[Opened], "")</f>
        <v/>
      </c>
      <c r="E839" s="6"/>
      <c r="F839" s="6"/>
      <c r="G839" s="22"/>
      <c r="H839" s="117"/>
      <c r="I839" s="165"/>
      <c r="J839" s="165"/>
      <c r="K839" s="117"/>
      <c r="L839" s="117"/>
      <c r="M839" s="117">
        <f t="shared" si="1"/>
        <v>0</v>
      </c>
    </row>
    <row r="840" ht="22.5" customHeight="1">
      <c r="A840" s="116"/>
      <c r="C840" s="166"/>
      <c r="D840" s="118" t="str">
        <f>IF(FuturesTrades[Opened] &lt;&gt; "",IF(FuturesTrades[Closed] = "", TODAY(), FuturesTrades[Closed]) - FuturesTrades[Opened], "")</f>
        <v/>
      </c>
      <c r="E840" s="6"/>
      <c r="F840" s="6"/>
      <c r="G840" s="22"/>
      <c r="H840" s="117"/>
      <c r="I840" s="165"/>
      <c r="J840" s="165"/>
      <c r="K840" s="117"/>
      <c r="L840" s="117"/>
      <c r="M840" s="117">
        <f t="shared" si="1"/>
        <v>0</v>
      </c>
    </row>
    <row r="841" ht="22.5" customHeight="1">
      <c r="A841" s="116"/>
      <c r="C841" s="166"/>
      <c r="D841" s="118" t="str">
        <f>IF(FuturesTrades[Opened] &lt;&gt; "",IF(FuturesTrades[Closed] = "", TODAY(), FuturesTrades[Closed]) - FuturesTrades[Opened], "")</f>
        <v/>
      </c>
      <c r="E841" s="6"/>
      <c r="F841" s="6"/>
      <c r="G841" s="22"/>
      <c r="H841" s="117"/>
      <c r="I841" s="165"/>
      <c r="J841" s="165"/>
      <c r="K841" s="117"/>
      <c r="L841" s="117"/>
      <c r="M841" s="117">
        <f t="shared" si="1"/>
        <v>0</v>
      </c>
    </row>
    <row r="842" ht="22.5" customHeight="1">
      <c r="A842" s="116"/>
      <c r="C842" s="166"/>
      <c r="D842" s="118" t="str">
        <f>IF(FuturesTrades[Opened] &lt;&gt; "",IF(FuturesTrades[Closed] = "", TODAY(), FuturesTrades[Closed]) - FuturesTrades[Opened], "")</f>
        <v/>
      </c>
      <c r="E842" s="6"/>
      <c r="F842" s="6"/>
      <c r="G842" s="22"/>
      <c r="H842" s="117"/>
      <c r="I842" s="165"/>
      <c r="J842" s="165"/>
      <c r="K842" s="117"/>
      <c r="L842" s="117"/>
      <c r="M842" s="117">
        <f t="shared" si="1"/>
        <v>0</v>
      </c>
    </row>
    <row r="843" ht="22.5" customHeight="1">
      <c r="A843" s="116"/>
      <c r="C843" s="166"/>
      <c r="D843" s="118" t="str">
        <f>IF(FuturesTrades[Opened] &lt;&gt; "",IF(FuturesTrades[Closed] = "", TODAY(), FuturesTrades[Closed]) - FuturesTrades[Opened], "")</f>
        <v/>
      </c>
      <c r="E843" s="6"/>
      <c r="F843" s="6"/>
      <c r="G843" s="22"/>
      <c r="H843" s="117"/>
      <c r="I843" s="165"/>
      <c r="J843" s="165"/>
      <c r="K843" s="117"/>
      <c r="L843" s="117"/>
      <c r="M843" s="117">
        <f t="shared" si="1"/>
        <v>0</v>
      </c>
    </row>
    <row r="844" ht="22.5" customHeight="1">
      <c r="A844" s="116"/>
      <c r="C844" s="166"/>
      <c r="D844" s="118" t="str">
        <f>IF(FuturesTrades[Opened] &lt;&gt; "",IF(FuturesTrades[Closed] = "", TODAY(), FuturesTrades[Closed]) - FuturesTrades[Opened], "")</f>
        <v/>
      </c>
      <c r="E844" s="6"/>
      <c r="F844" s="6"/>
      <c r="G844" s="22"/>
      <c r="H844" s="117"/>
      <c r="I844" s="165"/>
      <c r="J844" s="165"/>
      <c r="K844" s="117"/>
      <c r="L844" s="117"/>
      <c r="M844" s="117">
        <f t="shared" si="1"/>
        <v>0</v>
      </c>
    </row>
    <row r="845" ht="22.5" customHeight="1">
      <c r="A845" s="116"/>
      <c r="C845" s="166"/>
      <c r="D845" s="118" t="str">
        <f>IF(FuturesTrades[Opened] &lt;&gt; "",IF(FuturesTrades[Closed] = "", TODAY(), FuturesTrades[Closed]) - FuturesTrades[Opened], "")</f>
        <v/>
      </c>
      <c r="E845" s="6"/>
      <c r="F845" s="6"/>
      <c r="G845" s="22"/>
      <c r="H845" s="117"/>
      <c r="I845" s="165"/>
      <c r="J845" s="165"/>
      <c r="K845" s="117"/>
      <c r="L845" s="117"/>
      <c r="M845" s="117">
        <f t="shared" si="1"/>
        <v>0</v>
      </c>
    </row>
    <row r="846" ht="22.5" customHeight="1">
      <c r="A846" s="116"/>
      <c r="C846" s="166"/>
      <c r="D846" s="118" t="str">
        <f>IF(FuturesTrades[Opened] &lt;&gt; "",IF(FuturesTrades[Closed] = "", TODAY(), FuturesTrades[Closed]) - FuturesTrades[Opened], "")</f>
        <v/>
      </c>
      <c r="E846" s="6"/>
      <c r="F846" s="6"/>
      <c r="G846" s="22"/>
      <c r="H846" s="117"/>
      <c r="I846" s="165"/>
      <c r="J846" s="165"/>
      <c r="K846" s="117"/>
      <c r="L846" s="117"/>
      <c r="M846" s="117">
        <f t="shared" si="1"/>
        <v>0</v>
      </c>
    </row>
    <row r="847" ht="22.5" customHeight="1">
      <c r="A847" s="116"/>
      <c r="C847" s="166"/>
      <c r="D847" s="118" t="str">
        <f>IF(FuturesTrades[Opened] &lt;&gt; "",IF(FuturesTrades[Closed] = "", TODAY(), FuturesTrades[Closed]) - FuturesTrades[Opened], "")</f>
        <v/>
      </c>
      <c r="E847" s="6"/>
      <c r="F847" s="6"/>
      <c r="G847" s="22"/>
      <c r="H847" s="117"/>
      <c r="I847" s="165"/>
      <c r="J847" s="165"/>
      <c r="K847" s="117"/>
      <c r="L847" s="117"/>
      <c r="M847" s="117">
        <f t="shared" si="1"/>
        <v>0</v>
      </c>
    </row>
    <row r="848" ht="22.5" customHeight="1">
      <c r="A848" s="116"/>
      <c r="C848" s="166"/>
      <c r="D848" s="118" t="str">
        <f>IF(FuturesTrades[Opened] &lt;&gt; "",IF(FuturesTrades[Closed] = "", TODAY(), FuturesTrades[Closed]) - FuturesTrades[Opened], "")</f>
        <v/>
      </c>
      <c r="E848" s="6"/>
      <c r="F848" s="6"/>
      <c r="G848" s="22"/>
      <c r="H848" s="117"/>
      <c r="I848" s="165"/>
      <c r="J848" s="165"/>
      <c r="K848" s="117"/>
      <c r="L848" s="117"/>
      <c r="M848" s="117">
        <f t="shared" si="1"/>
        <v>0</v>
      </c>
    </row>
    <row r="849" ht="22.5" customHeight="1">
      <c r="A849" s="116"/>
      <c r="C849" s="166"/>
      <c r="D849" s="118" t="str">
        <f>IF(FuturesTrades[Opened] &lt;&gt; "",IF(FuturesTrades[Closed] = "", TODAY(), FuturesTrades[Closed]) - FuturesTrades[Opened], "")</f>
        <v/>
      </c>
      <c r="E849" s="6"/>
      <c r="F849" s="6"/>
      <c r="G849" s="22"/>
      <c r="H849" s="117"/>
      <c r="I849" s="165"/>
      <c r="J849" s="165"/>
      <c r="K849" s="117"/>
      <c r="L849" s="117"/>
      <c r="M849" s="117">
        <f t="shared" si="1"/>
        <v>0</v>
      </c>
    </row>
    <row r="850" ht="22.5" customHeight="1">
      <c r="A850" s="116"/>
      <c r="C850" s="166"/>
      <c r="D850" s="118" t="str">
        <f>IF(FuturesTrades[Opened] &lt;&gt; "",IF(FuturesTrades[Closed] = "", TODAY(), FuturesTrades[Closed]) - FuturesTrades[Opened], "")</f>
        <v/>
      </c>
      <c r="E850" s="6"/>
      <c r="F850" s="6"/>
      <c r="G850" s="22"/>
      <c r="H850" s="117"/>
      <c r="I850" s="165"/>
      <c r="J850" s="165"/>
      <c r="K850" s="117"/>
      <c r="L850" s="117"/>
      <c r="M850" s="117">
        <f t="shared" si="1"/>
        <v>0</v>
      </c>
    </row>
    <row r="851" ht="22.5" customHeight="1">
      <c r="A851" s="116"/>
      <c r="C851" s="166"/>
      <c r="D851" s="118" t="str">
        <f>IF(FuturesTrades[Opened] &lt;&gt; "",IF(FuturesTrades[Closed] = "", TODAY(), FuturesTrades[Closed]) - FuturesTrades[Opened], "")</f>
        <v/>
      </c>
      <c r="E851" s="6"/>
      <c r="F851" s="6"/>
      <c r="G851" s="22"/>
      <c r="H851" s="117"/>
      <c r="I851" s="165"/>
      <c r="J851" s="165"/>
      <c r="K851" s="117"/>
      <c r="L851" s="117"/>
      <c r="M851" s="117">
        <f t="shared" si="1"/>
        <v>0</v>
      </c>
    </row>
    <row r="852" ht="22.5" customHeight="1">
      <c r="A852" s="116"/>
      <c r="C852" s="166"/>
      <c r="D852" s="118" t="str">
        <f>IF(FuturesTrades[Opened] &lt;&gt; "",IF(FuturesTrades[Closed] = "", TODAY(), FuturesTrades[Closed]) - FuturesTrades[Opened], "")</f>
        <v/>
      </c>
      <c r="E852" s="6"/>
      <c r="F852" s="6"/>
      <c r="G852" s="22"/>
      <c r="H852" s="117"/>
      <c r="I852" s="165"/>
      <c r="J852" s="165"/>
      <c r="K852" s="117"/>
      <c r="L852" s="117"/>
      <c r="M852" s="117">
        <f t="shared" si="1"/>
        <v>0</v>
      </c>
    </row>
    <row r="853" ht="22.5" customHeight="1">
      <c r="A853" s="116"/>
      <c r="C853" s="166"/>
      <c r="D853" s="118" t="str">
        <f>IF(FuturesTrades[Opened] &lt;&gt; "",IF(FuturesTrades[Closed] = "", TODAY(), FuturesTrades[Closed]) - FuturesTrades[Opened], "")</f>
        <v/>
      </c>
      <c r="E853" s="6"/>
      <c r="F853" s="6"/>
      <c r="G853" s="22"/>
      <c r="H853" s="117"/>
      <c r="I853" s="165"/>
      <c r="J853" s="165"/>
      <c r="K853" s="117"/>
      <c r="L853" s="117"/>
      <c r="M853" s="117">
        <f t="shared" si="1"/>
        <v>0</v>
      </c>
    </row>
    <row r="854" ht="22.5" customHeight="1">
      <c r="A854" s="116"/>
      <c r="C854" s="166"/>
      <c r="D854" s="118" t="str">
        <f>IF(FuturesTrades[Opened] &lt;&gt; "",IF(FuturesTrades[Closed] = "", TODAY(), FuturesTrades[Closed]) - FuturesTrades[Opened], "")</f>
        <v/>
      </c>
      <c r="E854" s="6"/>
      <c r="F854" s="6"/>
      <c r="G854" s="22"/>
      <c r="H854" s="117"/>
      <c r="I854" s="165"/>
      <c r="J854" s="165"/>
      <c r="K854" s="117"/>
      <c r="L854" s="117"/>
      <c r="M854" s="117">
        <f t="shared" si="1"/>
        <v>0</v>
      </c>
    </row>
    <row r="855" ht="22.5" customHeight="1">
      <c r="A855" s="116"/>
      <c r="C855" s="166"/>
      <c r="D855" s="118" t="str">
        <f>IF(FuturesTrades[Opened] &lt;&gt; "",IF(FuturesTrades[Closed] = "", TODAY(), FuturesTrades[Closed]) - FuturesTrades[Opened], "")</f>
        <v/>
      </c>
      <c r="E855" s="6"/>
      <c r="F855" s="6"/>
      <c r="G855" s="22"/>
      <c r="H855" s="117"/>
      <c r="I855" s="165"/>
      <c r="J855" s="165"/>
      <c r="K855" s="117"/>
      <c r="L855" s="117"/>
      <c r="M855" s="117">
        <f t="shared" si="1"/>
        <v>0</v>
      </c>
    </row>
    <row r="856" ht="22.5" customHeight="1">
      <c r="A856" s="116"/>
      <c r="C856" s="166"/>
      <c r="D856" s="118" t="str">
        <f>IF(FuturesTrades[Opened] &lt;&gt; "",IF(FuturesTrades[Closed] = "", TODAY(), FuturesTrades[Closed]) - FuturesTrades[Opened], "")</f>
        <v/>
      </c>
      <c r="E856" s="6"/>
      <c r="F856" s="6"/>
      <c r="G856" s="22"/>
      <c r="H856" s="117"/>
      <c r="I856" s="165"/>
      <c r="J856" s="165"/>
      <c r="K856" s="117"/>
      <c r="L856" s="117"/>
      <c r="M856" s="117">
        <f t="shared" si="1"/>
        <v>0</v>
      </c>
    </row>
    <row r="857" ht="22.5" customHeight="1">
      <c r="A857" s="116"/>
      <c r="C857" s="166"/>
      <c r="D857" s="118" t="str">
        <f>IF(FuturesTrades[Opened] &lt;&gt; "",IF(FuturesTrades[Closed] = "", TODAY(), FuturesTrades[Closed]) - FuturesTrades[Opened], "")</f>
        <v/>
      </c>
      <c r="E857" s="6"/>
      <c r="F857" s="6"/>
      <c r="G857" s="22"/>
      <c r="H857" s="117"/>
      <c r="I857" s="165"/>
      <c r="J857" s="165"/>
      <c r="K857" s="117"/>
      <c r="L857" s="117"/>
      <c r="M857" s="117">
        <f t="shared" si="1"/>
        <v>0</v>
      </c>
    </row>
    <row r="858" ht="22.5" customHeight="1">
      <c r="A858" s="116"/>
      <c r="C858" s="166"/>
      <c r="D858" s="118" t="str">
        <f>IF(FuturesTrades[Opened] &lt;&gt; "",IF(FuturesTrades[Closed] = "", TODAY(), FuturesTrades[Closed]) - FuturesTrades[Opened], "")</f>
        <v/>
      </c>
      <c r="E858" s="6"/>
      <c r="F858" s="6"/>
      <c r="G858" s="22"/>
      <c r="H858" s="117"/>
      <c r="I858" s="165"/>
      <c r="J858" s="165"/>
      <c r="K858" s="117"/>
      <c r="L858" s="117"/>
      <c r="M858" s="117">
        <f t="shared" si="1"/>
        <v>0</v>
      </c>
    </row>
    <row r="859" ht="22.5" customHeight="1">
      <c r="A859" s="116"/>
      <c r="C859" s="166"/>
      <c r="D859" s="118" t="str">
        <f>IF(FuturesTrades[Opened] &lt;&gt; "",IF(FuturesTrades[Closed] = "", TODAY(), FuturesTrades[Closed]) - FuturesTrades[Opened], "")</f>
        <v/>
      </c>
      <c r="E859" s="6"/>
      <c r="F859" s="6"/>
      <c r="G859" s="22"/>
      <c r="H859" s="117"/>
      <c r="I859" s="165"/>
      <c r="J859" s="165"/>
      <c r="K859" s="117"/>
      <c r="L859" s="117"/>
      <c r="M859" s="117">
        <f t="shared" si="1"/>
        <v>0</v>
      </c>
    </row>
    <row r="860" ht="22.5" customHeight="1">
      <c r="A860" s="116"/>
      <c r="C860" s="166"/>
      <c r="D860" s="118" t="str">
        <f>IF(FuturesTrades[Opened] &lt;&gt; "",IF(FuturesTrades[Closed] = "", TODAY(), FuturesTrades[Closed]) - FuturesTrades[Opened], "")</f>
        <v/>
      </c>
      <c r="E860" s="6"/>
      <c r="F860" s="6"/>
      <c r="G860" s="22"/>
      <c r="H860" s="117"/>
      <c r="I860" s="165"/>
      <c r="J860" s="165"/>
      <c r="K860" s="117"/>
      <c r="L860" s="117"/>
      <c r="M860" s="117">
        <f t="shared" si="1"/>
        <v>0</v>
      </c>
    </row>
    <row r="861" ht="22.5" customHeight="1">
      <c r="A861" s="116"/>
      <c r="C861" s="166"/>
      <c r="D861" s="118" t="str">
        <f>IF(FuturesTrades[Opened] &lt;&gt; "",IF(FuturesTrades[Closed] = "", TODAY(), FuturesTrades[Closed]) - FuturesTrades[Opened], "")</f>
        <v/>
      </c>
      <c r="E861" s="6"/>
      <c r="F861" s="6"/>
      <c r="G861" s="22"/>
      <c r="H861" s="117"/>
      <c r="I861" s="165"/>
      <c r="J861" s="165"/>
      <c r="K861" s="117"/>
      <c r="L861" s="117"/>
      <c r="M861" s="117">
        <f t="shared" si="1"/>
        <v>0</v>
      </c>
    </row>
    <row r="862" ht="22.5" customHeight="1">
      <c r="A862" s="116"/>
      <c r="C862" s="166"/>
      <c r="D862" s="118" t="str">
        <f>IF(FuturesTrades[Opened] &lt;&gt; "",IF(FuturesTrades[Closed] = "", TODAY(), FuturesTrades[Closed]) - FuturesTrades[Opened], "")</f>
        <v/>
      </c>
      <c r="E862" s="6"/>
      <c r="F862" s="6"/>
      <c r="G862" s="22"/>
      <c r="H862" s="117"/>
      <c r="I862" s="165"/>
      <c r="J862" s="165"/>
      <c r="K862" s="117"/>
      <c r="L862" s="117"/>
      <c r="M862" s="117">
        <f t="shared" si="1"/>
        <v>0</v>
      </c>
    </row>
    <row r="863" ht="22.5" customHeight="1">
      <c r="A863" s="116"/>
      <c r="C863" s="166"/>
      <c r="D863" s="118" t="str">
        <f>IF(FuturesTrades[Opened] &lt;&gt; "",IF(FuturesTrades[Closed] = "", TODAY(), FuturesTrades[Closed]) - FuturesTrades[Opened], "")</f>
        <v/>
      </c>
      <c r="E863" s="6"/>
      <c r="F863" s="6"/>
      <c r="G863" s="22"/>
      <c r="H863" s="117"/>
      <c r="I863" s="165"/>
      <c r="J863" s="165"/>
      <c r="K863" s="117"/>
      <c r="L863" s="117"/>
      <c r="M863" s="117">
        <f t="shared" si="1"/>
        <v>0</v>
      </c>
    </row>
    <row r="864" ht="22.5" customHeight="1">
      <c r="A864" s="116"/>
      <c r="C864" s="166"/>
      <c r="D864" s="118" t="str">
        <f>IF(FuturesTrades[Opened] &lt;&gt; "",IF(FuturesTrades[Closed] = "", TODAY(), FuturesTrades[Closed]) - FuturesTrades[Opened], "")</f>
        <v/>
      </c>
      <c r="E864" s="6"/>
      <c r="F864" s="6"/>
      <c r="G864" s="22"/>
      <c r="H864" s="117"/>
      <c r="I864" s="165"/>
      <c r="J864" s="165"/>
      <c r="K864" s="117"/>
      <c r="L864" s="117"/>
      <c r="M864" s="117">
        <f t="shared" si="1"/>
        <v>0</v>
      </c>
    </row>
    <row r="865" ht="22.5" customHeight="1">
      <c r="A865" s="116"/>
      <c r="C865" s="166"/>
      <c r="D865" s="118" t="str">
        <f>IF(FuturesTrades[Opened] &lt;&gt; "",IF(FuturesTrades[Closed] = "", TODAY(), FuturesTrades[Closed]) - FuturesTrades[Opened], "")</f>
        <v/>
      </c>
      <c r="E865" s="6"/>
      <c r="F865" s="6"/>
      <c r="G865" s="22"/>
      <c r="H865" s="117"/>
      <c r="I865" s="165"/>
      <c r="J865" s="165"/>
      <c r="K865" s="117"/>
      <c r="L865" s="117"/>
      <c r="M865" s="117">
        <f t="shared" si="1"/>
        <v>0</v>
      </c>
    </row>
    <row r="866" ht="22.5" customHeight="1">
      <c r="A866" s="116"/>
      <c r="C866" s="166"/>
      <c r="D866" s="118" t="str">
        <f>IF(FuturesTrades[Opened] &lt;&gt; "",IF(FuturesTrades[Closed] = "", TODAY(), FuturesTrades[Closed]) - FuturesTrades[Opened], "")</f>
        <v/>
      </c>
      <c r="E866" s="6"/>
      <c r="F866" s="6"/>
      <c r="G866" s="22"/>
      <c r="H866" s="117"/>
      <c r="I866" s="165"/>
      <c r="J866" s="165"/>
      <c r="K866" s="117"/>
      <c r="L866" s="117"/>
      <c r="M866" s="117">
        <f t="shared" si="1"/>
        <v>0</v>
      </c>
    </row>
    <row r="867" ht="22.5" customHeight="1">
      <c r="A867" s="116"/>
      <c r="C867" s="166"/>
      <c r="D867" s="118" t="str">
        <f>IF(FuturesTrades[Opened] &lt;&gt; "",IF(FuturesTrades[Closed] = "", TODAY(), FuturesTrades[Closed]) - FuturesTrades[Opened], "")</f>
        <v/>
      </c>
      <c r="E867" s="6"/>
      <c r="F867" s="6"/>
      <c r="G867" s="22"/>
      <c r="H867" s="117"/>
      <c r="I867" s="165"/>
      <c r="J867" s="165"/>
      <c r="K867" s="117"/>
      <c r="L867" s="117"/>
      <c r="M867" s="117">
        <f t="shared" si="1"/>
        <v>0</v>
      </c>
    </row>
    <row r="868" ht="22.5" customHeight="1">
      <c r="A868" s="116"/>
      <c r="C868" s="166"/>
      <c r="D868" s="118" t="str">
        <f>IF(FuturesTrades[Opened] &lt;&gt; "",IF(FuturesTrades[Closed] = "", TODAY(), FuturesTrades[Closed]) - FuturesTrades[Opened], "")</f>
        <v/>
      </c>
      <c r="E868" s="6"/>
      <c r="F868" s="6"/>
      <c r="G868" s="22"/>
      <c r="H868" s="117"/>
      <c r="I868" s="165"/>
      <c r="J868" s="165"/>
      <c r="K868" s="117"/>
      <c r="L868" s="117"/>
      <c r="M868" s="117">
        <f t="shared" si="1"/>
        <v>0</v>
      </c>
    </row>
    <row r="869" ht="22.5" customHeight="1">
      <c r="A869" s="116"/>
      <c r="C869" s="166"/>
      <c r="D869" s="118" t="str">
        <f>IF(FuturesTrades[Opened] &lt;&gt; "",IF(FuturesTrades[Closed] = "", TODAY(), FuturesTrades[Closed]) - FuturesTrades[Opened], "")</f>
        <v/>
      </c>
      <c r="E869" s="6"/>
      <c r="F869" s="6"/>
      <c r="G869" s="22"/>
      <c r="H869" s="117"/>
      <c r="I869" s="165"/>
      <c r="J869" s="165"/>
      <c r="K869" s="117"/>
      <c r="L869" s="117"/>
      <c r="M869" s="117">
        <f t="shared" si="1"/>
        <v>0</v>
      </c>
    </row>
    <row r="870" ht="22.5" customHeight="1">
      <c r="A870" s="116"/>
      <c r="C870" s="166"/>
      <c r="D870" s="118" t="str">
        <f>IF(FuturesTrades[Opened] &lt;&gt; "",IF(FuturesTrades[Closed] = "", TODAY(), FuturesTrades[Closed]) - FuturesTrades[Opened], "")</f>
        <v/>
      </c>
      <c r="E870" s="6"/>
      <c r="F870" s="6"/>
      <c r="G870" s="22"/>
      <c r="H870" s="117"/>
      <c r="I870" s="165"/>
      <c r="J870" s="165"/>
      <c r="K870" s="117"/>
      <c r="L870" s="117"/>
      <c r="M870" s="117">
        <f t="shared" si="1"/>
        <v>0</v>
      </c>
    </row>
    <row r="871" ht="22.5" customHeight="1">
      <c r="A871" s="116"/>
      <c r="C871" s="166"/>
      <c r="D871" s="118" t="str">
        <f>IF(FuturesTrades[Opened] &lt;&gt; "",IF(FuturesTrades[Closed] = "", TODAY(), FuturesTrades[Closed]) - FuturesTrades[Opened], "")</f>
        <v/>
      </c>
      <c r="E871" s="6"/>
      <c r="F871" s="6"/>
      <c r="G871" s="22"/>
      <c r="H871" s="117"/>
      <c r="I871" s="165"/>
      <c r="J871" s="165"/>
      <c r="K871" s="117"/>
      <c r="L871" s="117"/>
      <c r="M871" s="117">
        <f t="shared" si="1"/>
        <v>0</v>
      </c>
    </row>
    <row r="872" ht="22.5" customHeight="1">
      <c r="A872" s="116"/>
      <c r="C872" s="166"/>
      <c r="D872" s="118" t="str">
        <f>IF(FuturesTrades[Opened] &lt;&gt; "",IF(FuturesTrades[Closed] = "", TODAY(), FuturesTrades[Closed]) - FuturesTrades[Opened], "")</f>
        <v/>
      </c>
      <c r="E872" s="6"/>
      <c r="F872" s="6"/>
      <c r="G872" s="22"/>
      <c r="H872" s="117"/>
      <c r="I872" s="165"/>
      <c r="J872" s="165"/>
      <c r="K872" s="117"/>
      <c r="L872" s="117"/>
      <c r="M872" s="117">
        <f t="shared" si="1"/>
        <v>0</v>
      </c>
    </row>
    <row r="873" ht="22.5" customHeight="1">
      <c r="A873" s="116"/>
      <c r="C873" s="166"/>
      <c r="D873" s="118" t="str">
        <f>IF(FuturesTrades[Opened] &lt;&gt; "",IF(FuturesTrades[Closed] = "", TODAY(), FuturesTrades[Closed]) - FuturesTrades[Opened], "")</f>
        <v/>
      </c>
      <c r="E873" s="6"/>
      <c r="F873" s="6"/>
      <c r="G873" s="22"/>
      <c r="H873" s="117"/>
      <c r="I873" s="165"/>
      <c r="J873" s="165"/>
      <c r="K873" s="117"/>
      <c r="L873" s="117"/>
      <c r="M873" s="117">
        <f t="shared" si="1"/>
        <v>0</v>
      </c>
    </row>
    <row r="874" ht="22.5" customHeight="1">
      <c r="A874" s="116"/>
      <c r="C874" s="166"/>
      <c r="D874" s="118" t="str">
        <f>IF(FuturesTrades[Opened] &lt;&gt; "",IF(FuturesTrades[Closed] = "", TODAY(), FuturesTrades[Closed]) - FuturesTrades[Opened], "")</f>
        <v/>
      </c>
      <c r="E874" s="6"/>
      <c r="F874" s="6"/>
      <c r="G874" s="22"/>
      <c r="H874" s="117"/>
      <c r="I874" s="165"/>
      <c r="J874" s="165"/>
      <c r="K874" s="117"/>
      <c r="L874" s="117"/>
      <c r="M874" s="117">
        <f t="shared" si="1"/>
        <v>0</v>
      </c>
    </row>
    <row r="875" ht="22.5" customHeight="1">
      <c r="A875" s="116"/>
      <c r="C875" s="166"/>
      <c r="D875" s="118" t="str">
        <f>IF(FuturesTrades[Opened] &lt;&gt; "",IF(FuturesTrades[Closed] = "", TODAY(), FuturesTrades[Closed]) - FuturesTrades[Opened], "")</f>
        <v/>
      </c>
      <c r="E875" s="6"/>
      <c r="F875" s="6"/>
      <c r="G875" s="22"/>
      <c r="H875" s="117"/>
      <c r="I875" s="165"/>
      <c r="J875" s="165"/>
      <c r="K875" s="117"/>
      <c r="L875" s="117"/>
      <c r="M875" s="117">
        <f t="shared" si="1"/>
        <v>0</v>
      </c>
    </row>
    <row r="876" ht="22.5" customHeight="1">
      <c r="A876" s="116"/>
      <c r="C876" s="166"/>
      <c r="D876" s="118" t="str">
        <f>IF(FuturesTrades[Opened] &lt;&gt; "",IF(FuturesTrades[Closed] = "", TODAY(), FuturesTrades[Closed]) - FuturesTrades[Opened], "")</f>
        <v/>
      </c>
      <c r="E876" s="6"/>
      <c r="F876" s="6"/>
      <c r="G876" s="22"/>
      <c r="H876" s="117"/>
      <c r="I876" s="165"/>
      <c r="J876" s="165"/>
      <c r="K876" s="117"/>
      <c r="L876" s="117"/>
      <c r="M876" s="117">
        <f t="shared" si="1"/>
        <v>0</v>
      </c>
    </row>
    <row r="877" ht="22.5" customHeight="1">
      <c r="A877" s="116"/>
      <c r="C877" s="166"/>
      <c r="D877" s="118" t="str">
        <f>IF(FuturesTrades[Opened] &lt;&gt; "",IF(FuturesTrades[Closed] = "", TODAY(), FuturesTrades[Closed]) - FuturesTrades[Opened], "")</f>
        <v/>
      </c>
      <c r="E877" s="6"/>
      <c r="F877" s="6"/>
      <c r="G877" s="22"/>
      <c r="H877" s="117"/>
      <c r="I877" s="165"/>
      <c r="J877" s="165"/>
      <c r="K877" s="117"/>
      <c r="L877" s="117"/>
      <c r="M877" s="117">
        <f t="shared" si="1"/>
        <v>0</v>
      </c>
    </row>
    <row r="878" ht="22.5" customHeight="1">
      <c r="A878" s="116"/>
      <c r="C878" s="166"/>
      <c r="D878" s="118" t="str">
        <f>IF(FuturesTrades[Opened] &lt;&gt; "",IF(FuturesTrades[Closed] = "", TODAY(), FuturesTrades[Closed]) - FuturesTrades[Opened], "")</f>
        <v/>
      </c>
      <c r="E878" s="6"/>
      <c r="F878" s="6"/>
      <c r="G878" s="22"/>
      <c r="H878" s="117"/>
      <c r="I878" s="165"/>
      <c r="J878" s="165"/>
      <c r="K878" s="117"/>
      <c r="L878" s="117"/>
      <c r="M878" s="117">
        <f t="shared" si="1"/>
        <v>0</v>
      </c>
    </row>
    <row r="879" ht="22.5" customHeight="1">
      <c r="A879" s="116"/>
      <c r="C879" s="166"/>
      <c r="D879" s="118" t="str">
        <f>IF(FuturesTrades[Opened] &lt;&gt; "",IF(FuturesTrades[Closed] = "", TODAY(), FuturesTrades[Closed]) - FuturesTrades[Opened], "")</f>
        <v/>
      </c>
      <c r="E879" s="6"/>
      <c r="F879" s="6"/>
      <c r="G879" s="22"/>
      <c r="H879" s="117"/>
      <c r="I879" s="165"/>
      <c r="J879" s="165"/>
      <c r="K879" s="117"/>
      <c r="L879" s="117"/>
      <c r="M879" s="117">
        <f t="shared" si="1"/>
        <v>0</v>
      </c>
    </row>
    <row r="880" ht="22.5" customHeight="1">
      <c r="A880" s="116"/>
      <c r="C880" s="166"/>
      <c r="D880" s="118" t="str">
        <f>IF(FuturesTrades[Opened] &lt;&gt; "",IF(FuturesTrades[Closed] = "", TODAY(), FuturesTrades[Closed]) - FuturesTrades[Opened], "")</f>
        <v/>
      </c>
      <c r="E880" s="6"/>
      <c r="F880" s="6"/>
      <c r="G880" s="22"/>
      <c r="H880" s="117"/>
      <c r="I880" s="165"/>
      <c r="J880" s="165"/>
      <c r="K880" s="117"/>
      <c r="L880" s="117"/>
      <c r="M880" s="117">
        <f t="shared" si="1"/>
        <v>0</v>
      </c>
    </row>
    <row r="881" ht="22.5" customHeight="1">
      <c r="A881" s="116"/>
      <c r="C881" s="166"/>
      <c r="D881" s="118" t="str">
        <f>IF(FuturesTrades[Opened] &lt;&gt; "",IF(FuturesTrades[Closed] = "", TODAY(), FuturesTrades[Closed]) - FuturesTrades[Opened], "")</f>
        <v/>
      </c>
      <c r="E881" s="6"/>
      <c r="F881" s="6"/>
      <c r="G881" s="22"/>
      <c r="H881" s="117"/>
      <c r="I881" s="165"/>
      <c r="J881" s="165"/>
      <c r="K881" s="117"/>
      <c r="L881" s="117"/>
      <c r="M881" s="117">
        <f t="shared" si="1"/>
        <v>0</v>
      </c>
    </row>
    <row r="882" ht="22.5" customHeight="1">
      <c r="A882" s="116"/>
      <c r="C882" s="166"/>
      <c r="D882" s="118" t="str">
        <f>IF(FuturesTrades[Opened] &lt;&gt; "",IF(FuturesTrades[Closed] = "", TODAY(), FuturesTrades[Closed]) - FuturesTrades[Opened], "")</f>
        <v/>
      </c>
      <c r="E882" s="6"/>
      <c r="F882" s="6"/>
      <c r="G882" s="22"/>
      <c r="H882" s="117"/>
      <c r="I882" s="165"/>
      <c r="J882" s="165"/>
      <c r="K882" s="117"/>
      <c r="L882" s="117"/>
      <c r="M882" s="117">
        <f t="shared" si="1"/>
        <v>0</v>
      </c>
    </row>
    <row r="883" ht="22.5" customHeight="1">
      <c r="A883" s="116"/>
      <c r="C883" s="166"/>
      <c r="D883" s="118" t="str">
        <f>IF(FuturesTrades[Opened] &lt;&gt; "",IF(FuturesTrades[Closed] = "", TODAY(), FuturesTrades[Closed]) - FuturesTrades[Opened], "")</f>
        <v/>
      </c>
      <c r="E883" s="6"/>
      <c r="F883" s="6"/>
      <c r="G883" s="22"/>
      <c r="H883" s="117"/>
      <c r="I883" s="165"/>
      <c r="J883" s="165"/>
      <c r="K883" s="117"/>
      <c r="L883" s="117"/>
      <c r="M883" s="117">
        <f t="shared" si="1"/>
        <v>0</v>
      </c>
    </row>
    <row r="884" ht="22.5" customHeight="1">
      <c r="A884" s="116"/>
      <c r="C884" s="166"/>
      <c r="D884" s="118" t="str">
        <f>IF(FuturesTrades[Opened] &lt;&gt; "",IF(FuturesTrades[Closed] = "", TODAY(), FuturesTrades[Closed]) - FuturesTrades[Opened], "")</f>
        <v/>
      </c>
      <c r="E884" s="6"/>
      <c r="F884" s="6"/>
      <c r="G884" s="22"/>
      <c r="H884" s="117"/>
      <c r="I884" s="165"/>
      <c r="J884" s="165"/>
      <c r="K884" s="117"/>
      <c r="L884" s="117"/>
      <c r="M884" s="117">
        <f t="shared" si="1"/>
        <v>0</v>
      </c>
    </row>
    <row r="885" ht="22.5" customHeight="1">
      <c r="A885" s="116"/>
      <c r="C885" s="166"/>
      <c r="D885" s="118" t="str">
        <f>IF(FuturesTrades[Opened] &lt;&gt; "",IF(FuturesTrades[Closed] = "", TODAY(), FuturesTrades[Closed]) - FuturesTrades[Opened], "")</f>
        <v/>
      </c>
      <c r="E885" s="6"/>
      <c r="F885" s="6"/>
      <c r="G885" s="22"/>
      <c r="H885" s="117"/>
      <c r="I885" s="165"/>
      <c r="J885" s="165"/>
      <c r="K885" s="117"/>
      <c r="L885" s="117"/>
      <c r="M885" s="117">
        <f t="shared" si="1"/>
        <v>0</v>
      </c>
    </row>
    <row r="886" ht="22.5" customHeight="1">
      <c r="A886" s="116"/>
      <c r="C886" s="166"/>
      <c r="D886" s="118" t="str">
        <f>IF(FuturesTrades[Opened] &lt;&gt; "",IF(FuturesTrades[Closed] = "", TODAY(), FuturesTrades[Closed]) - FuturesTrades[Opened], "")</f>
        <v/>
      </c>
      <c r="E886" s="6"/>
      <c r="F886" s="6"/>
      <c r="G886" s="22"/>
      <c r="H886" s="117"/>
      <c r="I886" s="165"/>
      <c r="J886" s="165"/>
      <c r="K886" s="117"/>
      <c r="L886" s="117"/>
      <c r="M886" s="117">
        <f t="shared" si="1"/>
        <v>0</v>
      </c>
    </row>
    <row r="887" ht="22.5" customHeight="1">
      <c r="A887" s="116"/>
      <c r="C887" s="166"/>
      <c r="D887" s="118" t="str">
        <f>IF(FuturesTrades[Opened] &lt;&gt; "",IF(FuturesTrades[Closed] = "", TODAY(), FuturesTrades[Closed]) - FuturesTrades[Opened], "")</f>
        <v/>
      </c>
      <c r="E887" s="6"/>
      <c r="F887" s="6"/>
      <c r="G887" s="22"/>
      <c r="H887" s="117"/>
      <c r="I887" s="165"/>
      <c r="J887" s="165"/>
      <c r="K887" s="117"/>
      <c r="L887" s="117"/>
      <c r="M887" s="117">
        <f t="shared" si="1"/>
        <v>0</v>
      </c>
    </row>
    <row r="888" ht="22.5" customHeight="1">
      <c r="A888" s="116"/>
      <c r="C888" s="166"/>
      <c r="D888" s="118" t="str">
        <f>IF(FuturesTrades[Opened] &lt;&gt; "",IF(FuturesTrades[Closed] = "", TODAY(), FuturesTrades[Closed]) - FuturesTrades[Opened], "")</f>
        <v/>
      </c>
      <c r="E888" s="6"/>
      <c r="F888" s="6"/>
      <c r="G888" s="22"/>
      <c r="H888" s="117"/>
      <c r="I888" s="165"/>
      <c r="J888" s="165"/>
      <c r="K888" s="117"/>
      <c r="L888" s="117"/>
      <c r="M888" s="117">
        <f t="shared" si="1"/>
        <v>0</v>
      </c>
    </row>
    <row r="889" ht="22.5" customHeight="1">
      <c r="A889" s="116"/>
      <c r="C889" s="166"/>
      <c r="D889" s="118" t="str">
        <f>IF(FuturesTrades[Opened] &lt;&gt; "",IF(FuturesTrades[Closed] = "", TODAY(), FuturesTrades[Closed]) - FuturesTrades[Opened], "")</f>
        <v/>
      </c>
      <c r="E889" s="6"/>
      <c r="F889" s="6"/>
      <c r="G889" s="22"/>
      <c r="H889" s="117"/>
      <c r="I889" s="165"/>
      <c r="J889" s="165"/>
      <c r="K889" s="117"/>
      <c r="L889" s="117"/>
      <c r="M889" s="117">
        <f t="shared" si="1"/>
        <v>0</v>
      </c>
    </row>
    <row r="890" ht="22.5" customHeight="1">
      <c r="A890" s="116"/>
      <c r="C890" s="166"/>
      <c r="D890" s="118" t="str">
        <f>IF(FuturesTrades[Opened] &lt;&gt; "",IF(FuturesTrades[Closed] = "", TODAY(), FuturesTrades[Closed]) - FuturesTrades[Opened], "")</f>
        <v/>
      </c>
      <c r="E890" s="6"/>
      <c r="F890" s="6"/>
      <c r="G890" s="22"/>
      <c r="H890" s="117"/>
      <c r="I890" s="165"/>
      <c r="J890" s="165"/>
      <c r="K890" s="117"/>
      <c r="L890" s="117"/>
      <c r="M890" s="117">
        <f t="shared" si="1"/>
        <v>0</v>
      </c>
    </row>
    <row r="891" ht="22.5" customHeight="1">
      <c r="A891" s="116"/>
      <c r="C891" s="166"/>
      <c r="D891" s="118" t="str">
        <f>IF(FuturesTrades[Opened] &lt;&gt; "",IF(FuturesTrades[Closed] = "", TODAY(), FuturesTrades[Closed]) - FuturesTrades[Opened], "")</f>
        <v/>
      </c>
      <c r="E891" s="6"/>
      <c r="F891" s="6"/>
      <c r="G891" s="22"/>
      <c r="H891" s="117"/>
      <c r="I891" s="165"/>
      <c r="J891" s="165"/>
      <c r="K891" s="117"/>
      <c r="L891" s="117"/>
      <c r="M891" s="117">
        <f t="shared" si="1"/>
        <v>0</v>
      </c>
    </row>
    <row r="892" ht="22.5" customHeight="1">
      <c r="A892" s="116"/>
      <c r="C892" s="166"/>
      <c r="D892" s="118" t="str">
        <f>IF(FuturesTrades[Opened] &lt;&gt; "",IF(FuturesTrades[Closed] = "", TODAY(), FuturesTrades[Closed]) - FuturesTrades[Opened], "")</f>
        <v/>
      </c>
      <c r="E892" s="6"/>
      <c r="F892" s="6"/>
      <c r="G892" s="22"/>
      <c r="H892" s="117"/>
      <c r="I892" s="165"/>
      <c r="J892" s="165"/>
      <c r="K892" s="117"/>
      <c r="L892" s="117"/>
      <c r="M892" s="117">
        <f t="shared" si="1"/>
        <v>0</v>
      </c>
    </row>
    <row r="893" ht="22.5" customHeight="1">
      <c r="A893" s="116"/>
      <c r="C893" s="166"/>
      <c r="D893" s="118" t="str">
        <f>IF(FuturesTrades[Opened] &lt;&gt; "",IF(FuturesTrades[Closed] = "", TODAY(), FuturesTrades[Closed]) - FuturesTrades[Opened], "")</f>
        <v/>
      </c>
      <c r="E893" s="6"/>
      <c r="F893" s="6"/>
      <c r="G893" s="22"/>
      <c r="H893" s="117"/>
      <c r="I893" s="165"/>
      <c r="J893" s="165"/>
      <c r="K893" s="117"/>
      <c r="L893" s="117"/>
      <c r="M893" s="117">
        <f t="shared" si="1"/>
        <v>0</v>
      </c>
    </row>
    <row r="894" ht="22.5" customHeight="1">
      <c r="A894" s="116"/>
      <c r="C894" s="166"/>
      <c r="D894" s="118" t="str">
        <f>IF(FuturesTrades[Opened] &lt;&gt; "",IF(FuturesTrades[Closed] = "", TODAY(), FuturesTrades[Closed]) - FuturesTrades[Opened], "")</f>
        <v/>
      </c>
      <c r="E894" s="6"/>
      <c r="F894" s="6"/>
      <c r="G894" s="22"/>
      <c r="H894" s="117"/>
      <c r="I894" s="165"/>
      <c r="J894" s="165"/>
      <c r="K894" s="117"/>
      <c r="L894" s="117"/>
      <c r="M894" s="117">
        <f t="shared" si="1"/>
        <v>0</v>
      </c>
    </row>
    <row r="895" ht="22.5" customHeight="1">
      <c r="A895" s="116"/>
      <c r="C895" s="166"/>
      <c r="D895" s="118" t="str">
        <f>IF(FuturesTrades[Opened] &lt;&gt; "",IF(FuturesTrades[Closed] = "", TODAY(), FuturesTrades[Closed]) - FuturesTrades[Opened], "")</f>
        <v/>
      </c>
      <c r="E895" s="6"/>
      <c r="F895" s="6"/>
      <c r="G895" s="22"/>
      <c r="H895" s="117"/>
      <c r="I895" s="165"/>
      <c r="J895" s="165"/>
      <c r="K895" s="117"/>
      <c r="L895" s="117"/>
      <c r="M895" s="117">
        <f t="shared" si="1"/>
        <v>0</v>
      </c>
    </row>
    <row r="896" ht="22.5" customHeight="1">
      <c r="A896" s="116"/>
      <c r="C896" s="166"/>
      <c r="D896" s="118" t="str">
        <f>IF(FuturesTrades[Opened] &lt;&gt; "",IF(FuturesTrades[Closed] = "", TODAY(), FuturesTrades[Closed]) - FuturesTrades[Opened], "")</f>
        <v/>
      </c>
      <c r="E896" s="6"/>
      <c r="F896" s="6"/>
      <c r="G896" s="22"/>
      <c r="H896" s="117"/>
      <c r="I896" s="165"/>
      <c r="J896" s="165"/>
      <c r="K896" s="117"/>
      <c r="L896" s="117"/>
      <c r="M896" s="117">
        <f t="shared" si="1"/>
        <v>0</v>
      </c>
    </row>
    <row r="897" ht="22.5" customHeight="1">
      <c r="A897" s="116"/>
      <c r="C897" s="166"/>
      <c r="D897" s="118" t="str">
        <f>IF(FuturesTrades[Opened] &lt;&gt; "",IF(FuturesTrades[Closed] = "", TODAY(), FuturesTrades[Closed]) - FuturesTrades[Opened], "")</f>
        <v/>
      </c>
      <c r="E897" s="6"/>
      <c r="F897" s="6"/>
      <c r="G897" s="22"/>
      <c r="H897" s="117"/>
      <c r="I897" s="165"/>
      <c r="J897" s="165"/>
      <c r="K897" s="117"/>
      <c r="L897" s="117"/>
      <c r="M897" s="117">
        <f t="shared" si="1"/>
        <v>0</v>
      </c>
    </row>
    <row r="898" ht="22.5" customHeight="1">
      <c r="A898" s="116"/>
      <c r="C898" s="166"/>
      <c r="D898" s="118" t="str">
        <f>IF(FuturesTrades[Opened] &lt;&gt; "",IF(FuturesTrades[Closed] = "", TODAY(), FuturesTrades[Closed]) - FuturesTrades[Opened], "")</f>
        <v/>
      </c>
      <c r="E898" s="6"/>
      <c r="F898" s="6"/>
      <c r="G898" s="22"/>
      <c r="H898" s="117"/>
      <c r="I898" s="165"/>
      <c r="J898" s="165"/>
      <c r="K898" s="117"/>
      <c r="L898" s="117"/>
      <c r="M898" s="117">
        <f t="shared" si="1"/>
        <v>0</v>
      </c>
    </row>
    <row r="899" ht="22.5" customHeight="1">
      <c r="A899" s="116"/>
      <c r="C899" s="166"/>
      <c r="D899" s="118" t="str">
        <f>IF(FuturesTrades[Opened] &lt;&gt; "",IF(FuturesTrades[Closed] = "", TODAY(), FuturesTrades[Closed]) - FuturesTrades[Opened], "")</f>
        <v/>
      </c>
      <c r="E899" s="6"/>
      <c r="F899" s="6"/>
      <c r="G899" s="22"/>
      <c r="H899" s="117"/>
      <c r="I899" s="165"/>
      <c r="J899" s="165"/>
      <c r="K899" s="117"/>
      <c r="L899" s="117"/>
      <c r="M899" s="117">
        <f t="shared" si="1"/>
        <v>0</v>
      </c>
    </row>
    <row r="900" ht="22.5" customHeight="1">
      <c r="A900" s="116"/>
      <c r="C900" s="166"/>
      <c r="D900" s="118" t="str">
        <f>IF(FuturesTrades[Opened] &lt;&gt; "",IF(FuturesTrades[Closed] = "", TODAY(), FuturesTrades[Closed]) - FuturesTrades[Opened], "")</f>
        <v/>
      </c>
      <c r="E900" s="6"/>
      <c r="F900" s="6"/>
      <c r="G900" s="22"/>
      <c r="H900" s="117"/>
      <c r="I900" s="165"/>
      <c r="J900" s="165"/>
      <c r="K900" s="117"/>
      <c r="L900" s="117"/>
      <c r="M900" s="117">
        <f t="shared" si="1"/>
        <v>0</v>
      </c>
    </row>
    <row r="901" ht="22.5" customHeight="1">
      <c r="A901" s="116"/>
      <c r="C901" s="166"/>
      <c r="D901" s="118" t="str">
        <f>IF(FuturesTrades[Opened] &lt;&gt; "",IF(FuturesTrades[Closed] = "", TODAY(), FuturesTrades[Closed]) - FuturesTrades[Opened], "")</f>
        <v/>
      </c>
      <c r="E901" s="6"/>
      <c r="F901" s="6"/>
      <c r="G901" s="22"/>
      <c r="H901" s="117"/>
      <c r="I901" s="165"/>
      <c r="J901" s="165"/>
      <c r="K901" s="117"/>
      <c r="L901" s="117"/>
      <c r="M901" s="117">
        <f t="shared" si="1"/>
        <v>0</v>
      </c>
    </row>
    <row r="902" ht="22.5" customHeight="1">
      <c r="A902" s="116"/>
      <c r="C902" s="166"/>
      <c r="D902" s="118" t="str">
        <f>IF(FuturesTrades[Opened] &lt;&gt; "",IF(FuturesTrades[Closed] = "", TODAY(), FuturesTrades[Closed]) - FuturesTrades[Opened], "")</f>
        <v/>
      </c>
      <c r="E902" s="6"/>
      <c r="F902" s="6"/>
      <c r="G902" s="22"/>
      <c r="H902" s="117"/>
      <c r="I902" s="165"/>
      <c r="J902" s="165"/>
      <c r="K902" s="117"/>
      <c r="L902" s="117"/>
      <c r="M902" s="117">
        <f t="shared" si="1"/>
        <v>0</v>
      </c>
    </row>
    <row r="903" ht="22.5" customHeight="1">
      <c r="A903" s="116"/>
      <c r="C903" s="166"/>
      <c r="D903" s="118" t="str">
        <f>IF(FuturesTrades[Opened] &lt;&gt; "",IF(FuturesTrades[Closed] = "", TODAY(), FuturesTrades[Closed]) - FuturesTrades[Opened], "")</f>
        <v/>
      </c>
      <c r="E903" s="6"/>
      <c r="F903" s="6"/>
      <c r="G903" s="22"/>
      <c r="H903" s="117"/>
      <c r="I903" s="165"/>
      <c r="J903" s="165"/>
      <c r="K903" s="117"/>
      <c r="L903" s="117"/>
      <c r="M903" s="117">
        <f t="shared" si="1"/>
        <v>0</v>
      </c>
    </row>
    <row r="904" ht="22.5" customHeight="1">
      <c r="A904" s="116"/>
      <c r="C904" s="166"/>
      <c r="D904" s="118" t="str">
        <f>IF(FuturesTrades[Opened] &lt;&gt; "",IF(FuturesTrades[Closed] = "", TODAY(), FuturesTrades[Closed]) - FuturesTrades[Opened], "")</f>
        <v/>
      </c>
      <c r="E904" s="6"/>
      <c r="F904" s="6"/>
      <c r="G904" s="22"/>
      <c r="H904" s="117"/>
      <c r="I904" s="165"/>
      <c r="J904" s="165"/>
      <c r="K904" s="117"/>
      <c r="L904" s="117"/>
      <c r="M904" s="117">
        <f t="shared" si="1"/>
        <v>0</v>
      </c>
    </row>
    <row r="905" ht="22.5" customHeight="1">
      <c r="A905" s="116"/>
      <c r="C905" s="166"/>
      <c r="D905" s="118" t="str">
        <f>IF(FuturesTrades[Opened] &lt;&gt; "",IF(FuturesTrades[Closed] = "", TODAY(), FuturesTrades[Closed]) - FuturesTrades[Opened], "")</f>
        <v/>
      </c>
      <c r="E905" s="6"/>
      <c r="F905" s="6"/>
      <c r="G905" s="22"/>
      <c r="H905" s="117"/>
      <c r="I905" s="165"/>
      <c r="J905" s="165"/>
      <c r="K905" s="117"/>
      <c r="L905" s="117"/>
      <c r="M905" s="117">
        <f t="shared" si="1"/>
        <v>0</v>
      </c>
    </row>
    <row r="906" ht="22.5" customHeight="1">
      <c r="A906" s="116"/>
      <c r="C906" s="166"/>
      <c r="D906" s="118" t="str">
        <f>IF(FuturesTrades[Opened] &lt;&gt; "",IF(FuturesTrades[Closed] = "", TODAY(), FuturesTrades[Closed]) - FuturesTrades[Opened], "")</f>
        <v/>
      </c>
      <c r="E906" s="6"/>
      <c r="F906" s="6"/>
      <c r="G906" s="22"/>
      <c r="H906" s="117"/>
      <c r="I906" s="165"/>
      <c r="J906" s="165"/>
      <c r="K906" s="117"/>
      <c r="L906" s="117"/>
      <c r="M906" s="117">
        <f t="shared" si="1"/>
        <v>0</v>
      </c>
    </row>
    <row r="907" ht="22.5" customHeight="1">
      <c r="A907" s="116"/>
      <c r="C907" s="166"/>
      <c r="D907" s="118" t="str">
        <f>IF(FuturesTrades[Opened] &lt;&gt; "",IF(FuturesTrades[Closed] = "", TODAY(), FuturesTrades[Closed]) - FuturesTrades[Opened], "")</f>
        <v/>
      </c>
      <c r="E907" s="6"/>
      <c r="F907" s="6"/>
      <c r="G907" s="22"/>
      <c r="H907" s="117"/>
      <c r="I907" s="165"/>
      <c r="J907" s="165"/>
      <c r="K907" s="117"/>
      <c r="L907" s="117"/>
      <c r="M907" s="117">
        <f t="shared" si="1"/>
        <v>0</v>
      </c>
    </row>
    <row r="908" ht="22.5" customHeight="1">
      <c r="A908" s="116"/>
      <c r="C908" s="166"/>
      <c r="D908" s="118" t="str">
        <f>IF(FuturesTrades[Opened] &lt;&gt; "",IF(FuturesTrades[Closed] = "", TODAY(), FuturesTrades[Closed]) - FuturesTrades[Opened], "")</f>
        <v/>
      </c>
      <c r="E908" s="6"/>
      <c r="F908" s="6"/>
      <c r="G908" s="22"/>
      <c r="H908" s="117"/>
      <c r="I908" s="165"/>
      <c r="J908" s="165"/>
      <c r="K908" s="117"/>
      <c r="L908" s="117"/>
      <c r="M908" s="117">
        <f t="shared" si="1"/>
        <v>0</v>
      </c>
    </row>
    <row r="909" ht="22.5" customHeight="1">
      <c r="A909" s="116"/>
      <c r="C909" s="166"/>
      <c r="D909" s="118" t="str">
        <f>IF(FuturesTrades[Opened] &lt;&gt; "",IF(FuturesTrades[Closed] = "", TODAY(), FuturesTrades[Closed]) - FuturesTrades[Opened], "")</f>
        <v/>
      </c>
      <c r="E909" s="6"/>
      <c r="F909" s="6"/>
      <c r="G909" s="22"/>
      <c r="H909" s="117"/>
      <c r="I909" s="165"/>
      <c r="J909" s="165"/>
      <c r="K909" s="117"/>
      <c r="L909" s="117"/>
      <c r="M909" s="117">
        <f t="shared" si="1"/>
        <v>0</v>
      </c>
    </row>
    <row r="910" ht="22.5" customHeight="1">
      <c r="A910" s="116"/>
      <c r="C910" s="166"/>
      <c r="D910" s="118" t="str">
        <f>IF(FuturesTrades[Opened] &lt;&gt; "",IF(FuturesTrades[Closed] = "", TODAY(), FuturesTrades[Closed]) - FuturesTrades[Opened], "")</f>
        <v/>
      </c>
      <c r="E910" s="6"/>
      <c r="F910" s="6"/>
      <c r="G910" s="22"/>
      <c r="H910" s="117"/>
      <c r="I910" s="165"/>
      <c r="J910" s="165"/>
      <c r="K910" s="117"/>
      <c r="L910" s="117"/>
      <c r="M910" s="117">
        <f t="shared" si="1"/>
        <v>0</v>
      </c>
    </row>
    <row r="911" ht="22.5" customHeight="1">
      <c r="A911" s="116"/>
      <c r="C911" s="166"/>
      <c r="D911" s="118" t="str">
        <f>IF(FuturesTrades[Opened] &lt;&gt; "",IF(FuturesTrades[Closed] = "", TODAY(), FuturesTrades[Closed]) - FuturesTrades[Opened], "")</f>
        <v/>
      </c>
      <c r="E911" s="6"/>
      <c r="F911" s="6"/>
      <c r="G911" s="22"/>
      <c r="H911" s="117"/>
      <c r="I911" s="165"/>
      <c r="J911" s="165"/>
      <c r="K911" s="117"/>
      <c r="L911" s="117"/>
      <c r="M911" s="117">
        <f t="shared" si="1"/>
        <v>0</v>
      </c>
    </row>
    <row r="912" ht="22.5" customHeight="1">
      <c r="A912" s="116"/>
      <c r="C912" s="166"/>
      <c r="D912" s="118" t="str">
        <f>IF(FuturesTrades[Opened] &lt;&gt; "",IF(FuturesTrades[Closed] = "", TODAY(), FuturesTrades[Closed]) - FuturesTrades[Opened], "")</f>
        <v/>
      </c>
      <c r="E912" s="6"/>
      <c r="F912" s="6"/>
      <c r="G912" s="22"/>
      <c r="H912" s="117"/>
      <c r="I912" s="165"/>
      <c r="J912" s="165"/>
      <c r="K912" s="117"/>
      <c r="L912" s="117"/>
      <c r="M912" s="117">
        <f t="shared" si="1"/>
        <v>0</v>
      </c>
    </row>
    <row r="913" ht="22.5" customHeight="1">
      <c r="A913" s="116"/>
      <c r="C913" s="166"/>
      <c r="D913" s="118" t="str">
        <f>IF(FuturesTrades[Opened] &lt;&gt; "",IF(FuturesTrades[Closed] = "", TODAY(), FuturesTrades[Closed]) - FuturesTrades[Opened], "")</f>
        <v/>
      </c>
      <c r="E913" s="6"/>
      <c r="F913" s="6"/>
      <c r="G913" s="22"/>
      <c r="H913" s="117"/>
      <c r="I913" s="165"/>
      <c r="J913" s="165"/>
      <c r="K913" s="117"/>
      <c r="L913" s="117"/>
      <c r="M913" s="117">
        <f t="shared" si="1"/>
        <v>0</v>
      </c>
    </row>
    <row r="914" ht="22.5" customHeight="1">
      <c r="A914" s="116"/>
      <c r="C914" s="166"/>
      <c r="D914" s="118" t="str">
        <f>IF(FuturesTrades[Opened] &lt;&gt; "",IF(FuturesTrades[Closed] = "", TODAY(), FuturesTrades[Closed]) - FuturesTrades[Opened], "")</f>
        <v/>
      </c>
      <c r="E914" s="6"/>
      <c r="F914" s="6"/>
      <c r="G914" s="22"/>
      <c r="H914" s="117"/>
      <c r="I914" s="165"/>
      <c r="J914" s="165"/>
      <c r="K914" s="117"/>
      <c r="L914" s="117"/>
      <c r="M914" s="117">
        <f t="shared" si="1"/>
        <v>0</v>
      </c>
    </row>
    <row r="915" ht="22.5" customHeight="1">
      <c r="A915" s="116"/>
      <c r="C915" s="166"/>
      <c r="D915" s="118" t="str">
        <f>IF(FuturesTrades[Opened] &lt;&gt; "",IF(FuturesTrades[Closed] = "", TODAY(), FuturesTrades[Closed]) - FuturesTrades[Opened], "")</f>
        <v/>
      </c>
      <c r="E915" s="6"/>
      <c r="F915" s="6"/>
      <c r="G915" s="22"/>
      <c r="H915" s="117"/>
      <c r="I915" s="165"/>
      <c r="J915" s="165"/>
      <c r="K915" s="117"/>
      <c r="L915" s="117"/>
      <c r="M915" s="117">
        <f t="shared" si="1"/>
        <v>0</v>
      </c>
    </row>
    <row r="916" ht="22.5" customHeight="1">
      <c r="A916" s="116"/>
      <c r="C916" s="166"/>
      <c r="D916" s="118" t="str">
        <f>IF(FuturesTrades[Opened] &lt;&gt; "",IF(FuturesTrades[Closed] = "", TODAY(), FuturesTrades[Closed]) - FuturesTrades[Opened], "")</f>
        <v/>
      </c>
      <c r="E916" s="6"/>
      <c r="F916" s="6"/>
      <c r="G916" s="22"/>
      <c r="H916" s="117"/>
      <c r="I916" s="165"/>
      <c r="J916" s="165"/>
      <c r="K916" s="117"/>
      <c r="L916" s="117"/>
      <c r="M916" s="117">
        <f t="shared" si="1"/>
        <v>0</v>
      </c>
    </row>
    <row r="917" ht="22.5" customHeight="1">
      <c r="A917" s="116"/>
      <c r="C917" s="166"/>
      <c r="D917" s="118" t="str">
        <f>IF(FuturesTrades[Opened] &lt;&gt; "",IF(FuturesTrades[Closed] = "", TODAY(), FuturesTrades[Closed]) - FuturesTrades[Opened], "")</f>
        <v/>
      </c>
      <c r="E917" s="6"/>
      <c r="F917" s="6"/>
      <c r="G917" s="22"/>
      <c r="H917" s="117"/>
      <c r="I917" s="165"/>
      <c r="J917" s="165"/>
      <c r="K917" s="117"/>
      <c r="L917" s="117"/>
      <c r="M917" s="117">
        <f t="shared" si="1"/>
        <v>0</v>
      </c>
    </row>
    <row r="918" ht="22.5" customHeight="1">
      <c r="A918" s="116"/>
      <c r="C918" s="166"/>
      <c r="D918" s="118" t="str">
        <f>IF(FuturesTrades[Opened] &lt;&gt; "",IF(FuturesTrades[Closed] = "", TODAY(), FuturesTrades[Closed]) - FuturesTrades[Opened], "")</f>
        <v/>
      </c>
      <c r="E918" s="6"/>
      <c r="F918" s="6"/>
      <c r="G918" s="22"/>
      <c r="H918" s="117"/>
      <c r="I918" s="165"/>
      <c r="J918" s="165"/>
      <c r="K918" s="117"/>
      <c r="L918" s="117"/>
      <c r="M918" s="117">
        <f t="shared" si="1"/>
        <v>0</v>
      </c>
    </row>
    <row r="919" ht="22.5" customHeight="1">
      <c r="A919" s="116"/>
      <c r="C919" s="166"/>
      <c r="D919" s="118" t="str">
        <f>IF(FuturesTrades[Opened] &lt;&gt; "",IF(FuturesTrades[Closed] = "", TODAY(), FuturesTrades[Closed]) - FuturesTrades[Opened], "")</f>
        <v/>
      </c>
      <c r="E919" s="6"/>
      <c r="F919" s="6"/>
      <c r="G919" s="22"/>
      <c r="H919" s="117"/>
      <c r="I919" s="165"/>
      <c r="J919" s="165"/>
      <c r="K919" s="117"/>
      <c r="L919" s="117"/>
      <c r="M919" s="117">
        <f t="shared" si="1"/>
        <v>0</v>
      </c>
    </row>
    <row r="920" ht="22.5" customHeight="1">
      <c r="A920" s="116"/>
      <c r="C920" s="166"/>
      <c r="D920" s="118" t="str">
        <f>IF(FuturesTrades[Opened] &lt;&gt; "",IF(FuturesTrades[Closed] = "", TODAY(), FuturesTrades[Closed]) - FuturesTrades[Opened], "")</f>
        <v/>
      </c>
      <c r="E920" s="6"/>
      <c r="F920" s="6"/>
      <c r="G920" s="22"/>
      <c r="H920" s="117"/>
      <c r="I920" s="165"/>
      <c r="J920" s="165"/>
      <c r="K920" s="117"/>
      <c r="L920" s="117"/>
      <c r="M920" s="117">
        <f t="shared" si="1"/>
        <v>0</v>
      </c>
    </row>
    <row r="921" ht="22.5" customHeight="1">
      <c r="A921" s="116"/>
      <c r="C921" s="166"/>
      <c r="D921" s="118" t="str">
        <f>IF(FuturesTrades[Opened] &lt;&gt; "",IF(FuturesTrades[Closed] = "", TODAY(), FuturesTrades[Closed]) - FuturesTrades[Opened], "")</f>
        <v/>
      </c>
      <c r="E921" s="6"/>
      <c r="F921" s="6"/>
      <c r="G921" s="22"/>
      <c r="H921" s="117"/>
      <c r="I921" s="165"/>
      <c r="J921" s="165"/>
      <c r="K921" s="117"/>
      <c r="L921" s="117"/>
      <c r="M921" s="117">
        <f t="shared" si="1"/>
        <v>0</v>
      </c>
    </row>
    <row r="922" ht="22.5" customHeight="1">
      <c r="A922" s="116"/>
      <c r="C922" s="166"/>
      <c r="D922" s="118" t="str">
        <f>IF(FuturesTrades[Opened] &lt;&gt; "",IF(FuturesTrades[Closed] = "", TODAY(), FuturesTrades[Closed]) - FuturesTrades[Opened], "")</f>
        <v/>
      </c>
      <c r="E922" s="6"/>
      <c r="F922" s="6"/>
      <c r="G922" s="22"/>
      <c r="H922" s="117"/>
      <c r="I922" s="165"/>
      <c r="J922" s="165"/>
      <c r="K922" s="117"/>
      <c r="L922" s="117"/>
      <c r="M922" s="117">
        <f t="shared" si="1"/>
        <v>0</v>
      </c>
    </row>
    <row r="923" ht="22.5" customHeight="1">
      <c r="A923" s="116"/>
      <c r="C923" s="166"/>
      <c r="D923" s="118" t="str">
        <f>IF(FuturesTrades[Opened] &lt;&gt; "",IF(FuturesTrades[Closed] = "", TODAY(), FuturesTrades[Closed]) - FuturesTrades[Opened], "")</f>
        <v/>
      </c>
      <c r="E923" s="6"/>
      <c r="F923" s="6"/>
      <c r="G923" s="22"/>
      <c r="H923" s="117"/>
      <c r="I923" s="165"/>
      <c r="J923" s="165"/>
      <c r="K923" s="117"/>
      <c r="L923" s="117"/>
      <c r="M923" s="117">
        <f t="shared" si="1"/>
        <v>0</v>
      </c>
    </row>
    <row r="924" ht="22.5" customHeight="1">
      <c r="A924" s="116"/>
      <c r="C924" s="166"/>
      <c r="D924" s="118" t="str">
        <f>IF(FuturesTrades[Opened] &lt;&gt; "",IF(FuturesTrades[Closed] = "", TODAY(), FuturesTrades[Closed]) - FuturesTrades[Opened], "")</f>
        <v/>
      </c>
      <c r="E924" s="6"/>
      <c r="F924" s="6"/>
      <c r="G924" s="22"/>
      <c r="H924" s="117"/>
      <c r="I924" s="165"/>
      <c r="J924" s="165"/>
      <c r="K924" s="117"/>
      <c r="L924" s="117"/>
      <c r="M924" s="117">
        <f t="shared" si="1"/>
        <v>0</v>
      </c>
    </row>
    <row r="925" ht="22.5" customHeight="1">
      <c r="A925" s="116"/>
      <c r="C925" s="166"/>
      <c r="D925" s="118" t="str">
        <f>IF(FuturesTrades[Opened] &lt;&gt; "",IF(FuturesTrades[Closed] = "", TODAY(), FuturesTrades[Closed]) - FuturesTrades[Opened], "")</f>
        <v/>
      </c>
      <c r="E925" s="6"/>
      <c r="F925" s="6"/>
      <c r="G925" s="22"/>
      <c r="H925" s="117"/>
      <c r="I925" s="165"/>
      <c r="J925" s="165"/>
      <c r="K925" s="117"/>
      <c r="L925" s="117"/>
      <c r="M925" s="117">
        <f t="shared" si="1"/>
        <v>0</v>
      </c>
    </row>
    <row r="926" ht="22.5" customHeight="1">
      <c r="A926" s="116"/>
      <c r="C926" s="166"/>
      <c r="D926" s="118" t="str">
        <f>IF(FuturesTrades[Opened] &lt;&gt; "",IF(FuturesTrades[Closed] = "", TODAY(), FuturesTrades[Closed]) - FuturesTrades[Opened], "")</f>
        <v/>
      </c>
      <c r="E926" s="6"/>
      <c r="F926" s="6"/>
      <c r="G926" s="22"/>
      <c r="H926" s="117"/>
      <c r="I926" s="165"/>
      <c r="J926" s="165"/>
      <c r="K926" s="117"/>
      <c r="L926" s="117"/>
      <c r="M926" s="117">
        <f t="shared" si="1"/>
        <v>0</v>
      </c>
    </row>
    <row r="927" ht="22.5" customHeight="1">
      <c r="A927" s="116"/>
      <c r="C927" s="166"/>
      <c r="D927" s="118" t="str">
        <f>IF(FuturesTrades[Opened] &lt;&gt; "",IF(FuturesTrades[Closed] = "", TODAY(), FuturesTrades[Closed]) - FuturesTrades[Opened], "")</f>
        <v/>
      </c>
      <c r="E927" s="6"/>
      <c r="F927" s="6"/>
      <c r="G927" s="22"/>
      <c r="H927" s="117"/>
      <c r="I927" s="165"/>
      <c r="J927" s="165"/>
      <c r="K927" s="117"/>
      <c r="L927" s="117"/>
      <c r="M927" s="117">
        <f t="shared" si="1"/>
        <v>0</v>
      </c>
    </row>
    <row r="928" ht="22.5" customHeight="1">
      <c r="A928" s="116"/>
      <c r="C928" s="166"/>
      <c r="D928" s="118" t="str">
        <f>IF(FuturesTrades[Opened] &lt;&gt; "",IF(FuturesTrades[Closed] = "", TODAY(), FuturesTrades[Closed]) - FuturesTrades[Opened], "")</f>
        <v/>
      </c>
      <c r="E928" s="6"/>
      <c r="F928" s="6"/>
      <c r="G928" s="22"/>
      <c r="H928" s="117"/>
      <c r="I928" s="165"/>
      <c r="J928" s="165"/>
      <c r="K928" s="117"/>
      <c r="L928" s="117"/>
      <c r="M928" s="117">
        <f t="shared" si="1"/>
        <v>0</v>
      </c>
    </row>
    <row r="929" ht="22.5" customHeight="1">
      <c r="A929" s="116"/>
      <c r="C929" s="166"/>
      <c r="D929" s="118" t="str">
        <f>IF(FuturesTrades[Opened] &lt;&gt; "",IF(FuturesTrades[Closed] = "", TODAY(), FuturesTrades[Closed]) - FuturesTrades[Opened], "")</f>
        <v/>
      </c>
      <c r="E929" s="6"/>
      <c r="F929" s="6"/>
      <c r="G929" s="22"/>
      <c r="H929" s="117"/>
      <c r="I929" s="165"/>
      <c r="J929" s="165"/>
      <c r="K929" s="117"/>
      <c r="L929" s="117"/>
      <c r="M929" s="117">
        <f t="shared" si="1"/>
        <v>0</v>
      </c>
    </row>
    <row r="930" ht="22.5" customHeight="1">
      <c r="A930" s="116"/>
      <c r="C930" s="166"/>
      <c r="D930" s="118" t="str">
        <f>IF(FuturesTrades[Opened] &lt;&gt; "",IF(FuturesTrades[Closed] = "", TODAY(), FuturesTrades[Closed]) - FuturesTrades[Opened], "")</f>
        <v/>
      </c>
      <c r="E930" s="6"/>
      <c r="F930" s="6"/>
      <c r="G930" s="22"/>
      <c r="H930" s="117"/>
      <c r="I930" s="165"/>
      <c r="J930" s="165"/>
      <c r="K930" s="117"/>
      <c r="L930" s="117"/>
      <c r="M930" s="117">
        <f t="shared" si="1"/>
        <v>0</v>
      </c>
    </row>
    <row r="931" ht="22.5" customHeight="1">
      <c r="A931" s="116"/>
      <c r="C931" s="166"/>
      <c r="D931" s="118" t="str">
        <f>IF(FuturesTrades[Opened] &lt;&gt; "",IF(FuturesTrades[Closed] = "", TODAY(), FuturesTrades[Closed]) - FuturesTrades[Opened], "")</f>
        <v/>
      </c>
      <c r="E931" s="6"/>
      <c r="F931" s="6"/>
      <c r="G931" s="22"/>
      <c r="H931" s="117"/>
      <c r="I931" s="165"/>
      <c r="J931" s="165"/>
      <c r="K931" s="117"/>
      <c r="L931" s="117"/>
      <c r="M931" s="117">
        <f t="shared" si="1"/>
        <v>0</v>
      </c>
    </row>
    <row r="932" ht="22.5" customHeight="1">
      <c r="A932" s="116"/>
      <c r="C932" s="166"/>
      <c r="D932" s="118" t="str">
        <f>IF(FuturesTrades[Opened] &lt;&gt; "",IF(FuturesTrades[Closed] = "", TODAY(), FuturesTrades[Closed]) - FuturesTrades[Opened], "")</f>
        <v/>
      </c>
      <c r="E932" s="6"/>
      <c r="F932" s="6"/>
      <c r="G932" s="22"/>
      <c r="H932" s="117"/>
      <c r="I932" s="165"/>
      <c r="J932" s="165"/>
      <c r="K932" s="117"/>
      <c r="L932" s="117"/>
      <c r="M932" s="117">
        <f t="shared" si="1"/>
        <v>0</v>
      </c>
    </row>
    <row r="933" ht="22.5" customHeight="1">
      <c r="A933" s="116"/>
      <c r="C933" s="166"/>
      <c r="D933" s="118" t="str">
        <f>IF(FuturesTrades[Opened] &lt;&gt; "",IF(FuturesTrades[Closed] = "", TODAY(), FuturesTrades[Closed]) - FuturesTrades[Opened], "")</f>
        <v/>
      </c>
      <c r="E933" s="6"/>
      <c r="F933" s="6"/>
      <c r="G933" s="22"/>
      <c r="H933" s="117"/>
      <c r="I933" s="165"/>
      <c r="J933" s="165"/>
      <c r="K933" s="117"/>
      <c r="L933" s="117"/>
      <c r="M933" s="117">
        <f t="shared" si="1"/>
        <v>0</v>
      </c>
    </row>
    <row r="934" ht="22.5" customHeight="1">
      <c r="A934" s="116"/>
      <c r="C934" s="166"/>
      <c r="D934" s="118" t="str">
        <f>IF(FuturesTrades[Opened] &lt;&gt; "",IF(FuturesTrades[Closed] = "", TODAY(), FuturesTrades[Closed]) - FuturesTrades[Opened], "")</f>
        <v/>
      </c>
      <c r="E934" s="6"/>
      <c r="F934" s="6"/>
      <c r="G934" s="22"/>
      <c r="H934" s="117"/>
      <c r="I934" s="165"/>
      <c r="J934" s="165"/>
      <c r="K934" s="117"/>
      <c r="L934" s="117"/>
      <c r="M934" s="117">
        <f t="shared" si="1"/>
        <v>0</v>
      </c>
    </row>
    <row r="935" ht="22.5" customHeight="1">
      <c r="A935" s="116"/>
      <c r="C935" s="166"/>
      <c r="D935" s="118" t="str">
        <f>IF(FuturesTrades[Opened] &lt;&gt; "",IF(FuturesTrades[Closed] = "", TODAY(), FuturesTrades[Closed]) - FuturesTrades[Opened], "")</f>
        <v/>
      </c>
      <c r="E935" s="6"/>
      <c r="F935" s="6"/>
      <c r="G935" s="22"/>
      <c r="H935" s="117"/>
      <c r="I935" s="165"/>
      <c r="J935" s="165"/>
      <c r="K935" s="117"/>
      <c r="L935" s="117"/>
      <c r="M935" s="117">
        <f t="shared" si="1"/>
        <v>0</v>
      </c>
    </row>
    <row r="936" ht="22.5" customHeight="1">
      <c r="A936" s="116"/>
      <c r="C936" s="166"/>
      <c r="D936" s="118" t="str">
        <f>IF(FuturesTrades[Opened] &lt;&gt; "",IF(FuturesTrades[Closed] = "", TODAY(), FuturesTrades[Closed]) - FuturesTrades[Opened], "")</f>
        <v/>
      </c>
      <c r="E936" s="6"/>
      <c r="F936" s="6"/>
      <c r="G936" s="22"/>
      <c r="H936" s="117"/>
      <c r="I936" s="165"/>
      <c r="J936" s="165"/>
      <c r="K936" s="117"/>
      <c r="L936" s="117"/>
      <c r="M936" s="117">
        <f t="shared" si="1"/>
        <v>0</v>
      </c>
    </row>
    <row r="937" ht="22.5" customHeight="1">
      <c r="A937" s="116"/>
      <c r="C937" s="166"/>
      <c r="D937" s="118" t="str">
        <f>IF(FuturesTrades[Opened] &lt;&gt; "",IF(FuturesTrades[Closed] = "", TODAY(), FuturesTrades[Closed]) - FuturesTrades[Opened], "")</f>
        <v/>
      </c>
      <c r="E937" s="6"/>
      <c r="F937" s="6"/>
      <c r="G937" s="22"/>
      <c r="H937" s="117"/>
      <c r="I937" s="165"/>
      <c r="J937" s="165"/>
      <c r="K937" s="117"/>
      <c r="L937" s="117"/>
      <c r="M937" s="117">
        <f t="shared" si="1"/>
        <v>0</v>
      </c>
    </row>
    <row r="938" ht="22.5" customHeight="1">
      <c r="A938" s="116"/>
      <c r="C938" s="166"/>
      <c r="D938" s="118" t="str">
        <f>IF(FuturesTrades[Opened] &lt;&gt; "",IF(FuturesTrades[Closed] = "", TODAY(), FuturesTrades[Closed]) - FuturesTrades[Opened], "")</f>
        <v/>
      </c>
      <c r="E938" s="6"/>
      <c r="F938" s="6"/>
      <c r="G938" s="22"/>
      <c r="H938" s="117"/>
      <c r="I938" s="165"/>
      <c r="J938" s="165"/>
      <c r="K938" s="117"/>
      <c r="L938" s="117"/>
      <c r="M938" s="117">
        <f t="shared" si="1"/>
        <v>0</v>
      </c>
    </row>
    <row r="939" ht="22.5" customHeight="1">
      <c r="A939" s="116"/>
      <c r="C939" s="166"/>
      <c r="D939" s="118" t="str">
        <f>IF(FuturesTrades[Opened] &lt;&gt; "",IF(FuturesTrades[Closed] = "", TODAY(), FuturesTrades[Closed]) - FuturesTrades[Opened], "")</f>
        <v/>
      </c>
      <c r="E939" s="6"/>
      <c r="F939" s="6"/>
      <c r="G939" s="22"/>
      <c r="H939" s="117"/>
      <c r="I939" s="165"/>
      <c r="J939" s="165"/>
      <c r="K939" s="117"/>
      <c r="L939" s="117"/>
      <c r="M939" s="117">
        <f t="shared" si="1"/>
        <v>0</v>
      </c>
    </row>
    <row r="940" ht="22.5" customHeight="1">
      <c r="A940" s="116"/>
      <c r="C940" s="166"/>
      <c r="D940" s="118" t="str">
        <f>IF(FuturesTrades[Opened] &lt;&gt; "",IF(FuturesTrades[Closed] = "", TODAY(), FuturesTrades[Closed]) - FuturesTrades[Opened], "")</f>
        <v/>
      </c>
      <c r="E940" s="6"/>
      <c r="F940" s="6"/>
      <c r="G940" s="22"/>
      <c r="H940" s="117"/>
      <c r="I940" s="165"/>
      <c r="J940" s="165"/>
      <c r="K940" s="117"/>
      <c r="L940" s="117"/>
      <c r="M940" s="117">
        <f t="shared" si="1"/>
        <v>0</v>
      </c>
    </row>
    <row r="941" ht="22.5" customHeight="1">
      <c r="A941" s="116"/>
      <c r="C941" s="166"/>
      <c r="D941" s="118" t="str">
        <f>IF(FuturesTrades[Opened] &lt;&gt; "",IF(FuturesTrades[Closed] = "", TODAY(), FuturesTrades[Closed]) - FuturesTrades[Opened], "")</f>
        <v/>
      </c>
      <c r="E941" s="6"/>
      <c r="F941" s="6"/>
      <c r="G941" s="22"/>
      <c r="H941" s="117"/>
      <c r="I941" s="165"/>
      <c r="J941" s="165"/>
      <c r="K941" s="117"/>
      <c r="L941" s="117"/>
      <c r="M941" s="117">
        <f t="shared" si="1"/>
        <v>0</v>
      </c>
    </row>
    <row r="942" ht="22.5" customHeight="1">
      <c r="A942" s="116"/>
      <c r="C942" s="166"/>
      <c r="D942" s="118" t="str">
        <f>IF(FuturesTrades[Opened] &lt;&gt; "",IF(FuturesTrades[Closed] = "", TODAY(), FuturesTrades[Closed]) - FuturesTrades[Opened], "")</f>
        <v/>
      </c>
      <c r="E942" s="6"/>
      <c r="F942" s="6"/>
      <c r="G942" s="22"/>
      <c r="H942" s="117"/>
      <c r="I942" s="165"/>
      <c r="J942" s="165"/>
      <c r="K942" s="117"/>
      <c r="L942" s="117"/>
      <c r="M942" s="117">
        <f t="shared" si="1"/>
        <v>0</v>
      </c>
    </row>
    <row r="943" ht="22.5" customHeight="1">
      <c r="A943" s="116"/>
      <c r="C943" s="166"/>
      <c r="D943" s="118" t="str">
        <f>IF(FuturesTrades[Opened] &lt;&gt; "",IF(FuturesTrades[Closed] = "", TODAY(), FuturesTrades[Closed]) - FuturesTrades[Opened], "")</f>
        <v/>
      </c>
      <c r="E943" s="6"/>
      <c r="F943" s="6"/>
      <c r="G943" s="22"/>
      <c r="H943" s="117"/>
      <c r="I943" s="165"/>
      <c r="J943" s="165"/>
      <c r="K943" s="117"/>
      <c r="L943" s="117"/>
      <c r="M943" s="117">
        <f t="shared" si="1"/>
        <v>0</v>
      </c>
    </row>
    <row r="944" ht="22.5" customHeight="1">
      <c r="A944" s="116"/>
      <c r="C944" s="166"/>
      <c r="D944" s="118" t="str">
        <f>IF(FuturesTrades[Opened] &lt;&gt; "",IF(FuturesTrades[Closed] = "", TODAY(), FuturesTrades[Closed]) - FuturesTrades[Opened], "")</f>
        <v/>
      </c>
      <c r="E944" s="6"/>
      <c r="F944" s="6"/>
      <c r="G944" s="22"/>
      <c r="H944" s="117"/>
      <c r="I944" s="165"/>
      <c r="J944" s="165"/>
      <c r="K944" s="117"/>
      <c r="L944" s="117"/>
      <c r="M944" s="117">
        <f t="shared" si="1"/>
        <v>0</v>
      </c>
    </row>
    <row r="945" ht="22.5" customHeight="1">
      <c r="A945" s="116"/>
      <c r="C945" s="166"/>
      <c r="D945" s="118" t="str">
        <f>IF(FuturesTrades[Opened] &lt;&gt; "",IF(FuturesTrades[Closed] = "", TODAY(), FuturesTrades[Closed]) - FuturesTrades[Opened], "")</f>
        <v/>
      </c>
      <c r="E945" s="6"/>
      <c r="F945" s="6"/>
      <c r="G945" s="22"/>
      <c r="H945" s="117"/>
      <c r="I945" s="165"/>
      <c r="J945" s="165"/>
      <c r="K945" s="117"/>
      <c r="L945" s="117"/>
      <c r="M945" s="117">
        <f t="shared" si="1"/>
        <v>0</v>
      </c>
    </row>
    <row r="946" ht="22.5" customHeight="1">
      <c r="A946" s="116"/>
      <c r="C946" s="166"/>
      <c r="D946" s="118" t="str">
        <f>IF(FuturesTrades[Opened] &lt;&gt; "",IF(FuturesTrades[Closed] = "", TODAY(), FuturesTrades[Closed]) - FuturesTrades[Opened], "")</f>
        <v/>
      </c>
      <c r="E946" s="6"/>
      <c r="F946" s="6"/>
      <c r="G946" s="22"/>
      <c r="H946" s="117"/>
      <c r="I946" s="165"/>
      <c r="J946" s="165"/>
      <c r="K946" s="117"/>
      <c r="L946" s="117"/>
      <c r="M946" s="117">
        <f t="shared" si="1"/>
        <v>0</v>
      </c>
    </row>
    <row r="947" ht="22.5" customHeight="1">
      <c r="A947" s="116"/>
      <c r="C947" s="166"/>
      <c r="D947" s="118" t="str">
        <f>IF(FuturesTrades[Opened] &lt;&gt; "",IF(FuturesTrades[Closed] = "", TODAY(), FuturesTrades[Closed]) - FuturesTrades[Opened], "")</f>
        <v/>
      </c>
      <c r="E947" s="6"/>
      <c r="F947" s="6"/>
      <c r="G947" s="22"/>
      <c r="H947" s="117"/>
      <c r="I947" s="165"/>
      <c r="J947" s="165"/>
      <c r="K947" s="117"/>
      <c r="L947" s="117"/>
      <c r="M947" s="117">
        <f t="shared" si="1"/>
        <v>0</v>
      </c>
    </row>
    <row r="948" ht="22.5" customHeight="1">
      <c r="A948" s="116"/>
      <c r="C948" s="166"/>
      <c r="D948" s="118" t="str">
        <f>IF(FuturesTrades[Opened] &lt;&gt; "",IF(FuturesTrades[Closed] = "", TODAY(), FuturesTrades[Closed]) - FuturesTrades[Opened], "")</f>
        <v/>
      </c>
      <c r="E948" s="6"/>
      <c r="F948" s="6"/>
      <c r="G948" s="22"/>
      <c r="H948" s="117"/>
      <c r="I948" s="165"/>
      <c r="J948" s="165"/>
      <c r="K948" s="117"/>
      <c r="L948" s="117"/>
      <c r="M948" s="117">
        <f t="shared" si="1"/>
        <v>0</v>
      </c>
    </row>
    <row r="949" ht="22.5" customHeight="1">
      <c r="A949" s="116"/>
      <c r="C949" s="166"/>
      <c r="D949" s="118" t="str">
        <f>IF(FuturesTrades[Opened] &lt;&gt; "",IF(FuturesTrades[Closed] = "", TODAY(), FuturesTrades[Closed]) - FuturesTrades[Opened], "")</f>
        <v/>
      </c>
      <c r="E949" s="6"/>
      <c r="F949" s="6"/>
      <c r="G949" s="22"/>
      <c r="H949" s="117"/>
      <c r="I949" s="165"/>
      <c r="J949" s="165"/>
      <c r="K949" s="117"/>
      <c r="L949" s="117"/>
      <c r="M949" s="117">
        <f t="shared" si="1"/>
        <v>0</v>
      </c>
    </row>
    <row r="950" ht="22.5" customHeight="1">
      <c r="A950" s="116"/>
      <c r="C950" s="166"/>
      <c r="D950" s="118" t="str">
        <f>IF(FuturesTrades[Opened] &lt;&gt; "",IF(FuturesTrades[Closed] = "", TODAY(), FuturesTrades[Closed]) - FuturesTrades[Opened], "")</f>
        <v/>
      </c>
      <c r="E950" s="6"/>
      <c r="F950" s="6"/>
      <c r="G950" s="22"/>
      <c r="H950" s="117"/>
      <c r="I950" s="165"/>
      <c r="J950" s="165"/>
      <c r="K950" s="117"/>
      <c r="L950" s="117"/>
      <c r="M950" s="117">
        <f t="shared" si="1"/>
        <v>0</v>
      </c>
    </row>
    <row r="951" ht="22.5" customHeight="1">
      <c r="A951" s="116"/>
      <c r="C951" s="166"/>
      <c r="D951" s="118" t="str">
        <f>IF(FuturesTrades[Opened] &lt;&gt; "",IF(FuturesTrades[Closed] = "", TODAY(), FuturesTrades[Closed]) - FuturesTrades[Opened], "")</f>
        <v/>
      </c>
      <c r="E951" s="6"/>
      <c r="F951" s="6"/>
      <c r="G951" s="22"/>
      <c r="H951" s="117"/>
      <c r="I951" s="165"/>
      <c r="J951" s="165"/>
      <c r="K951" s="117"/>
      <c r="L951" s="117"/>
      <c r="M951" s="117">
        <f t="shared" si="1"/>
        <v>0</v>
      </c>
    </row>
    <row r="952" ht="22.5" customHeight="1">
      <c r="A952" s="116"/>
      <c r="C952" s="166"/>
      <c r="D952" s="118" t="str">
        <f>IF(FuturesTrades[Opened] &lt;&gt; "",IF(FuturesTrades[Closed] = "", TODAY(), FuturesTrades[Closed]) - FuturesTrades[Opened], "")</f>
        <v/>
      </c>
      <c r="E952" s="6"/>
      <c r="F952" s="6"/>
      <c r="G952" s="22"/>
      <c r="H952" s="117"/>
      <c r="I952" s="165"/>
      <c r="J952" s="165"/>
      <c r="K952" s="117"/>
      <c r="L952" s="117"/>
      <c r="M952" s="117">
        <f t="shared" si="1"/>
        <v>0</v>
      </c>
    </row>
    <row r="953" ht="22.5" customHeight="1">
      <c r="A953" s="116"/>
      <c r="C953" s="166"/>
      <c r="D953" s="118" t="str">
        <f>IF(FuturesTrades[Opened] &lt;&gt; "",IF(FuturesTrades[Closed] = "", TODAY(), FuturesTrades[Closed]) - FuturesTrades[Opened], "")</f>
        <v/>
      </c>
      <c r="E953" s="6"/>
      <c r="F953" s="6"/>
      <c r="G953" s="22"/>
      <c r="H953" s="117"/>
      <c r="I953" s="165"/>
      <c r="J953" s="165"/>
      <c r="K953" s="117"/>
      <c r="L953" s="117"/>
      <c r="M953" s="117">
        <f t="shared" si="1"/>
        <v>0</v>
      </c>
    </row>
    <row r="954" ht="22.5" customHeight="1">
      <c r="A954" s="116"/>
      <c r="C954" s="166"/>
      <c r="D954" s="118" t="str">
        <f>IF(FuturesTrades[Opened] &lt;&gt; "",IF(FuturesTrades[Closed] = "", TODAY(), FuturesTrades[Closed]) - FuturesTrades[Opened], "")</f>
        <v/>
      </c>
      <c r="E954" s="6"/>
      <c r="F954" s="6"/>
      <c r="G954" s="22"/>
      <c r="H954" s="117"/>
      <c r="I954" s="165"/>
      <c r="J954" s="165"/>
      <c r="K954" s="117"/>
      <c r="L954" s="117"/>
      <c r="M954" s="117">
        <f t="shared" si="1"/>
        <v>0</v>
      </c>
    </row>
    <row r="955" ht="22.5" customHeight="1">
      <c r="A955" s="116"/>
      <c r="C955" s="166"/>
      <c r="D955" s="118" t="str">
        <f>IF(FuturesTrades[Opened] &lt;&gt; "",IF(FuturesTrades[Closed] = "", TODAY(), FuturesTrades[Closed]) - FuturesTrades[Opened], "")</f>
        <v/>
      </c>
      <c r="E955" s="6"/>
      <c r="F955" s="6"/>
      <c r="G955" s="22"/>
      <c r="H955" s="117"/>
      <c r="I955" s="165"/>
      <c r="J955" s="165"/>
      <c r="K955" s="117"/>
      <c r="L955" s="117"/>
      <c r="M955" s="117">
        <f t="shared" si="1"/>
        <v>0</v>
      </c>
    </row>
    <row r="956" ht="22.5" customHeight="1">
      <c r="A956" s="116"/>
      <c r="C956" s="166"/>
      <c r="D956" s="118" t="str">
        <f>IF(FuturesTrades[Opened] &lt;&gt; "",IF(FuturesTrades[Closed] = "", TODAY(), FuturesTrades[Closed]) - FuturesTrades[Opened], "")</f>
        <v/>
      </c>
      <c r="E956" s="6"/>
      <c r="F956" s="6"/>
      <c r="G956" s="22"/>
      <c r="H956" s="117"/>
      <c r="I956" s="165"/>
      <c r="J956" s="165"/>
      <c r="K956" s="117"/>
      <c r="L956" s="117"/>
      <c r="M956" s="117">
        <f t="shared" si="1"/>
        <v>0</v>
      </c>
    </row>
    <row r="957" ht="22.5" customHeight="1">
      <c r="A957" s="116"/>
      <c r="C957" s="166"/>
      <c r="D957" s="118" t="str">
        <f>IF(FuturesTrades[Opened] &lt;&gt; "",IF(FuturesTrades[Closed] = "", TODAY(), FuturesTrades[Closed]) - FuturesTrades[Opened], "")</f>
        <v/>
      </c>
      <c r="E957" s="6"/>
      <c r="F957" s="6"/>
      <c r="G957" s="22"/>
      <c r="H957" s="117"/>
      <c r="I957" s="165"/>
      <c r="J957" s="165"/>
      <c r="K957" s="117"/>
      <c r="L957" s="117"/>
      <c r="M957" s="117">
        <f t="shared" si="1"/>
        <v>0</v>
      </c>
    </row>
    <row r="958" ht="22.5" customHeight="1">
      <c r="A958" s="116"/>
      <c r="C958" s="166"/>
      <c r="D958" s="118" t="str">
        <f>IF(FuturesTrades[Opened] &lt;&gt; "",IF(FuturesTrades[Closed] = "", TODAY(), FuturesTrades[Closed]) - FuturesTrades[Opened], "")</f>
        <v/>
      </c>
      <c r="E958" s="6"/>
      <c r="F958" s="6"/>
      <c r="G958" s="22"/>
      <c r="H958" s="117"/>
      <c r="I958" s="165"/>
      <c r="J958" s="165"/>
      <c r="K958" s="117"/>
      <c r="L958" s="117"/>
      <c r="M958" s="117">
        <f t="shared" si="1"/>
        <v>0</v>
      </c>
    </row>
    <row r="959" ht="22.5" customHeight="1">
      <c r="A959" s="116"/>
      <c r="C959" s="166"/>
      <c r="D959" s="118" t="str">
        <f>IF(FuturesTrades[Opened] &lt;&gt; "",IF(FuturesTrades[Closed] = "", TODAY(), FuturesTrades[Closed]) - FuturesTrades[Opened], "")</f>
        <v/>
      </c>
      <c r="E959" s="6"/>
      <c r="F959" s="6"/>
      <c r="G959" s="22"/>
      <c r="H959" s="117"/>
      <c r="I959" s="165"/>
      <c r="J959" s="165"/>
      <c r="K959" s="117"/>
      <c r="L959" s="117"/>
      <c r="M959" s="117">
        <f t="shared" si="1"/>
        <v>0</v>
      </c>
    </row>
    <row r="960" ht="22.5" customHeight="1">
      <c r="A960" s="116"/>
      <c r="C960" s="166"/>
      <c r="D960" s="118" t="str">
        <f>IF(FuturesTrades[Opened] &lt;&gt; "",IF(FuturesTrades[Closed] = "", TODAY(), FuturesTrades[Closed]) - FuturesTrades[Opened], "")</f>
        <v/>
      </c>
      <c r="E960" s="6"/>
      <c r="F960" s="6"/>
      <c r="G960" s="22"/>
      <c r="H960" s="117"/>
      <c r="I960" s="165"/>
      <c r="J960" s="165"/>
      <c r="K960" s="117"/>
      <c r="L960" s="117"/>
      <c r="M960" s="117">
        <f t="shared" si="1"/>
        <v>0</v>
      </c>
    </row>
    <row r="961" ht="22.5" customHeight="1">
      <c r="A961" s="116"/>
      <c r="C961" s="166"/>
      <c r="D961" s="118" t="str">
        <f>IF(FuturesTrades[Opened] &lt;&gt; "",IF(FuturesTrades[Closed] = "", TODAY(), FuturesTrades[Closed]) - FuturesTrades[Opened], "")</f>
        <v/>
      </c>
      <c r="E961" s="6"/>
      <c r="F961" s="6"/>
      <c r="G961" s="22"/>
      <c r="H961" s="117"/>
      <c r="I961" s="165"/>
      <c r="J961" s="165"/>
      <c r="K961" s="117"/>
      <c r="L961" s="117"/>
      <c r="M961" s="117">
        <f t="shared" si="1"/>
        <v>0</v>
      </c>
    </row>
    <row r="962" ht="22.5" customHeight="1">
      <c r="A962" s="116"/>
      <c r="C962" s="166"/>
      <c r="D962" s="118" t="str">
        <f>IF(FuturesTrades[Opened] &lt;&gt; "",IF(FuturesTrades[Closed] = "", TODAY(), FuturesTrades[Closed]) - FuturesTrades[Opened], "")</f>
        <v/>
      </c>
      <c r="E962" s="6"/>
      <c r="F962" s="6"/>
      <c r="G962" s="22"/>
      <c r="H962" s="117"/>
      <c r="I962" s="165"/>
      <c r="J962" s="165"/>
      <c r="K962" s="117"/>
      <c r="L962" s="117"/>
      <c r="M962" s="117">
        <f t="shared" si="1"/>
        <v>0</v>
      </c>
    </row>
    <row r="963" ht="22.5" customHeight="1">
      <c r="A963" s="116"/>
      <c r="C963" s="166"/>
      <c r="D963" s="118" t="str">
        <f>IF(FuturesTrades[Opened] &lt;&gt; "",IF(FuturesTrades[Closed] = "", TODAY(), FuturesTrades[Closed]) - FuturesTrades[Opened], "")</f>
        <v/>
      </c>
      <c r="E963" s="6"/>
      <c r="F963" s="6"/>
      <c r="G963" s="22"/>
      <c r="H963" s="117"/>
      <c r="I963" s="165"/>
      <c r="J963" s="165"/>
      <c r="K963" s="117"/>
      <c r="L963" s="117"/>
      <c r="M963" s="117">
        <f t="shared" si="1"/>
        <v>0</v>
      </c>
    </row>
    <row r="964" ht="22.5" customHeight="1">
      <c r="A964" s="116"/>
      <c r="C964" s="166"/>
      <c r="D964" s="118" t="str">
        <f>IF(FuturesTrades[Opened] &lt;&gt; "",IF(FuturesTrades[Closed] = "", TODAY(), FuturesTrades[Closed]) - FuturesTrades[Opened], "")</f>
        <v/>
      </c>
      <c r="E964" s="6"/>
      <c r="F964" s="6"/>
      <c r="G964" s="22"/>
      <c r="H964" s="117"/>
      <c r="I964" s="165"/>
      <c r="J964" s="165"/>
      <c r="K964" s="117"/>
      <c r="L964" s="117"/>
      <c r="M964" s="117">
        <f t="shared" si="1"/>
        <v>0</v>
      </c>
    </row>
    <row r="965" ht="22.5" customHeight="1">
      <c r="A965" s="116"/>
      <c r="C965" s="166"/>
      <c r="D965" s="118" t="str">
        <f>IF(FuturesTrades[Opened] &lt;&gt; "",IF(FuturesTrades[Closed] = "", TODAY(), FuturesTrades[Closed]) - FuturesTrades[Opened], "")</f>
        <v/>
      </c>
      <c r="E965" s="6"/>
      <c r="F965" s="6"/>
      <c r="G965" s="22"/>
      <c r="H965" s="117"/>
      <c r="I965" s="165"/>
      <c r="J965" s="165"/>
      <c r="K965" s="117"/>
      <c r="L965" s="117"/>
      <c r="M965" s="117">
        <f t="shared" si="1"/>
        <v>0</v>
      </c>
    </row>
    <row r="966" ht="22.5" customHeight="1">
      <c r="A966" s="116"/>
      <c r="C966" s="166"/>
      <c r="D966" s="118" t="str">
        <f>IF(FuturesTrades[Opened] &lt;&gt; "",IF(FuturesTrades[Closed] = "", TODAY(), FuturesTrades[Closed]) - FuturesTrades[Opened], "")</f>
        <v/>
      </c>
      <c r="E966" s="6"/>
      <c r="F966" s="6"/>
      <c r="G966" s="22"/>
      <c r="H966" s="117"/>
      <c r="I966" s="165"/>
      <c r="J966" s="165"/>
      <c r="K966" s="117"/>
      <c r="L966" s="117"/>
      <c r="M966" s="117">
        <f t="shared" si="1"/>
        <v>0</v>
      </c>
    </row>
    <row r="967" ht="22.5" customHeight="1">
      <c r="A967" s="116"/>
      <c r="C967" s="166"/>
      <c r="D967" s="118" t="str">
        <f>IF(FuturesTrades[Opened] &lt;&gt; "",IF(FuturesTrades[Closed] = "", TODAY(), FuturesTrades[Closed]) - FuturesTrades[Opened], "")</f>
        <v/>
      </c>
      <c r="E967" s="6"/>
      <c r="F967" s="6"/>
      <c r="G967" s="22"/>
      <c r="H967" s="117"/>
      <c r="I967" s="165"/>
      <c r="J967" s="165"/>
      <c r="K967" s="117"/>
      <c r="L967" s="117"/>
      <c r="M967" s="117">
        <f t="shared" si="1"/>
        <v>0</v>
      </c>
    </row>
    <row r="968" ht="22.5" customHeight="1">
      <c r="A968" s="116"/>
      <c r="C968" s="166"/>
      <c r="D968" s="118" t="str">
        <f>IF(FuturesTrades[Opened] &lt;&gt; "",IF(FuturesTrades[Closed] = "", TODAY(), FuturesTrades[Closed]) - FuturesTrades[Opened], "")</f>
        <v/>
      </c>
      <c r="E968" s="6"/>
      <c r="F968" s="6"/>
      <c r="G968" s="22"/>
      <c r="H968" s="117"/>
      <c r="I968" s="165"/>
      <c r="J968" s="165"/>
      <c r="K968" s="117"/>
      <c r="L968" s="117"/>
      <c r="M968" s="117">
        <f t="shared" si="1"/>
        <v>0</v>
      </c>
    </row>
    <row r="969" ht="22.5" customHeight="1">
      <c r="A969" s="116"/>
      <c r="C969" s="166"/>
      <c r="D969" s="118" t="str">
        <f>IF(FuturesTrades[Opened] &lt;&gt; "",IF(FuturesTrades[Closed] = "", TODAY(), FuturesTrades[Closed]) - FuturesTrades[Opened], "")</f>
        <v/>
      </c>
      <c r="E969" s="6"/>
      <c r="F969" s="6"/>
      <c r="G969" s="22"/>
      <c r="H969" s="117"/>
      <c r="I969" s="165"/>
      <c r="J969" s="165"/>
      <c r="K969" s="117"/>
      <c r="L969" s="117"/>
      <c r="M969" s="117">
        <f t="shared" si="1"/>
        <v>0</v>
      </c>
    </row>
    <row r="970" ht="22.5" customHeight="1">
      <c r="A970" s="116"/>
      <c r="C970" s="166"/>
      <c r="D970" s="118" t="str">
        <f>IF(FuturesTrades[Opened] &lt;&gt; "",IF(FuturesTrades[Closed] = "", TODAY(), FuturesTrades[Closed]) - FuturesTrades[Opened], "")</f>
        <v/>
      </c>
      <c r="E970" s="6"/>
      <c r="F970" s="6"/>
      <c r="G970" s="22"/>
      <c r="H970" s="117"/>
      <c r="I970" s="165"/>
      <c r="J970" s="165"/>
      <c r="K970" s="117"/>
      <c r="L970" s="117"/>
      <c r="M970" s="117">
        <f t="shared" si="1"/>
        <v>0</v>
      </c>
    </row>
    <row r="971" ht="22.5" customHeight="1">
      <c r="A971" s="116"/>
      <c r="C971" s="166"/>
      <c r="D971" s="118" t="str">
        <f>IF(FuturesTrades[Opened] &lt;&gt; "",IF(FuturesTrades[Closed] = "", TODAY(), FuturesTrades[Closed]) - FuturesTrades[Opened], "")</f>
        <v/>
      </c>
      <c r="E971" s="6"/>
      <c r="F971" s="6"/>
      <c r="G971" s="22"/>
      <c r="H971" s="117"/>
      <c r="I971" s="165"/>
      <c r="J971" s="165"/>
      <c r="K971" s="117"/>
      <c r="L971" s="117"/>
      <c r="M971" s="117">
        <f t="shared" si="1"/>
        <v>0</v>
      </c>
    </row>
    <row r="972" ht="22.5" customHeight="1">
      <c r="A972" s="116"/>
      <c r="C972" s="166"/>
      <c r="D972" s="118" t="str">
        <f>IF(FuturesTrades[Opened] &lt;&gt; "",IF(FuturesTrades[Closed] = "", TODAY(), FuturesTrades[Closed]) - FuturesTrades[Opened], "")</f>
        <v/>
      </c>
      <c r="E972" s="6"/>
      <c r="F972" s="6"/>
      <c r="G972" s="22"/>
      <c r="H972" s="117"/>
      <c r="I972" s="165"/>
      <c r="J972" s="165"/>
      <c r="K972" s="117"/>
      <c r="L972" s="117"/>
      <c r="M972" s="117">
        <f t="shared" si="1"/>
        <v>0</v>
      </c>
    </row>
    <row r="973" ht="22.5" customHeight="1">
      <c r="A973" s="116"/>
      <c r="C973" s="166"/>
      <c r="D973" s="118" t="str">
        <f>IF(FuturesTrades[Opened] &lt;&gt; "",IF(FuturesTrades[Closed] = "", TODAY(), FuturesTrades[Closed]) - FuturesTrades[Opened], "")</f>
        <v/>
      </c>
      <c r="E973" s="6"/>
      <c r="F973" s="6"/>
      <c r="G973" s="22"/>
      <c r="H973" s="117"/>
      <c r="I973" s="165"/>
      <c r="J973" s="165"/>
      <c r="K973" s="117"/>
      <c r="L973" s="117"/>
      <c r="M973" s="117">
        <f t="shared" si="1"/>
        <v>0</v>
      </c>
    </row>
    <row r="974" ht="22.5" customHeight="1">
      <c r="A974" s="116"/>
      <c r="C974" s="166"/>
      <c r="D974" s="118" t="str">
        <f>IF(FuturesTrades[Opened] &lt;&gt; "",IF(FuturesTrades[Closed] = "", TODAY(), FuturesTrades[Closed]) - FuturesTrades[Opened], "")</f>
        <v/>
      </c>
      <c r="E974" s="6"/>
      <c r="F974" s="6"/>
      <c r="G974" s="22"/>
      <c r="H974" s="117"/>
      <c r="I974" s="165"/>
      <c r="J974" s="165"/>
      <c r="K974" s="117"/>
      <c r="L974" s="117"/>
      <c r="M974" s="117">
        <f t="shared" si="1"/>
        <v>0</v>
      </c>
    </row>
    <row r="975" ht="22.5" customHeight="1">
      <c r="A975" s="116"/>
      <c r="C975" s="166"/>
      <c r="D975" s="118" t="str">
        <f>IF(FuturesTrades[Opened] &lt;&gt; "",IF(FuturesTrades[Closed] = "", TODAY(), FuturesTrades[Closed]) - FuturesTrades[Opened], "")</f>
        <v/>
      </c>
      <c r="E975" s="6"/>
      <c r="F975" s="6"/>
      <c r="G975" s="22"/>
      <c r="H975" s="117"/>
      <c r="I975" s="165"/>
      <c r="J975" s="165"/>
      <c r="K975" s="117"/>
      <c r="L975" s="117"/>
      <c r="M975" s="117">
        <f t="shared" si="1"/>
        <v>0</v>
      </c>
    </row>
    <row r="976" ht="22.5" customHeight="1">
      <c r="A976" s="116"/>
      <c r="C976" s="166"/>
      <c r="D976" s="118" t="str">
        <f>IF(FuturesTrades[Opened] &lt;&gt; "",IF(FuturesTrades[Closed] = "", TODAY(), FuturesTrades[Closed]) - FuturesTrades[Opened], "")</f>
        <v/>
      </c>
      <c r="E976" s="6"/>
      <c r="F976" s="6"/>
      <c r="G976" s="22"/>
      <c r="H976" s="117"/>
      <c r="I976" s="165"/>
      <c r="J976" s="165"/>
      <c r="K976" s="117"/>
      <c r="L976" s="117"/>
      <c r="M976" s="117">
        <f t="shared" si="1"/>
        <v>0</v>
      </c>
    </row>
    <row r="977" ht="22.5" customHeight="1">
      <c r="A977" s="116"/>
      <c r="C977" s="166"/>
      <c r="D977" s="118" t="str">
        <f>IF(FuturesTrades[Opened] &lt;&gt; "",IF(FuturesTrades[Closed] = "", TODAY(), FuturesTrades[Closed]) - FuturesTrades[Opened], "")</f>
        <v/>
      </c>
      <c r="E977" s="6"/>
      <c r="F977" s="6"/>
      <c r="G977" s="22"/>
      <c r="H977" s="117"/>
      <c r="I977" s="165"/>
      <c r="J977" s="165"/>
      <c r="K977" s="117"/>
      <c r="L977" s="117"/>
      <c r="M977" s="117">
        <f t="shared" si="1"/>
        <v>0</v>
      </c>
    </row>
    <row r="978" ht="22.5" customHeight="1">
      <c r="A978" s="116"/>
      <c r="C978" s="166"/>
      <c r="D978" s="118" t="str">
        <f>IF(FuturesTrades[Opened] &lt;&gt; "",IF(FuturesTrades[Closed] = "", TODAY(), FuturesTrades[Closed]) - FuturesTrades[Opened], "")</f>
        <v/>
      </c>
      <c r="E978" s="6"/>
      <c r="F978" s="6"/>
      <c r="G978" s="22"/>
      <c r="H978" s="117"/>
      <c r="I978" s="165"/>
      <c r="J978" s="165"/>
      <c r="K978" s="117"/>
      <c r="L978" s="117"/>
      <c r="M978" s="117">
        <f t="shared" si="1"/>
        <v>0</v>
      </c>
    </row>
    <row r="979" ht="22.5" customHeight="1">
      <c r="A979" s="116"/>
      <c r="C979" s="166"/>
      <c r="D979" s="118" t="str">
        <f>IF(FuturesTrades[Opened] &lt;&gt; "",IF(FuturesTrades[Closed] = "", TODAY(), FuturesTrades[Closed]) - FuturesTrades[Opened], "")</f>
        <v/>
      </c>
      <c r="E979" s="6"/>
      <c r="F979" s="6"/>
      <c r="G979" s="22"/>
      <c r="H979" s="117"/>
      <c r="I979" s="165"/>
      <c r="J979" s="165"/>
      <c r="K979" s="117"/>
      <c r="L979" s="117"/>
      <c r="M979" s="117">
        <f t="shared" si="1"/>
        <v>0</v>
      </c>
    </row>
    <row r="980" ht="22.5" customHeight="1">
      <c r="A980" s="116"/>
      <c r="C980" s="166"/>
      <c r="D980" s="118" t="str">
        <f>IF(FuturesTrades[Opened] &lt;&gt; "",IF(FuturesTrades[Closed] = "", TODAY(), FuturesTrades[Closed]) - FuturesTrades[Opened], "")</f>
        <v/>
      </c>
      <c r="E980" s="6"/>
      <c r="F980" s="6"/>
      <c r="G980" s="22"/>
      <c r="H980" s="117"/>
      <c r="I980" s="165"/>
      <c r="J980" s="165"/>
      <c r="K980" s="117"/>
      <c r="L980" s="117"/>
      <c r="M980" s="117">
        <f t="shared" si="1"/>
        <v>0</v>
      </c>
    </row>
    <row r="981" ht="22.5" customHeight="1">
      <c r="A981" s="116"/>
      <c r="C981" s="166"/>
      <c r="D981" s="118" t="str">
        <f>IF(FuturesTrades[Opened] &lt;&gt; "",IF(FuturesTrades[Closed] = "", TODAY(), FuturesTrades[Closed]) - FuturesTrades[Opened], "")</f>
        <v/>
      </c>
      <c r="E981" s="6"/>
      <c r="F981" s="6"/>
      <c r="G981" s="22"/>
      <c r="H981" s="117"/>
      <c r="I981" s="165"/>
      <c r="J981" s="165"/>
      <c r="K981" s="117"/>
      <c r="L981" s="117"/>
      <c r="M981" s="117">
        <f t="shared" si="1"/>
        <v>0</v>
      </c>
    </row>
    <row r="982" ht="22.5" customHeight="1">
      <c r="A982" s="116"/>
      <c r="C982" s="166"/>
      <c r="D982" s="118" t="str">
        <f>IF(FuturesTrades[Opened] &lt;&gt; "",IF(FuturesTrades[Closed] = "", TODAY(), FuturesTrades[Closed]) - FuturesTrades[Opened], "")</f>
        <v/>
      </c>
      <c r="E982" s="6"/>
      <c r="F982" s="6"/>
      <c r="G982" s="22"/>
      <c r="H982" s="117"/>
      <c r="I982" s="165"/>
      <c r="J982" s="165"/>
      <c r="K982" s="117"/>
      <c r="L982" s="117"/>
      <c r="M982" s="117">
        <f t="shared" si="1"/>
        <v>0</v>
      </c>
    </row>
    <row r="983" ht="22.5" customHeight="1">
      <c r="A983" s="116"/>
      <c r="C983" s="166"/>
      <c r="D983" s="118" t="str">
        <f>IF(FuturesTrades[Opened] &lt;&gt; "",IF(FuturesTrades[Closed] = "", TODAY(), FuturesTrades[Closed]) - FuturesTrades[Opened], "")</f>
        <v/>
      </c>
      <c r="E983" s="6"/>
      <c r="F983" s="6"/>
      <c r="G983" s="22"/>
      <c r="H983" s="117"/>
      <c r="I983" s="165"/>
      <c r="J983" s="165"/>
      <c r="K983" s="117"/>
      <c r="L983" s="117"/>
      <c r="M983" s="117">
        <f t="shared" si="1"/>
        <v>0</v>
      </c>
    </row>
    <row r="984" ht="22.5" customHeight="1">
      <c r="A984" s="116"/>
      <c r="C984" s="166"/>
      <c r="D984" s="118" t="str">
        <f>IF(FuturesTrades[Opened] &lt;&gt; "",IF(FuturesTrades[Closed] = "", TODAY(), FuturesTrades[Closed]) - FuturesTrades[Opened], "")</f>
        <v/>
      </c>
      <c r="E984" s="6"/>
      <c r="F984" s="6"/>
      <c r="G984" s="22"/>
      <c r="H984" s="117"/>
      <c r="I984" s="165"/>
      <c r="J984" s="165"/>
      <c r="K984" s="117"/>
      <c r="L984" s="117"/>
      <c r="M984" s="117">
        <f t="shared" si="1"/>
        <v>0</v>
      </c>
    </row>
    <row r="985" ht="22.5" customHeight="1">
      <c r="A985" s="116"/>
      <c r="C985" s="166"/>
      <c r="D985" s="118" t="str">
        <f>IF(FuturesTrades[Opened] &lt;&gt; "",IF(FuturesTrades[Closed] = "", TODAY(), FuturesTrades[Closed]) - FuturesTrades[Opened], "")</f>
        <v/>
      </c>
      <c r="E985" s="6"/>
      <c r="F985" s="6"/>
      <c r="G985" s="22"/>
      <c r="H985" s="117"/>
      <c r="I985" s="165"/>
      <c r="J985" s="165"/>
      <c r="K985" s="117"/>
      <c r="L985" s="117"/>
      <c r="M985" s="117">
        <f t="shared" si="1"/>
        <v>0</v>
      </c>
    </row>
    <row r="986" ht="22.5" customHeight="1">
      <c r="A986" s="116"/>
      <c r="C986" s="166"/>
      <c r="D986" s="118" t="str">
        <f>IF(FuturesTrades[Opened] &lt;&gt; "",IF(FuturesTrades[Closed] = "", TODAY(), FuturesTrades[Closed]) - FuturesTrades[Opened], "")</f>
        <v/>
      </c>
      <c r="E986" s="6"/>
      <c r="F986" s="6"/>
      <c r="G986" s="22"/>
      <c r="H986" s="117"/>
      <c r="I986" s="165"/>
      <c r="J986" s="165"/>
      <c r="K986" s="117"/>
      <c r="L986" s="117"/>
      <c r="M986" s="117">
        <f t="shared" si="1"/>
        <v>0</v>
      </c>
    </row>
    <row r="987" ht="22.5" customHeight="1">
      <c r="A987" s="116"/>
      <c r="C987" s="166"/>
      <c r="D987" s="118" t="str">
        <f>IF(FuturesTrades[Opened] &lt;&gt; "",IF(FuturesTrades[Closed] = "", TODAY(), FuturesTrades[Closed]) - FuturesTrades[Opened], "")</f>
        <v/>
      </c>
      <c r="E987" s="6"/>
      <c r="F987" s="6"/>
      <c r="G987" s="22"/>
      <c r="H987" s="117"/>
      <c r="I987" s="165"/>
      <c r="J987" s="165"/>
      <c r="K987" s="117"/>
      <c r="L987" s="117"/>
      <c r="M987" s="117">
        <f t="shared" si="1"/>
        <v>0</v>
      </c>
    </row>
    <row r="988" ht="22.5" customHeight="1">
      <c r="A988" s="116"/>
      <c r="C988" s="166"/>
      <c r="D988" s="118" t="str">
        <f>IF(FuturesTrades[Opened] &lt;&gt; "",IF(FuturesTrades[Closed] = "", TODAY(), FuturesTrades[Closed]) - FuturesTrades[Opened], "")</f>
        <v/>
      </c>
      <c r="E988" s="6"/>
      <c r="F988" s="6"/>
      <c r="G988" s="22"/>
      <c r="H988" s="117"/>
      <c r="I988" s="165"/>
      <c r="J988" s="165"/>
      <c r="K988" s="117"/>
      <c r="L988" s="117"/>
      <c r="M988" s="117">
        <f t="shared" si="1"/>
        <v>0</v>
      </c>
    </row>
    <row r="989" ht="22.5" customHeight="1">
      <c r="A989" s="116"/>
      <c r="C989" s="166"/>
      <c r="D989" s="118" t="str">
        <f>IF(FuturesTrades[Opened] &lt;&gt; "",IF(FuturesTrades[Closed] = "", TODAY(), FuturesTrades[Closed]) - FuturesTrades[Opened], "")</f>
        <v/>
      </c>
      <c r="E989" s="6"/>
      <c r="F989" s="6"/>
      <c r="G989" s="22"/>
      <c r="H989" s="117"/>
      <c r="I989" s="165"/>
      <c r="J989" s="165"/>
      <c r="K989" s="117"/>
      <c r="L989" s="117"/>
      <c r="M989" s="117">
        <f t="shared" si="1"/>
        <v>0</v>
      </c>
    </row>
    <row r="990" ht="22.5" customHeight="1">
      <c r="A990" s="116"/>
      <c r="C990" s="166"/>
      <c r="D990" s="118" t="str">
        <f>IF(FuturesTrades[Opened] &lt;&gt; "",IF(FuturesTrades[Closed] = "", TODAY(), FuturesTrades[Closed]) - FuturesTrades[Opened], "")</f>
        <v/>
      </c>
      <c r="E990" s="6"/>
      <c r="F990" s="6"/>
      <c r="G990" s="22"/>
      <c r="H990" s="117"/>
      <c r="I990" s="165"/>
      <c r="J990" s="165"/>
      <c r="K990" s="117"/>
      <c r="L990" s="117"/>
      <c r="M990" s="117">
        <f t="shared" si="1"/>
        <v>0</v>
      </c>
    </row>
    <row r="991" ht="22.5" customHeight="1">
      <c r="A991" s="116"/>
      <c r="C991" s="166"/>
      <c r="D991" s="118" t="str">
        <f>IF(FuturesTrades[Opened] &lt;&gt; "",IF(FuturesTrades[Closed] = "", TODAY(), FuturesTrades[Closed]) - FuturesTrades[Opened], "")</f>
        <v/>
      </c>
      <c r="E991" s="6"/>
      <c r="F991" s="6"/>
      <c r="G991" s="22"/>
      <c r="H991" s="117"/>
      <c r="I991" s="165"/>
      <c r="J991" s="165"/>
      <c r="K991" s="117"/>
      <c r="L991" s="117"/>
      <c r="M991" s="117">
        <f t="shared" si="1"/>
        <v>0</v>
      </c>
    </row>
    <row r="992" ht="22.5" customHeight="1">
      <c r="A992" s="116"/>
      <c r="C992" s="166"/>
      <c r="D992" s="118" t="str">
        <f>IF(FuturesTrades[Opened] &lt;&gt; "",IF(FuturesTrades[Closed] = "", TODAY(), FuturesTrades[Closed]) - FuturesTrades[Opened], "")</f>
        <v/>
      </c>
      <c r="E992" s="6"/>
      <c r="F992" s="6"/>
      <c r="G992" s="22"/>
      <c r="H992" s="117"/>
      <c r="I992" s="165"/>
      <c r="J992" s="165"/>
      <c r="K992" s="117"/>
      <c r="L992" s="117"/>
      <c r="M992" s="117">
        <f t="shared" si="1"/>
        <v>0</v>
      </c>
    </row>
    <row r="993" ht="22.5" customHeight="1">
      <c r="A993" s="116"/>
      <c r="C993" s="166"/>
      <c r="D993" s="118" t="str">
        <f>IF(FuturesTrades[Opened] &lt;&gt; "",IF(FuturesTrades[Closed] = "", TODAY(), FuturesTrades[Closed]) - FuturesTrades[Opened], "")</f>
        <v/>
      </c>
      <c r="E993" s="6"/>
      <c r="F993" s="6"/>
      <c r="G993" s="22"/>
      <c r="H993" s="117"/>
      <c r="I993" s="165"/>
      <c r="J993" s="165"/>
      <c r="K993" s="117"/>
      <c r="L993" s="117"/>
      <c r="M993" s="117">
        <f t="shared" si="1"/>
        <v>0</v>
      </c>
    </row>
    <row r="994" ht="22.5" customHeight="1">
      <c r="A994" s="116"/>
      <c r="C994" s="166"/>
      <c r="D994" s="118" t="str">
        <f>IF(FuturesTrades[Opened] &lt;&gt; "",IF(FuturesTrades[Closed] = "", TODAY(), FuturesTrades[Closed]) - FuturesTrades[Opened], "")</f>
        <v/>
      </c>
      <c r="E994" s="6"/>
      <c r="F994" s="6"/>
      <c r="G994" s="22"/>
      <c r="H994" s="117"/>
      <c r="I994" s="165"/>
      <c r="J994" s="165"/>
      <c r="K994" s="117"/>
      <c r="L994" s="117"/>
      <c r="M994" s="117">
        <f t="shared" si="1"/>
        <v>0</v>
      </c>
    </row>
    <row r="995" ht="22.5" customHeight="1">
      <c r="A995" s="116"/>
      <c r="C995" s="166"/>
      <c r="D995" s="118" t="str">
        <f>IF(FuturesTrades[Opened] &lt;&gt; "",IF(FuturesTrades[Closed] = "", TODAY(), FuturesTrades[Closed]) - FuturesTrades[Opened], "")</f>
        <v/>
      </c>
      <c r="E995" s="6"/>
      <c r="F995" s="6"/>
      <c r="G995" s="22"/>
      <c r="H995" s="117"/>
      <c r="I995" s="165"/>
      <c r="J995" s="165"/>
      <c r="K995" s="117"/>
      <c r="L995" s="117"/>
      <c r="M995" s="117">
        <f t="shared" si="1"/>
        <v>0</v>
      </c>
    </row>
    <row r="996" ht="22.5" customHeight="1">
      <c r="A996" s="116"/>
      <c r="C996" s="166"/>
      <c r="D996" s="118" t="str">
        <f>IF(FuturesTrades[Opened] &lt;&gt; "",IF(FuturesTrades[Closed] = "", TODAY(), FuturesTrades[Closed]) - FuturesTrades[Opened], "")</f>
        <v/>
      </c>
      <c r="E996" s="6"/>
      <c r="F996" s="6"/>
      <c r="G996" s="22"/>
      <c r="H996" s="117"/>
      <c r="I996" s="165"/>
      <c r="J996" s="165"/>
      <c r="K996" s="117"/>
      <c r="L996" s="117"/>
      <c r="M996" s="117">
        <f t="shared" si="1"/>
        <v>0</v>
      </c>
    </row>
    <row r="997" ht="22.5" customHeight="1">
      <c r="A997" s="116"/>
      <c r="C997" s="166"/>
      <c r="D997" s="118" t="str">
        <f>IF(FuturesTrades[Opened] &lt;&gt; "",IF(FuturesTrades[Closed] = "", TODAY(), FuturesTrades[Closed]) - FuturesTrades[Opened], "")</f>
        <v/>
      </c>
      <c r="E997" s="6"/>
      <c r="F997" s="6"/>
      <c r="G997" s="22"/>
      <c r="H997" s="117"/>
      <c r="I997" s="165"/>
      <c r="J997" s="165"/>
      <c r="K997" s="117"/>
      <c r="L997" s="117"/>
      <c r="M997" s="117">
        <f t="shared" si="1"/>
        <v>0</v>
      </c>
    </row>
    <row r="998" ht="22.5" customHeight="1">
      <c r="A998" s="116"/>
      <c r="C998" s="166"/>
      <c r="D998" s="118" t="str">
        <f>IF(FuturesTrades[Opened] &lt;&gt; "",IF(FuturesTrades[Closed] = "", TODAY(), FuturesTrades[Closed]) - FuturesTrades[Opened], "")</f>
        <v/>
      </c>
      <c r="E998" s="6"/>
      <c r="F998" s="6"/>
      <c r="G998" s="22"/>
      <c r="H998" s="117"/>
      <c r="I998" s="165"/>
      <c r="J998" s="165"/>
      <c r="K998" s="117"/>
      <c r="L998" s="117"/>
      <c r="M998" s="117">
        <f t="shared" si="1"/>
        <v>0</v>
      </c>
    </row>
    <row r="999" ht="22.5" customHeight="1">
      <c r="A999" s="116"/>
      <c r="C999" s="166"/>
      <c r="D999" s="118" t="str">
        <f>IF(FuturesTrades[Opened] &lt;&gt; "",IF(FuturesTrades[Closed] = "", TODAY(), FuturesTrades[Closed]) - FuturesTrades[Opened], "")</f>
        <v/>
      </c>
      <c r="E999" s="6"/>
      <c r="F999" s="6"/>
      <c r="G999" s="22"/>
      <c r="H999" s="117"/>
      <c r="I999" s="165"/>
      <c r="J999" s="165"/>
      <c r="K999" s="117"/>
      <c r="L999" s="117"/>
      <c r="M999" s="117">
        <f t="shared" si="1"/>
        <v>0</v>
      </c>
    </row>
  </sheetData>
  <dataValidations>
    <dataValidation type="list" allowBlank="1" sqref="E2:E999">
      <formula1>"Open,Closed"</formula1>
    </dataValidation>
    <dataValidation type="list" allowBlank="1" sqref="F2:F999">
      <formula1>"M6E,M6A,MVIX,MJY,1OZ"</formula1>
    </dataValidation>
    <dataValidation type="custom" allowBlank="1" showDropDown="1" sqref="I2:J999 M2:M999">
      <formula1>AND(ISNUMBER(I2),(NOT(OR(NOT(ISERROR(DATEVALUE(I2))), AND(ISNUMBER(I2), LEFT(CELL("format", I2))="D")))))</formula1>
    </dataValidation>
    <dataValidation allowBlank="1" showDropDown="1" sqref="A2:A999"/>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16.38"/>
  </cols>
  <sheetData>
    <row r="1" ht="22.5" customHeight="1">
      <c r="A1" s="1" t="s">
        <v>685</v>
      </c>
      <c r="B1" s="1" t="s">
        <v>440</v>
      </c>
      <c r="C1" s="11" t="s">
        <v>686</v>
      </c>
      <c r="D1" s="11" t="s">
        <v>452</v>
      </c>
      <c r="E1" s="11" t="s">
        <v>630</v>
      </c>
      <c r="F1" s="11" t="s">
        <v>435</v>
      </c>
      <c r="G1" s="11" t="s">
        <v>71</v>
      </c>
      <c r="H1" s="11" t="s">
        <v>72</v>
      </c>
      <c r="I1" s="11" t="s">
        <v>74</v>
      </c>
      <c r="J1" s="11" t="s">
        <v>73</v>
      </c>
      <c r="K1" s="33" t="s">
        <v>76</v>
      </c>
    </row>
    <row r="2" ht="22.5" customHeight="1">
      <c r="A2" s="167">
        <v>46020.926041666666</v>
      </c>
      <c r="B2" s="144" t="s">
        <v>465</v>
      </c>
      <c r="C2" s="15">
        <v>3.942</v>
      </c>
      <c r="D2" s="15">
        <v>0.84</v>
      </c>
      <c r="E2" s="146">
        <v>0.085</v>
      </c>
      <c r="F2" s="15">
        <v>0.085</v>
      </c>
      <c r="G2" s="15">
        <v>0.18618797</v>
      </c>
      <c r="H2" s="15">
        <v>-0.00429265</v>
      </c>
      <c r="I2" s="15">
        <v>0.28776441</v>
      </c>
      <c r="J2" s="15">
        <v>0.00297026</v>
      </c>
      <c r="K2" s="15">
        <v>837.38</v>
      </c>
    </row>
    <row r="3" ht="22.5" customHeight="1">
      <c r="A3" s="167">
        <v>46020.92605324074</v>
      </c>
      <c r="B3" s="144" t="s">
        <v>466</v>
      </c>
      <c r="C3" s="15">
        <v>3.942</v>
      </c>
      <c r="D3" s="15">
        <v>0.71</v>
      </c>
      <c r="E3" s="146">
        <v>0.098</v>
      </c>
      <c r="F3" s="15">
        <v>0.098</v>
      </c>
      <c r="G3" s="15">
        <v>-0.20084807</v>
      </c>
      <c r="H3" s="15">
        <v>-0.00382838</v>
      </c>
      <c r="I3" s="15">
        <v>0.35363804</v>
      </c>
      <c r="J3" s="15">
        <v>0.00311062</v>
      </c>
      <c r="K3" s="15">
        <v>469.67</v>
      </c>
    </row>
    <row r="4" ht="22.5" customHeight="1">
      <c r="A4" s="167">
        <v>46020.92606481481</v>
      </c>
      <c r="B4" s="144" t="s">
        <v>467</v>
      </c>
      <c r="C4" s="15">
        <v>3.942</v>
      </c>
      <c r="D4" s="15">
        <v>0.72</v>
      </c>
      <c r="E4" s="146">
        <v>0.065</v>
      </c>
      <c r="F4" s="15">
        <v>0.065</v>
      </c>
      <c r="G4" s="15">
        <v>-0.16285676</v>
      </c>
      <c r="H4" s="15">
        <v>-0.00337684</v>
      </c>
      <c r="I4" s="15">
        <v>0.30854901</v>
      </c>
      <c r="J4" s="15">
        <v>0.00272831</v>
      </c>
      <c r="K4" s="15">
        <v>3205.7</v>
      </c>
    </row>
    <row r="5" ht="22.5" customHeight="1">
      <c r="A5" s="167">
        <v>46020.92607638889</v>
      </c>
      <c r="B5" s="144" t="s">
        <v>468</v>
      </c>
      <c r="C5" s="15">
        <v>3.942</v>
      </c>
      <c r="D5" s="15">
        <v>0.99</v>
      </c>
      <c r="E5" s="146">
        <v>0.1</v>
      </c>
      <c r="F5" s="15">
        <v>0.1</v>
      </c>
      <c r="G5" s="15">
        <v>0.21688617</v>
      </c>
      <c r="H5" s="15">
        <v>-0.00557823</v>
      </c>
      <c r="I5" s="15">
        <v>0.26579233</v>
      </c>
      <c r="J5" s="15">
        <v>0.00325444</v>
      </c>
      <c r="K5" s="15">
        <v>3087.33</v>
      </c>
    </row>
    <row r="6" ht="22.5" customHeight="1">
      <c r="A6" s="167">
        <v>46020.926099537035</v>
      </c>
      <c r="B6" s="144" t="s">
        <v>463</v>
      </c>
      <c r="C6" s="15">
        <v>57.61</v>
      </c>
      <c r="D6" s="15">
        <v>0.35</v>
      </c>
      <c r="E6" s="146">
        <v>0.25</v>
      </c>
      <c r="F6" s="15">
        <v>0.25</v>
      </c>
      <c r="G6" s="15">
        <v>0.07578154</v>
      </c>
      <c r="H6" s="15">
        <v>-0.01069195</v>
      </c>
      <c r="I6" s="15">
        <v>0.01898548</v>
      </c>
      <c r="J6" s="15">
        <v>0.03012424</v>
      </c>
      <c r="K6" s="15">
        <v>14.11</v>
      </c>
    </row>
    <row r="7" ht="22.5" customHeight="1">
      <c r="A7" s="167">
        <v>46020.92611111111</v>
      </c>
      <c r="B7" s="144" t="s">
        <v>464</v>
      </c>
      <c r="C7" s="15">
        <v>57.61</v>
      </c>
      <c r="D7" s="15">
        <v>0.41</v>
      </c>
      <c r="E7" s="146">
        <v>0.16</v>
      </c>
      <c r="F7" s="15">
        <v>0.16</v>
      </c>
      <c r="G7" s="15">
        <v>-0.04431518</v>
      </c>
      <c r="H7" s="15">
        <v>-0.00826667</v>
      </c>
      <c r="I7" s="15">
        <v>0.01066537</v>
      </c>
      <c r="J7" s="15">
        <v>0.0214296</v>
      </c>
      <c r="K7" s="15">
        <v>114.55</v>
      </c>
    </row>
    <row r="8" ht="22.5" customHeight="1">
      <c r="A8" s="167">
        <v>46020.92613425926</v>
      </c>
      <c r="B8" s="144" t="s">
        <v>462</v>
      </c>
      <c r="C8" s="15">
        <v>4.45</v>
      </c>
      <c r="D8" s="15">
        <v>1.2</v>
      </c>
      <c r="E8" s="146">
        <v>0.03</v>
      </c>
      <c r="F8" s="15">
        <v>0.03</v>
      </c>
      <c r="G8" s="15">
        <v>0.06152714</v>
      </c>
      <c r="H8" s="15">
        <v>-0.00405837</v>
      </c>
      <c r="I8" s="15">
        <v>0.10180045</v>
      </c>
      <c r="J8" s="15">
        <v>0.00116622</v>
      </c>
      <c r="K8" s="15">
        <v>2.06</v>
      </c>
    </row>
    <row r="9" ht="22.5" customHeight="1">
      <c r="A9" s="167">
        <v>46020.92616898148</v>
      </c>
      <c r="B9" s="144" t="s">
        <v>461</v>
      </c>
      <c r="C9" s="15">
        <v>207.56</v>
      </c>
      <c r="D9" s="15">
        <v>0.22</v>
      </c>
      <c r="E9" s="146">
        <v>0.05</v>
      </c>
      <c r="F9" s="15">
        <v>0.05</v>
      </c>
      <c r="G9" s="15">
        <v>0.01951308</v>
      </c>
      <c r="H9" s="15">
        <v>-0.01363937</v>
      </c>
      <c r="I9" s="15">
        <v>0.00472796</v>
      </c>
      <c r="J9" s="15">
        <v>0.02293891</v>
      </c>
      <c r="K9" s="15">
        <v>2.15</v>
      </c>
    </row>
    <row r="10" ht="22.5" customHeight="1">
      <c r="A10" s="167">
        <v>46020.92619212963</v>
      </c>
      <c r="B10" s="144" t="s">
        <v>454</v>
      </c>
      <c r="C10" s="15">
        <v>31.56</v>
      </c>
      <c r="D10" s="15">
        <v>0.9</v>
      </c>
      <c r="E10" s="146">
        <v>0.02</v>
      </c>
      <c r="F10" s="15">
        <v>0.02</v>
      </c>
      <c r="G10" s="15">
        <v>-0.00794343</v>
      </c>
      <c r="H10" s="15">
        <v>-0.00376032</v>
      </c>
      <c r="I10" s="15">
        <v>0.00346914</v>
      </c>
      <c r="J10" s="15">
        <v>0.00150092</v>
      </c>
      <c r="K10" s="15">
        <v>0.74</v>
      </c>
    </row>
    <row r="11" ht="22.5" customHeight="1">
      <c r="A11" s="167">
        <v>46020.92621527778</v>
      </c>
      <c r="B11" s="144" t="s">
        <v>470</v>
      </c>
      <c r="C11" s="15">
        <v>398.6</v>
      </c>
      <c r="D11" s="15">
        <v>0.26</v>
      </c>
      <c r="E11" s="146">
        <v>2.4</v>
      </c>
      <c r="F11" s="15">
        <v>2.4</v>
      </c>
      <c r="G11" s="15">
        <v>-0.18444319</v>
      </c>
      <c r="H11" s="15">
        <v>-0.16229455</v>
      </c>
      <c r="I11" s="15">
        <v>0.01171243</v>
      </c>
      <c r="J11" s="15">
        <v>0.22461264</v>
      </c>
      <c r="K11" s="15">
        <v>91.59</v>
      </c>
    </row>
    <row r="12" ht="22.5" customHeight="1">
      <c r="A12" s="167">
        <v>46020.92623842593</v>
      </c>
      <c r="B12" s="144" t="s">
        <v>456</v>
      </c>
      <c r="C12" s="15">
        <v>49.38</v>
      </c>
      <c r="D12" s="15">
        <v>0.39</v>
      </c>
      <c r="E12" s="146">
        <v>3.2</v>
      </c>
      <c r="F12" s="15">
        <v>0.58</v>
      </c>
      <c r="G12" s="15">
        <v>-0.69674365</v>
      </c>
      <c r="H12" s="15">
        <v>-0.03877769</v>
      </c>
      <c r="I12" s="15">
        <v>0.08288965</v>
      </c>
      <c r="J12" s="15">
        <v>0.03976332</v>
      </c>
      <c r="K12" s="15">
        <v>1059.34</v>
      </c>
    </row>
    <row r="13" ht="22.5" customHeight="1">
      <c r="A13" s="167">
        <v>46020.92625</v>
      </c>
      <c r="B13" s="144" t="s">
        <v>457</v>
      </c>
      <c r="C13" s="15">
        <v>49.38</v>
      </c>
      <c r="D13" s="15">
        <v>0.38</v>
      </c>
      <c r="E13" s="146">
        <v>5.83</v>
      </c>
      <c r="F13" s="15">
        <v>0.21</v>
      </c>
      <c r="G13" s="15">
        <v>-0.88983831</v>
      </c>
      <c r="H13" s="15">
        <v>-0.01872114</v>
      </c>
      <c r="I13" s="15">
        <v>0.0495309</v>
      </c>
      <c r="J13" s="15">
        <v>0.01929533</v>
      </c>
      <c r="K13" s="15">
        <v>235.53</v>
      </c>
    </row>
    <row r="14" ht="22.5" customHeight="1">
      <c r="A14" s="167">
        <v>46020.92628472222</v>
      </c>
      <c r="B14" s="144" t="s">
        <v>469</v>
      </c>
      <c r="C14" s="15">
        <v>66.01</v>
      </c>
      <c r="D14" s="15">
        <v>0.6</v>
      </c>
      <c r="E14" s="146">
        <v>7.6</v>
      </c>
      <c r="F14" s="15">
        <v>5.61</v>
      </c>
      <c r="G14" s="15">
        <v>-0.50688634</v>
      </c>
      <c r="H14" s="15">
        <v>-0.05309569</v>
      </c>
      <c r="I14" s="15">
        <v>0.02685413</v>
      </c>
      <c r="J14" s="15">
        <v>0.10053842</v>
      </c>
      <c r="K14" s="15">
        <v>6.02</v>
      </c>
    </row>
    <row r="15" ht="22.5" customHeight="1">
      <c r="A15" s="167">
        <v>46020.926354166666</v>
      </c>
      <c r="B15" s="144" t="s">
        <v>471</v>
      </c>
      <c r="C15" s="15">
        <v>398.6</v>
      </c>
      <c r="D15" s="15">
        <v>0.26</v>
      </c>
      <c r="E15" s="146">
        <v>2.14</v>
      </c>
      <c r="F15" s="15">
        <v>2.14</v>
      </c>
      <c r="G15" s="15">
        <v>0.17803856</v>
      </c>
      <c r="H15" s="15">
        <v>-0.17604137</v>
      </c>
      <c r="I15" s="15">
        <v>0.01134775</v>
      </c>
      <c r="J15" s="15">
        <v>0.25073852</v>
      </c>
      <c r="K15" s="15">
        <v>132.12</v>
      </c>
    </row>
    <row r="16" ht="22.5" customHeight="1">
      <c r="A16" s="167">
        <v>46020.92636574074</v>
      </c>
      <c r="B16" s="144" t="s">
        <v>458</v>
      </c>
      <c r="C16" s="15">
        <v>66.01</v>
      </c>
      <c r="D16" s="15">
        <v>0.63</v>
      </c>
      <c r="E16" s="146">
        <v>4.05</v>
      </c>
      <c r="F16" s="15">
        <v>4.05</v>
      </c>
      <c r="G16" s="15">
        <v>0.40544218</v>
      </c>
      <c r="H16" s="15">
        <v>-0.06039736</v>
      </c>
      <c r="I16" s="15">
        <v>0.02483579</v>
      </c>
      <c r="J16" s="15">
        <v>0.10010455</v>
      </c>
      <c r="K16" s="15">
        <v>46.1</v>
      </c>
    </row>
    <row r="17" ht="22.5" customHeight="1">
      <c r="A17" s="167">
        <v>46020.926712962966</v>
      </c>
      <c r="B17" s="144" t="s">
        <v>460</v>
      </c>
      <c r="C17" s="15">
        <v>29.87</v>
      </c>
      <c r="D17" s="15">
        <v>0.34</v>
      </c>
      <c r="E17" s="146">
        <v>0.56</v>
      </c>
      <c r="F17" s="15">
        <v>0.56</v>
      </c>
      <c r="G17" s="15">
        <v>0.26864238</v>
      </c>
      <c r="H17" s="15">
        <v>-0.01294456</v>
      </c>
      <c r="I17" s="15">
        <v>0.08542695</v>
      </c>
      <c r="J17" s="15">
        <v>0.03796293</v>
      </c>
      <c r="K17" s="15">
        <v>50.45</v>
      </c>
    </row>
    <row r="18" ht="22.5" customHeight="1">
      <c r="A18" s="167">
        <v>46029.92181712963</v>
      </c>
      <c r="B18" s="144" t="s">
        <v>465</v>
      </c>
      <c r="C18" s="15">
        <v>3.568</v>
      </c>
      <c r="D18" s="15">
        <v>0.89</v>
      </c>
      <c r="E18" s="146">
        <v>0.019</v>
      </c>
      <c r="F18" s="15">
        <v>0.019</v>
      </c>
      <c r="G18" s="15">
        <v>0.06357726</v>
      </c>
      <c r="H18" s="15">
        <v>-0.00230879</v>
      </c>
      <c r="I18" s="15">
        <v>0.16842754</v>
      </c>
      <c r="J18" s="15">
        <v>0.00103864</v>
      </c>
      <c r="K18" s="15">
        <v>174.44</v>
      </c>
    </row>
    <row r="19" ht="22.5" customHeight="1">
      <c r="A19" s="167">
        <v>46029.9218287037</v>
      </c>
      <c r="B19" s="144" t="s">
        <v>466</v>
      </c>
      <c r="C19" s="15">
        <v>3.568</v>
      </c>
      <c r="D19" s="15">
        <v>0.76</v>
      </c>
      <c r="E19" s="146">
        <v>0.181</v>
      </c>
      <c r="F19" s="15">
        <v>0.181</v>
      </c>
      <c r="G19" s="15">
        <v>-0.35858025</v>
      </c>
      <c r="H19" s="15">
        <v>-0.00592078</v>
      </c>
      <c r="I19" s="15">
        <v>0.58757484</v>
      </c>
      <c r="J19" s="15">
        <v>0.00311039</v>
      </c>
      <c r="K19" s="15">
        <v>715.86</v>
      </c>
    </row>
    <row r="20" ht="22.5" customHeight="1">
      <c r="A20" s="167">
        <v>46029.92184027778</v>
      </c>
      <c r="B20" s="144" t="s">
        <v>467</v>
      </c>
      <c r="C20" s="15">
        <v>3.568</v>
      </c>
      <c r="D20" s="15">
        <v>0.76</v>
      </c>
      <c r="E20" s="146">
        <v>0.136</v>
      </c>
      <c r="F20" s="15">
        <v>0.136</v>
      </c>
      <c r="G20" s="15">
        <v>-0.2973259</v>
      </c>
      <c r="H20" s="15">
        <v>-0.00545632</v>
      </c>
      <c r="I20" s="15">
        <v>0.54833403</v>
      </c>
      <c r="J20" s="15">
        <v>0.00288362</v>
      </c>
      <c r="K20" s="15">
        <v>4596.03</v>
      </c>
    </row>
    <row r="21" ht="22.5" customHeight="1">
      <c r="A21" s="167">
        <v>46029.921851851854</v>
      </c>
      <c r="B21" s="144" t="s">
        <v>468</v>
      </c>
      <c r="C21" s="15">
        <v>3.568</v>
      </c>
      <c r="D21" s="15">
        <v>0.86</v>
      </c>
      <c r="E21" s="146">
        <v>0.01</v>
      </c>
      <c r="F21" s="15">
        <v>0.01</v>
      </c>
      <c r="G21" s="15">
        <v>0.04684344</v>
      </c>
      <c r="H21" s="15">
        <v>-0.00176031</v>
      </c>
      <c r="I21" s="15">
        <v>0.1363191</v>
      </c>
      <c r="J21" s="15">
        <v>8.1587E-4</v>
      </c>
      <c r="K21" s="15">
        <v>1670.27</v>
      </c>
    </row>
    <row r="22" ht="22.5" customHeight="1">
      <c r="A22" s="167">
        <v>46029.921875</v>
      </c>
      <c r="B22" s="144" t="s">
        <v>463</v>
      </c>
      <c r="C22" s="15">
        <v>56.19</v>
      </c>
      <c r="D22" s="15">
        <v>0.41</v>
      </c>
      <c r="E22" s="146">
        <v>0.19</v>
      </c>
      <c r="F22" s="15">
        <v>0.19</v>
      </c>
      <c r="G22" s="15">
        <v>0.06359806</v>
      </c>
      <c r="H22" s="15">
        <v>-0.01187385</v>
      </c>
      <c r="I22" s="15">
        <v>0.01603377</v>
      </c>
      <c r="J22" s="15">
        <v>0.02695852</v>
      </c>
      <c r="K22" s="15">
        <v>6.89</v>
      </c>
    </row>
    <row r="23" ht="22.5" customHeight="1">
      <c r="A23" s="167">
        <v>46029.92188657408</v>
      </c>
      <c r="B23" s="144" t="s">
        <v>464</v>
      </c>
      <c r="C23" s="15">
        <v>56.19</v>
      </c>
      <c r="D23" s="15">
        <v>0.42</v>
      </c>
      <c r="E23" s="146">
        <v>0.17</v>
      </c>
      <c r="F23" s="15">
        <v>0.17</v>
      </c>
      <c r="G23" s="15">
        <v>-0.0484963</v>
      </c>
      <c r="H23" s="15">
        <v>-0.009715</v>
      </c>
      <c r="I23" s="15">
        <v>0.0127821</v>
      </c>
      <c r="J23" s="15">
        <v>0.02161858</v>
      </c>
      <c r="K23" s="15">
        <v>23.99</v>
      </c>
    </row>
    <row r="24" ht="22.5" customHeight="1">
      <c r="A24" s="167">
        <v>46029.9219212963</v>
      </c>
      <c r="B24" s="144" t="s">
        <v>462</v>
      </c>
      <c r="C24" s="15">
        <v>4.58</v>
      </c>
      <c r="D24" s="15">
        <v>1.31</v>
      </c>
      <c r="E24" s="146">
        <v>0.01</v>
      </c>
      <c r="F24" s="15">
        <v>0.01</v>
      </c>
      <c r="G24" s="15">
        <v>0.02562801</v>
      </c>
      <c r="H24" s="15">
        <v>-0.00315091</v>
      </c>
      <c r="I24" s="15">
        <v>0.06311476</v>
      </c>
      <c r="J24" s="15">
        <v>3.877E-4</v>
      </c>
      <c r="K24" s="15">
        <v>1.32</v>
      </c>
    </row>
    <row r="25" ht="22.5" customHeight="1">
      <c r="A25" s="167">
        <v>46029.921944444446</v>
      </c>
      <c r="B25" s="144" t="s">
        <v>461</v>
      </c>
      <c r="C25" s="15">
        <v>207.49</v>
      </c>
      <c r="D25" s="15">
        <v>0.31</v>
      </c>
      <c r="E25" s="146">
        <v>0.05</v>
      </c>
      <c r="F25" s="15">
        <v>0.05</v>
      </c>
      <c r="G25" s="15">
        <v>0.01893616</v>
      </c>
      <c r="H25" s="15">
        <v>-0.02637555</v>
      </c>
      <c r="I25" s="15">
        <v>0.00456681</v>
      </c>
      <c r="J25" s="15">
        <v>0.01553129</v>
      </c>
      <c r="K25" s="15">
        <v>3.6</v>
      </c>
    </row>
    <row r="26" ht="22.5" customHeight="1">
      <c r="A26" s="167">
        <v>46029.92255787037</v>
      </c>
      <c r="B26" s="144" t="s">
        <v>454</v>
      </c>
      <c r="C26" s="15">
        <v>32.4</v>
      </c>
      <c r="D26" s="15">
        <v>0.83</v>
      </c>
      <c r="E26" s="146">
        <v>0.0</v>
      </c>
      <c r="F26" s="15">
        <v>0.0</v>
      </c>
      <c r="G26" s="15">
        <v>-2.698E-5</v>
      </c>
      <c r="H26" s="15">
        <v>-1.59E-5</v>
      </c>
      <c r="I26" s="15">
        <v>2.94E-5</v>
      </c>
      <c r="J26" s="15">
        <v>6.54E-6</v>
      </c>
      <c r="K26" s="15">
        <v>0.0</v>
      </c>
    </row>
    <row r="27" ht="22.5" customHeight="1">
      <c r="A27" s="167">
        <v>46029.922581018516</v>
      </c>
      <c r="B27" s="144" t="s">
        <v>456</v>
      </c>
      <c r="C27" s="15">
        <v>51.54</v>
      </c>
      <c r="D27" s="15">
        <v>0.42</v>
      </c>
      <c r="E27" s="146">
        <v>1.5</v>
      </c>
      <c r="F27" s="15">
        <v>1.04</v>
      </c>
      <c r="G27" s="15">
        <v>-0.52587063</v>
      </c>
      <c r="H27" s="15">
        <v>-0.07172688</v>
      </c>
      <c r="I27" s="15">
        <v>0.11915372</v>
      </c>
      <c r="J27" s="15">
        <v>0.03238341</v>
      </c>
      <c r="K27" s="15">
        <v>1085.41</v>
      </c>
    </row>
    <row r="28" ht="22.5" customHeight="1">
      <c r="A28" s="167">
        <v>46029.92259259259</v>
      </c>
      <c r="B28" s="144" t="s">
        <v>457</v>
      </c>
      <c r="C28" s="15">
        <v>51.54</v>
      </c>
      <c r="D28" s="15">
        <v>0.32</v>
      </c>
      <c r="E28" s="146">
        <v>3.85</v>
      </c>
      <c r="F28" s="15">
        <v>0.39</v>
      </c>
      <c r="G28" s="15">
        <v>-0.89685198</v>
      </c>
      <c r="H28" s="15">
        <v>-0.02222044</v>
      </c>
      <c r="I28" s="15">
        <v>0.07598429</v>
      </c>
      <c r="J28" s="15">
        <v>0.01401411</v>
      </c>
      <c r="K28" s="15">
        <v>58.38</v>
      </c>
    </row>
    <row r="29" ht="22.5" customHeight="1">
      <c r="A29" s="167">
        <v>46029.92261574074</v>
      </c>
      <c r="B29" s="144" t="s">
        <v>476</v>
      </c>
      <c r="C29" s="15">
        <v>692.15</v>
      </c>
      <c r="D29" s="15">
        <v>0.16</v>
      </c>
      <c r="E29" s="146">
        <v>5.53</v>
      </c>
      <c r="F29" s="15">
        <v>5.53</v>
      </c>
      <c r="G29" s="15">
        <v>-0.24512381</v>
      </c>
      <c r="H29" s="15">
        <v>-0.11315792</v>
      </c>
      <c r="I29" s="15">
        <v>0.00841118</v>
      </c>
      <c r="J29" s="15">
        <v>0.75426377</v>
      </c>
      <c r="K29" s="15">
        <v>5044.85</v>
      </c>
    </row>
    <row r="30" ht="22.5" customHeight="1">
      <c r="A30" s="167">
        <v>46029.922627314816</v>
      </c>
      <c r="B30" s="144" t="s">
        <v>477</v>
      </c>
      <c r="C30" s="15">
        <v>692.15</v>
      </c>
      <c r="D30" s="15">
        <v>0.11</v>
      </c>
      <c r="E30" s="146">
        <v>3.2</v>
      </c>
      <c r="F30" s="15">
        <v>3.2</v>
      </c>
      <c r="G30" s="15">
        <v>0.17390979</v>
      </c>
      <c r="H30" s="15">
        <v>-0.0897731</v>
      </c>
      <c r="I30" s="15">
        <v>0.00985679</v>
      </c>
      <c r="J30" s="15">
        <v>0.61586967</v>
      </c>
      <c r="K30" s="15">
        <v>11.67</v>
      </c>
    </row>
    <row r="31" ht="22.5" customHeight="1">
      <c r="A31" s="167">
        <v>46029.92266203704</v>
      </c>
      <c r="B31" s="144" t="s">
        <v>474</v>
      </c>
      <c r="C31" s="15">
        <v>13.75</v>
      </c>
      <c r="D31" s="15">
        <v>1.53</v>
      </c>
      <c r="E31" s="146">
        <v>2.45</v>
      </c>
      <c r="F31" s="15">
        <v>2.45</v>
      </c>
      <c r="G31" s="15">
        <v>0.54353628</v>
      </c>
      <c r="H31" s="15">
        <v>-0.03356412</v>
      </c>
      <c r="I31" s="15">
        <v>0.05463326</v>
      </c>
      <c r="J31" s="15">
        <v>0.01912605</v>
      </c>
      <c r="K31" s="15">
        <v>355.29</v>
      </c>
    </row>
    <row r="32" ht="22.5" customHeight="1">
      <c r="A32" s="167">
        <v>46029.92267361111</v>
      </c>
      <c r="B32" s="144" t="s">
        <v>475</v>
      </c>
      <c r="C32" s="15">
        <v>13.75</v>
      </c>
      <c r="D32" s="15">
        <v>1.59</v>
      </c>
      <c r="E32" s="146">
        <v>1.35</v>
      </c>
      <c r="F32" s="15">
        <v>1.35</v>
      </c>
      <c r="G32" s="15">
        <v>0.3470096</v>
      </c>
      <c r="H32" s="15">
        <v>-0.03232265</v>
      </c>
      <c r="I32" s="15">
        <v>0.04869163</v>
      </c>
      <c r="J32" s="15">
        <v>0.01739562</v>
      </c>
      <c r="K32" s="15">
        <v>113.71</v>
      </c>
    </row>
    <row r="33" ht="22.5" customHeight="1">
      <c r="A33" s="167">
        <v>46029.92269675926</v>
      </c>
      <c r="B33" s="144" t="s">
        <v>469</v>
      </c>
      <c r="C33" s="15">
        <v>70.96</v>
      </c>
      <c r="D33" s="15">
        <v>0.63</v>
      </c>
      <c r="E33" s="146">
        <v>4.41</v>
      </c>
      <c r="F33" s="15">
        <v>4.41</v>
      </c>
      <c r="G33" s="15">
        <v>-0.37663905</v>
      </c>
      <c r="H33" s="15">
        <v>-0.06389349</v>
      </c>
      <c r="I33" s="15">
        <v>0.0248668</v>
      </c>
      <c r="J33" s="15">
        <v>0.09466193</v>
      </c>
      <c r="K33" s="15">
        <v>61.09</v>
      </c>
    </row>
    <row r="34" ht="22.5" customHeight="1">
      <c r="A34" s="167">
        <v>46029.92271990741</v>
      </c>
      <c r="B34" s="144" t="s">
        <v>479</v>
      </c>
      <c r="C34" s="15">
        <v>11.84</v>
      </c>
      <c r="D34" s="15">
        <v>0.65</v>
      </c>
      <c r="E34" s="146">
        <v>0.4</v>
      </c>
      <c r="F34" s="15">
        <v>0.4</v>
      </c>
      <c r="G34" s="15">
        <v>0.27342928</v>
      </c>
      <c r="H34" s="15">
        <v>-0.01048227</v>
      </c>
      <c r="I34" s="15">
        <v>0.12454359</v>
      </c>
      <c r="J34" s="15">
        <v>0.01409621</v>
      </c>
      <c r="K34" s="15">
        <v>31.91</v>
      </c>
    </row>
    <row r="35" ht="22.5" customHeight="1">
      <c r="A35" s="167">
        <v>46029.92273148148</v>
      </c>
      <c r="B35" s="144" t="s">
        <v>458</v>
      </c>
      <c r="C35" s="15">
        <v>70.96</v>
      </c>
      <c r="D35" s="15">
        <v>0.64</v>
      </c>
      <c r="E35" s="146">
        <v>5.77</v>
      </c>
      <c r="F35" s="15">
        <v>5.77</v>
      </c>
      <c r="G35" s="15">
        <v>0.52397925</v>
      </c>
      <c r="H35" s="15">
        <v>-0.07503696</v>
      </c>
      <c r="I35" s="15">
        <v>0.02538596</v>
      </c>
      <c r="J35" s="15">
        <v>0.09792416</v>
      </c>
      <c r="K35" s="15">
        <v>250.56</v>
      </c>
    </row>
    <row r="36" ht="22.5" customHeight="1">
      <c r="A36" s="167">
        <v>46029.9227662037</v>
      </c>
      <c r="B36" s="144" t="s">
        <v>472</v>
      </c>
      <c r="C36" s="15">
        <v>483.47</v>
      </c>
      <c r="D36" s="15">
        <v>0.2</v>
      </c>
      <c r="E36" s="146">
        <v>7.8</v>
      </c>
      <c r="F36" s="15">
        <v>7.8</v>
      </c>
      <c r="G36" s="15">
        <v>0.49640866</v>
      </c>
      <c r="H36" s="15">
        <v>-0.27811608</v>
      </c>
      <c r="I36" s="15">
        <v>0.0199356</v>
      </c>
      <c r="J36" s="15">
        <v>0.40383264</v>
      </c>
      <c r="K36" s="15">
        <v>5186.3</v>
      </c>
    </row>
    <row r="37" ht="22.5" customHeight="1">
      <c r="A37" s="167">
        <v>46029.92277777778</v>
      </c>
      <c r="B37" s="144" t="s">
        <v>473</v>
      </c>
      <c r="C37" s="15">
        <v>483.47</v>
      </c>
      <c r="D37" s="15">
        <v>0.19</v>
      </c>
      <c r="E37" s="146">
        <v>5.54</v>
      </c>
      <c r="F37" s="15">
        <v>5.54</v>
      </c>
      <c r="G37" s="15">
        <v>0.39482105</v>
      </c>
      <c r="H37" s="15">
        <v>-0.25562624</v>
      </c>
      <c r="I37" s="15">
        <v>0.01992139</v>
      </c>
      <c r="J37" s="15">
        <v>0.3945064</v>
      </c>
      <c r="K37" s="15">
        <v>471.24</v>
      </c>
    </row>
    <row r="38" ht="22.5" customHeight="1">
      <c r="A38" s="167">
        <v>46029.9228125</v>
      </c>
      <c r="B38" s="144" t="s">
        <v>460</v>
      </c>
      <c r="C38" s="15">
        <v>29.19</v>
      </c>
      <c r="D38" s="15">
        <v>0.42</v>
      </c>
      <c r="E38" s="146">
        <v>0.38</v>
      </c>
      <c r="F38" s="15">
        <v>0.38</v>
      </c>
      <c r="G38" s="15">
        <v>0.21403367</v>
      </c>
      <c r="H38" s="15">
        <v>-0.01432302</v>
      </c>
      <c r="I38" s="15">
        <v>0.070875</v>
      </c>
      <c r="J38" s="15">
        <v>0.02891697</v>
      </c>
      <c r="K38" s="15">
        <v>30.77</v>
      </c>
    </row>
    <row r="39" ht="22.5" customHeight="1">
      <c r="A39" s="167">
        <v>46029.92282407408</v>
      </c>
      <c r="B39" s="144" t="s">
        <v>478</v>
      </c>
      <c r="C39" s="15">
        <v>692.15</v>
      </c>
      <c r="D39" s="15">
        <v>0.11</v>
      </c>
      <c r="E39" s="146">
        <v>3.215</v>
      </c>
      <c r="F39" s="15">
        <v>3.215</v>
      </c>
      <c r="G39" s="15">
        <v>0.21631234</v>
      </c>
      <c r="H39" s="15">
        <v>0.3768284</v>
      </c>
      <c r="I39" s="15">
        <v>0.01118547</v>
      </c>
      <c r="J39" s="15">
        <v>0.72279167</v>
      </c>
      <c r="K39" s="15">
        <v>16.48</v>
      </c>
    </row>
    <row r="40" ht="22.5" customHeight="1">
      <c r="A40" s="167">
        <v>46030.858611111114</v>
      </c>
      <c r="B40" s="144" t="s">
        <v>465</v>
      </c>
      <c r="C40" s="15">
        <v>3.409</v>
      </c>
      <c r="D40" s="15">
        <v>0.88</v>
      </c>
      <c r="E40" s="146">
        <v>0.008</v>
      </c>
      <c r="F40" s="15">
        <v>0.008</v>
      </c>
      <c r="G40" s="15">
        <v>0.03488641</v>
      </c>
      <c r="H40" s="15">
        <v>-0.0013833</v>
      </c>
      <c r="I40" s="15">
        <v>0.11283326</v>
      </c>
      <c r="J40" s="15">
        <v>5.9909E-4</v>
      </c>
      <c r="K40" s="15">
        <v>86.96</v>
      </c>
    </row>
    <row r="41" ht="22.5" customHeight="1">
      <c r="A41" s="167">
        <v>46030.8587962963</v>
      </c>
      <c r="B41" s="144" t="s">
        <v>466</v>
      </c>
      <c r="C41" s="15">
        <v>3.409</v>
      </c>
      <c r="D41" s="15">
        <v>0.75</v>
      </c>
      <c r="E41" s="146">
        <v>0.234</v>
      </c>
      <c r="F41" s="15">
        <v>0.234</v>
      </c>
      <c r="G41" s="15">
        <v>-0.45870219</v>
      </c>
      <c r="H41" s="15">
        <v>-0.00606525</v>
      </c>
      <c r="I41" s="15">
        <v>0.67766564</v>
      </c>
      <c r="J41" s="15">
        <v>0.00307988</v>
      </c>
      <c r="K41" s="15">
        <v>1239.85</v>
      </c>
    </row>
    <row r="42" ht="22.5" customHeight="1">
      <c r="A42" s="167">
        <v>46030.858981481484</v>
      </c>
      <c r="B42" s="144" t="s">
        <v>467</v>
      </c>
      <c r="C42" s="15">
        <v>3.409</v>
      </c>
      <c r="D42" s="15">
        <v>0.74</v>
      </c>
      <c r="E42" s="146">
        <v>0.19</v>
      </c>
      <c r="F42" s="15">
        <v>0.19</v>
      </c>
      <c r="G42" s="15">
        <v>-0.38983244</v>
      </c>
      <c r="H42" s="15">
        <v>-0.00575016</v>
      </c>
      <c r="I42" s="15">
        <v>0.66919458</v>
      </c>
      <c r="J42" s="15">
        <v>0.00297874</v>
      </c>
      <c r="K42" s="15">
        <v>5261.61</v>
      </c>
    </row>
    <row r="43" ht="22.5" customHeight="1">
      <c r="A43" s="167">
        <v>46030.85916666667</v>
      </c>
      <c r="B43" s="144" t="s">
        <v>468</v>
      </c>
      <c r="C43" s="15">
        <v>3.409</v>
      </c>
      <c r="D43" s="15">
        <v>0.9</v>
      </c>
      <c r="E43" s="146">
        <v>0.0075</v>
      </c>
      <c r="F43" s="15">
        <v>0.0075</v>
      </c>
      <c r="G43" s="15">
        <v>0.03144053</v>
      </c>
      <c r="H43" s="15">
        <v>-0.0012527</v>
      </c>
      <c r="I43" s="15">
        <v>0.10101244</v>
      </c>
      <c r="J43" s="15">
        <v>5.6167E-4</v>
      </c>
      <c r="K43" s="15">
        <v>1205.94</v>
      </c>
    </row>
    <row r="44" ht="22.5" customHeight="1">
      <c r="A44" s="167">
        <v>46030.859189814815</v>
      </c>
      <c r="B44" s="144" t="s">
        <v>463</v>
      </c>
      <c r="C44" s="15">
        <v>57.77</v>
      </c>
      <c r="D44" s="15">
        <v>0.41</v>
      </c>
      <c r="E44" s="146">
        <v>0.29</v>
      </c>
      <c r="F44" s="15">
        <v>0.29</v>
      </c>
      <c r="G44" s="15">
        <v>0.08732061</v>
      </c>
      <c r="H44" s="15">
        <v>-0.01556497</v>
      </c>
      <c r="I44" s="15">
        <v>0.02033454</v>
      </c>
      <c r="J44" s="15">
        <v>0.03165682</v>
      </c>
      <c r="K44" s="15">
        <v>32.3</v>
      </c>
    </row>
    <row r="45" ht="22.5" customHeight="1">
      <c r="A45" s="167">
        <v>46030.85920138889</v>
      </c>
      <c r="B45" s="144" t="s">
        <v>464</v>
      </c>
      <c r="C45" s="15">
        <v>57.77</v>
      </c>
      <c r="D45" s="15">
        <v>0.42</v>
      </c>
      <c r="E45" s="146">
        <v>0.13</v>
      </c>
      <c r="F45" s="15">
        <v>0.13</v>
      </c>
      <c r="G45" s="15">
        <v>-0.03074434</v>
      </c>
      <c r="H45" s="15">
        <v>-0.00701504</v>
      </c>
      <c r="I45" s="15">
        <v>0.00862981</v>
      </c>
      <c r="J45" s="15">
        <v>0.01569218</v>
      </c>
      <c r="K45" s="15">
        <v>79.34</v>
      </c>
    </row>
    <row r="46" ht="22.5" customHeight="1">
      <c r="A46" s="167">
        <v>46030.85923611111</v>
      </c>
      <c r="B46" s="144" t="s">
        <v>462</v>
      </c>
      <c r="C46" s="15">
        <v>4.7126</v>
      </c>
      <c r="D46" s="15">
        <v>1.53</v>
      </c>
      <c r="E46" s="146">
        <v>0.02</v>
      </c>
      <c r="F46" s="15">
        <v>0.02</v>
      </c>
      <c r="G46" s="15">
        <v>0.05204196</v>
      </c>
      <c r="H46" s="15">
        <v>-0.0071105</v>
      </c>
      <c r="I46" s="15">
        <v>0.09927711</v>
      </c>
      <c r="J46" s="15">
        <v>7.9906E-4</v>
      </c>
      <c r="K46" s="15">
        <v>1.14</v>
      </c>
    </row>
    <row r="47" ht="22.5" customHeight="1">
      <c r="A47" s="167">
        <v>46030.85931712963</v>
      </c>
      <c r="B47" s="144" t="s">
        <v>461</v>
      </c>
      <c r="C47" s="15">
        <v>205.52</v>
      </c>
      <c r="D47" s="15">
        <v>0.33</v>
      </c>
      <c r="E47" s="146">
        <v>0.06</v>
      </c>
      <c r="F47" s="15">
        <v>0.06</v>
      </c>
      <c r="G47" s="15">
        <v>0.01176911</v>
      </c>
      <c r="H47" s="15">
        <v>-0.01727809</v>
      </c>
      <c r="I47" s="15">
        <v>0.00305456</v>
      </c>
      <c r="J47" s="15">
        <v>0.00934156</v>
      </c>
      <c r="K47" s="15">
        <v>1.63</v>
      </c>
    </row>
    <row r="48" ht="22.5" customHeight="1">
      <c r="A48" s="167">
        <v>46030.859930555554</v>
      </c>
      <c r="B48" s="144" t="s">
        <v>454</v>
      </c>
      <c r="C48" s="15">
        <v>32.44</v>
      </c>
      <c r="D48" s="15">
        <v>0.9</v>
      </c>
      <c r="E48" s="146">
        <v>0.0</v>
      </c>
      <c r="F48" s="15">
        <v>0.0</v>
      </c>
      <c r="G48" s="15">
        <v>-9.163E-5</v>
      </c>
      <c r="H48" s="15">
        <v>-6.624E-5</v>
      </c>
      <c r="I48" s="15">
        <v>8.367E-5</v>
      </c>
      <c r="J48" s="15">
        <v>2.254E-5</v>
      </c>
      <c r="K48" s="15">
        <v>0.0</v>
      </c>
    </row>
    <row r="49" ht="22.5" customHeight="1">
      <c r="A49" s="167">
        <v>46030.8599537037</v>
      </c>
      <c r="B49" s="144" t="s">
        <v>456</v>
      </c>
      <c r="C49" s="15">
        <v>51.76</v>
      </c>
      <c r="D49" s="15">
        <v>0.41</v>
      </c>
      <c r="E49" s="146">
        <v>1.31</v>
      </c>
      <c r="F49" s="15">
        <v>1.07</v>
      </c>
      <c r="G49" s="15">
        <v>-0.51307116</v>
      </c>
      <c r="H49" s="15">
        <v>-0.07610132</v>
      </c>
      <c r="I49" s="15">
        <v>0.1261112</v>
      </c>
      <c r="J49" s="15">
        <v>0.03068083</v>
      </c>
      <c r="K49" s="15">
        <v>1090.04</v>
      </c>
    </row>
    <row r="50" ht="22.5" customHeight="1">
      <c r="A50" s="167">
        <v>46030.85996527778</v>
      </c>
      <c r="B50" s="144" t="s">
        <v>457</v>
      </c>
      <c r="C50" s="15">
        <v>51.76</v>
      </c>
      <c r="D50" s="15">
        <v>0.39</v>
      </c>
      <c r="E50" s="146">
        <v>3.55</v>
      </c>
      <c r="F50" s="15">
        <v>0.31</v>
      </c>
      <c r="G50" s="15">
        <v>-0.84785731</v>
      </c>
      <c r="H50" s="15">
        <v>-0.03988056</v>
      </c>
      <c r="I50" s="15">
        <v>0.08198246</v>
      </c>
      <c r="J50" s="15">
        <v>0.01727423</v>
      </c>
      <c r="K50" s="15">
        <v>37.85</v>
      </c>
    </row>
    <row r="51" ht="22.5" customHeight="1">
      <c r="A51" s="167">
        <v>46030.859988425924</v>
      </c>
      <c r="B51" s="144" t="s">
        <v>476</v>
      </c>
      <c r="C51" s="15">
        <v>691.38</v>
      </c>
      <c r="D51" s="15">
        <v>0.16</v>
      </c>
      <c r="E51" s="146">
        <v>5.595</v>
      </c>
      <c r="F51" s="15">
        <v>5.595</v>
      </c>
      <c r="G51" s="15">
        <v>-0.24761891</v>
      </c>
      <c r="H51" s="15">
        <v>-0.12596783</v>
      </c>
      <c r="I51" s="15">
        <v>0.00853386</v>
      </c>
      <c r="J51" s="15">
        <v>0.75957606</v>
      </c>
      <c r="K51" s="15">
        <v>4864.78</v>
      </c>
    </row>
    <row r="52" ht="22.5" customHeight="1">
      <c r="A52" s="167">
        <v>46030.86001157408</v>
      </c>
      <c r="B52" s="144" t="s">
        <v>477</v>
      </c>
      <c r="C52" s="15">
        <v>691.38</v>
      </c>
      <c r="D52" s="15">
        <v>0.11</v>
      </c>
      <c r="E52" s="146">
        <v>2.29</v>
      </c>
      <c r="F52" s="15">
        <v>2.29</v>
      </c>
      <c r="G52" s="15">
        <v>0.15885715</v>
      </c>
      <c r="H52" s="15">
        <v>-0.08302569</v>
      </c>
      <c r="I52" s="15">
        <v>0.00966744</v>
      </c>
      <c r="J52" s="15">
        <v>0.57427053</v>
      </c>
      <c r="K52" s="15">
        <v>22.93</v>
      </c>
    </row>
    <row r="53" ht="22.5" customHeight="1">
      <c r="A53" s="167">
        <v>46030.86009259259</v>
      </c>
      <c r="B53" s="144" t="s">
        <v>474</v>
      </c>
      <c r="C53" s="15">
        <v>13.2299</v>
      </c>
      <c r="D53" s="15">
        <v>1.47</v>
      </c>
      <c r="E53" s="146">
        <v>1.9</v>
      </c>
      <c r="F53" s="15">
        <v>1.9</v>
      </c>
      <c r="G53" s="15">
        <v>0.50533305</v>
      </c>
      <c r="H53" s="15">
        <v>-0.03158713</v>
      </c>
      <c r="I53" s="15">
        <v>0.05992013</v>
      </c>
      <c r="J53" s="15">
        <v>0.01790906</v>
      </c>
      <c r="K53" s="15">
        <v>357.06</v>
      </c>
    </row>
    <row r="54" ht="22.5" customHeight="1">
      <c r="A54" s="167">
        <v>46030.86010416667</v>
      </c>
      <c r="B54" s="144" t="s">
        <v>475</v>
      </c>
      <c r="C54" s="15">
        <v>13.2299</v>
      </c>
      <c r="D54" s="15">
        <v>1.58</v>
      </c>
      <c r="E54" s="146">
        <v>1.15</v>
      </c>
      <c r="F54" s="15">
        <v>1.15</v>
      </c>
      <c r="G54" s="15">
        <v>0.31483923</v>
      </c>
      <c r="H54" s="15">
        <v>-0.03008486</v>
      </c>
      <c r="I54" s="15">
        <v>0.04955011</v>
      </c>
      <c r="J54" s="15">
        <v>0.01691686</v>
      </c>
      <c r="K54" s="15">
        <v>93.62</v>
      </c>
    </row>
    <row r="55" ht="22.5" customHeight="1">
      <c r="A55" s="167">
        <v>46030.860127314816</v>
      </c>
      <c r="B55" s="144" t="s">
        <v>469</v>
      </c>
      <c r="C55" s="15">
        <v>68.77</v>
      </c>
      <c r="D55" s="15">
        <v>0.61</v>
      </c>
      <c r="E55" s="146">
        <v>5.3</v>
      </c>
      <c r="F55" s="15">
        <v>5.3</v>
      </c>
      <c r="G55" s="15">
        <v>-0.43008411</v>
      </c>
      <c r="H55" s="15">
        <v>-0.0619061</v>
      </c>
      <c r="I55" s="15">
        <v>0.02779621</v>
      </c>
      <c r="J55" s="15">
        <v>0.09259471</v>
      </c>
      <c r="K55" s="15">
        <v>17.18</v>
      </c>
    </row>
    <row r="56" ht="22.5" customHeight="1">
      <c r="A56" s="167">
        <v>46030.86015046296</v>
      </c>
      <c r="B56" s="144" t="s">
        <v>484</v>
      </c>
      <c r="C56" s="15">
        <v>7.5</v>
      </c>
      <c r="D56" s="15">
        <v>1.29</v>
      </c>
      <c r="E56" s="146">
        <v>0.62</v>
      </c>
      <c r="F56" s="15">
        <v>0.62</v>
      </c>
      <c r="G56" s="15">
        <v>0.33840655</v>
      </c>
      <c r="H56" s="15">
        <v>-0.01439125</v>
      </c>
      <c r="I56" s="15">
        <v>0.11034308</v>
      </c>
      <c r="J56" s="15">
        <v>0.00912344</v>
      </c>
      <c r="K56" s="15">
        <v>51.63</v>
      </c>
    </row>
    <row r="57" ht="22.5" customHeight="1">
      <c r="A57" s="167">
        <v>46030.860185185185</v>
      </c>
      <c r="B57" s="144" t="s">
        <v>479</v>
      </c>
      <c r="C57" s="15">
        <v>12.065</v>
      </c>
      <c r="D57" s="15">
        <v>0.61</v>
      </c>
      <c r="E57" s="146">
        <v>0.45</v>
      </c>
      <c r="F57" s="15">
        <v>0.45</v>
      </c>
      <c r="G57" s="15">
        <v>0.28027573</v>
      </c>
      <c r="H57" s="15">
        <v>-0.01026167</v>
      </c>
      <c r="I57" s="15">
        <v>0.13337229</v>
      </c>
      <c r="J57" s="15">
        <v>0.01408466</v>
      </c>
      <c r="K57" s="15">
        <v>36.22</v>
      </c>
    </row>
    <row r="58" ht="22.5" customHeight="1">
      <c r="A58" s="167">
        <v>46030.86019675926</v>
      </c>
      <c r="B58" s="144" t="s">
        <v>458</v>
      </c>
      <c r="C58" s="15">
        <v>68.77</v>
      </c>
      <c r="D58" s="15">
        <v>0.61</v>
      </c>
      <c r="E58" s="146">
        <v>4.4</v>
      </c>
      <c r="F58" s="15">
        <v>4.4</v>
      </c>
      <c r="G58" s="15">
        <v>0.46401704</v>
      </c>
      <c r="H58" s="15">
        <v>-0.07021309</v>
      </c>
      <c r="I58" s="15">
        <v>0.02767271</v>
      </c>
      <c r="J58" s="15">
        <v>0.09210312</v>
      </c>
      <c r="K58" s="15">
        <v>127.35</v>
      </c>
    </row>
    <row r="59" ht="22.5" customHeight="1">
      <c r="A59" s="167">
        <v>46030.86021990741</v>
      </c>
      <c r="B59" s="144" t="s">
        <v>472</v>
      </c>
      <c r="C59" s="15">
        <v>476.28</v>
      </c>
      <c r="D59" s="15">
        <v>0.19</v>
      </c>
      <c r="E59" s="146">
        <v>4.35</v>
      </c>
      <c r="F59" s="15">
        <v>4.35</v>
      </c>
      <c r="G59" s="15">
        <v>0.34657475</v>
      </c>
      <c r="H59" s="15">
        <v>-0.25048391</v>
      </c>
      <c r="I59" s="15">
        <v>0.0196497</v>
      </c>
      <c r="J59" s="15">
        <v>0.3505566</v>
      </c>
      <c r="K59" s="15">
        <v>4808.22</v>
      </c>
    </row>
    <row r="60" ht="22.5" customHeight="1">
      <c r="A60" s="167">
        <v>46030.86023148148</v>
      </c>
      <c r="B60" s="144" t="s">
        <v>473</v>
      </c>
      <c r="C60" s="15">
        <v>476.28</v>
      </c>
      <c r="D60" s="15">
        <v>0.2</v>
      </c>
      <c r="E60" s="146">
        <v>2.87</v>
      </c>
      <c r="F60" s="15">
        <v>2.87</v>
      </c>
      <c r="G60" s="15">
        <v>0.25723452</v>
      </c>
      <c r="H60" s="15">
        <v>-0.21684727</v>
      </c>
      <c r="I60" s="15">
        <v>0.01710347</v>
      </c>
      <c r="J60" s="15">
        <v>0.31586366</v>
      </c>
      <c r="K60" s="15">
        <v>238.92</v>
      </c>
    </row>
    <row r="61" ht="22.5" customHeight="1">
      <c r="A61" s="167">
        <v>46030.8602662037</v>
      </c>
      <c r="B61" s="144" t="s">
        <v>460</v>
      </c>
      <c r="C61" s="15">
        <v>29.72</v>
      </c>
      <c r="D61" s="15">
        <v>0.34</v>
      </c>
      <c r="E61" s="146">
        <v>0.32</v>
      </c>
      <c r="F61" s="15">
        <v>0.32</v>
      </c>
      <c r="G61" s="15">
        <v>0.18537408</v>
      </c>
      <c r="H61" s="15">
        <v>-0.01126115</v>
      </c>
      <c r="I61" s="15">
        <v>0.07860863</v>
      </c>
      <c r="J61" s="15">
        <v>0.02908663</v>
      </c>
      <c r="K61" s="15">
        <v>35.29</v>
      </c>
    </row>
    <row r="62" ht="22.5" customHeight="1">
      <c r="A62" s="167">
        <v>46030.860289351855</v>
      </c>
      <c r="B62" s="144" t="s">
        <v>483</v>
      </c>
      <c r="C62" s="15">
        <v>7.0599</v>
      </c>
      <c r="D62" s="15">
        <v>0.6</v>
      </c>
      <c r="E62" s="146">
        <v>0.25</v>
      </c>
      <c r="F62" s="15">
        <v>0.25</v>
      </c>
      <c r="G62" s="15">
        <v>0.31351001</v>
      </c>
      <c r="H62" s="15">
        <v>-0.00626647</v>
      </c>
      <c r="I62" s="15">
        <v>0.24462439</v>
      </c>
      <c r="J62" s="15">
        <v>0.00812451</v>
      </c>
      <c r="K62" s="15">
        <v>21.71</v>
      </c>
    </row>
    <row r="63" ht="22.5" customHeight="1">
      <c r="A63" s="167">
        <v>46030.86032407408</v>
      </c>
      <c r="B63" s="144" t="s">
        <v>480</v>
      </c>
      <c r="C63" s="15">
        <v>53.8</v>
      </c>
      <c r="D63" s="15">
        <v>0.46</v>
      </c>
      <c r="E63" s="146">
        <v>1.4</v>
      </c>
      <c r="F63" s="15">
        <v>1.4</v>
      </c>
      <c r="G63" s="15">
        <v>0.28046207</v>
      </c>
      <c r="H63" s="15">
        <v>-0.03479497</v>
      </c>
      <c r="I63" s="15">
        <v>0.0398712</v>
      </c>
      <c r="J63" s="15">
        <v>0.06202945</v>
      </c>
      <c r="K63" s="15">
        <v>20.6</v>
      </c>
    </row>
    <row r="64" ht="22.5" customHeight="1">
      <c r="A64" s="167">
        <v>46030.86033564815</v>
      </c>
      <c r="B64" s="144" t="s">
        <v>481</v>
      </c>
      <c r="C64" s="15">
        <v>53.8</v>
      </c>
      <c r="D64" s="15">
        <v>0.46</v>
      </c>
      <c r="E64" s="146">
        <v>0.76</v>
      </c>
      <c r="F64" s="15">
        <v>0.76</v>
      </c>
      <c r="G64" s="15">
        <v>0.18578695</v>
      </c>
      <c r="H64" s="15">
        <v>-0.02766575</v>
      </c>
      <c r="I64" s="15">
        <v>0.03168334</v>
      </c>
      <c r="J64" s="15">
        <v>0.05465614</v>
      </c>
      <c r="K64" s="15">
        <v>12.13</v>
      </c>
    </row>
    <row r="65" ht="22.5" customHeight="1">
      <c r="A65" s="167">
        <v>46030.860347222224</v>
      </c>
      <c r="B65" s="144" t="s">
        <v>482</v>
      </c>
      <c r="C65" s="15">
        <v>53.8</v>
      </c>
      <c r="D65" s="15">
        <v>0.61</v>
      </c>
      <c r="E65" s="146">
        <v>1.91</v>
      </c>
      <c r="F65" s="15">
        <v>1.91</v>
      </c>
      <c r="G65" s="15">
        <v>-0.25036985</v>
      </c>
      <c r="H65" s="15">
        <v>-0.03993639</v>
      </c>
      <c r="I65" s="15">
        <v>0.02853897</v>
      </c>
      <c r="J65" s="15">
        <v>0.0603553</v>
      </c>
      <c r="K65" s="15">
        <v>838.59</v>
      </c>
    </row>
    <row r="66" ht="22.5" customHeight="1">
      <c r="A66" s="167">
        <v>46030.86035879629</v>
      </c>
      <c r="B66" s="144" t="s">
        <v>478</v>
      </c>
      <c r="C66" s="15">
        <v>691.38</v>
      </c>
      <c r="D66" s="15">
        <v>0.11</v>
      </c>
      <c r="E66" s="146">
        <v>2.915</v>
      </c>
      <c r="F66" s="15">
        <v>2.915</v>
      </c>
      <c r="G66" s="15">
        <v>0.20512033</v>
      </c>
      <c r="H66" s="15">
        <v>-0.10046488</v>
      </c>
      <c r="I66" s="15">
        <v>0.01110566</v>
      </c>
      <c r="J66" s="15">
        <v>0.69477083</v>
      </c>
      <c r="K66" s="15">
        <v>33.42</v>
      </c>
    </row>
    <row r="67" ht="22.5" customHeight="1">
      <c r="A67" s="167">
        <v>46034.09384259259</v>
      </c>
      <c r="B67" s="144" t="s">
        <v>485</v>
      </c>
      <c r="C67" s="15">
        <v>2.634</v>
      </c>
      <c r="D67" s="15">
        <v>0.62</v>
      </c>
      <c r="E67" s="146">
        <v>0.217</v>
      </c>
      <c r="F67" s="15">
        <v>0.217</v>
      </c>
      <c r="G67" s="15">
        <v>0.50352207</v>
      </c>
      <c r="H67" s="15">
        <v>-0.0026048</v>
      </c>
      <c r="I67" s="15">
        <v>0.68452622</v>
      </c>
      <c r="J67" s="15">
        <v>0.00370471</v>
      </c>
      <c r="K67" s="15">
        <v>4297.55</v>
      </c>
    </row>
    <row r="68" ht="22.5" customHeight="1">
      <c r="A68" s="167">
        <v>46034.093935185185</v>
      </c>
      <c r="B68" s="144" t="s">
        <v>465</v>
      </c>
      <c r="C68" s="15">
        <v>3.169</v>
      </c>
      <c r="D68" s="15">
        <v>0.97</v>
      </c>
      <c r="E68" s="146">
        <v>0.005</v>
      </c>
      <c r="F68" s="15">
        <v>0.005</v>
      </c>
      <c r="G68" s="15">
        <v>0.01900314</v>
      </c>
      <c r="H68" s="15">
        <v>-9.5539E-4</v>
      </c>
      <c r="I68" s="15">
        <v>0.07129298</v>
      </c>
      <c r="J68" s="15">
        <v>3.1066E-4</v>
      </c>
      <c r="K68" s="15">
        <v>24.37</v>
      </c>
    </row>
    <row r="69" ht="22.5" customHeight="1">
      <c r="A69" s="167">
        <v>46034.09394675926</v>
      </c>
      <c r="B69" s="144" t="s">
        <v>466</v>
      </c>
      <c r="C69" s="15">
        <v>3.169</v>
      </c>
      <c r="D69" s="15">
        <v>0.83</v>
      </c>
      <c r="E69" s="146">
        <v>0.3225</v>
      </c>
      <c r="F69" s="15">
        <v>0.0915</v>
      </c>
      <c r="G69" s="15">
        <v>-0.5859831</v>
      </c>
      <c r="H69" s="15">
        <v>-0.0069098</v>
      </c>
      <c r="I69" s="15">
        <v>0.70027406</v>
      </c>
      <c r="J69" s="15">
        <v>0.00260665</v>
      </c>
      <c r="K69" s="15">
        <v>1242.53</v>
      </c>
    </row>
    <row r="70" ht="22.5" customHeight="1">
      <c r="A70" s="167">
        <v>46034.09395833333</v>
      </c>
      <c r="B70" s="144" t="s">
        <v>467</v>
      </c>
      <c r="C70" s="15">
        <v>3.169</v>
      </c>
      <c r="D70" s="15">
        <v>0.82</v>
      </c>
      <c r="E70" s="146">
        <v>0.258</v>
      </c>
      <c r="F70" s="15">
        <v>0.127</v>
      </c>
      <c r="G70" s="15">
        <v>-0.5186562</v>
      </c>
      <c r="H70" s="15">
        <v>-0.00700155</v>
      </c>
      <c r="I70" s="15">
        <v>0.72534773</v>
      </c>
      <c r="J70" s="15">
        <v>0.00266608</v>
      </c>
      <c r="K70" s="15">
        <v>6063.76</v>
      </c>
    </row>
    <row r="71" ht="22.5" customHeight="1">
      <c r="A71" s="167">
        <v>46034.09396990741</v>
      </c>
      <c r="B71" s="144" t="s">
        <v>468</v>
      </c>
      <c r="C71" s="15">
        <v>3.169</v>
      </c>
      <c r="D71" s="15">
        <v>0.98</v>
      </c>
      <c r="E71" s="146">
        <v>0.004</v>
      </c>
      <c r="F71" s="15">
        <v>0.004</v>
      </c>
      <c r="G71" s="15">
        <v>0.01548061</v>
      </c>
      <c r="H71" s="15">
        <v>-8.0715E-4</v>
      </c>
      <c r="I71" s="15">
        <v>0.05944789</v>
      </c>
      <c r="J71" s="15">
        <v>2.6074E-4</v>
      </c>
      <c r="K71" s="15">
        <v>253.53</v>
      </c>
    </row>
    <row r="72" ht="22.5" customHeight="1">
      <c r="A72" s="167">
        <v>46034.094039351854</v>
      </c>
      <c r="B72" s="144" t="s">
        <v>486</v>
      </c>
      <c r="C72" s="15">
        <v>2.634</v>
      </c>
      <c r="D72" s="15">
        <v>0.62</v>
      </c>
      <c r="E72" s="146">
        <v>0.1705</v>
      </c>
      <c r="F72" s="15">
        <v>0.1705</v>
      </c>
      <c r="G72" s="15">
        <v>0.43906919</v>
      </c>
      <c r="H72" s="15">
        <v>-0.00260681</v>
      </c>
      <c r="I72" s="15">
        <v>0.67435903</v>
      </c>
      <c r="J72" s="15">
        <v>0.003668</v>
      </c>
      <c r="K72" s="15">
        <v>1301.22</v>
      </c>
    </row>
    <row r="73" ht="22.5" customHeight="1">
      <c r="A73" s="167">
        <v>46034.0940625</v>
      </c>
      <c r="B73" s="144" t="s">
        <v>463</v>
      </c>
      <c r="C73" s="15">
        <v>58.94</v>
      </c>
      <c r="D73" s="15">
        <v>0.46</v>
      </c>
      <c r="E73" s="146">
        <v>0.55</v>
      </c>
      <c r="F73" s="15">
        <v>0.55</v>
      </c>
      <c r="G73" s="15">
        <v>0.12974951</v>
      </c>
      <c r="H73" s="15">
        <v>-0.02470909</v>
      </c>
      <c r="I73" s="15">
        <v>0.02470507</v>
      </c>
      <c r="J73" s="15">
        <v>0.0441092</v>
      </c>
      <c r="K73" s="15">
        <v>36.31</v>
      </c>
    </row>
    <row r="74" ht="22.5" customHeight="1">
      <c r="A74" s="167">
        <v>46034.09407407408</v>
      </c>
      <c r="B74" s="144" t="s">
        <v>464</v>
      </c>
      <c r="C74" s="15">
        <v>58.94</v>
      </c>
      <c r="D74" s="15">
        <v>0.45</v>
      </c>
      <c r="E74" s="146">
        <v>0.08</v>
      </c>
      <c r="F74" s="15">
        <v>0.08</v>
      </c>
      <c r="G74" s="15">
        <v>-0.02503466</v>
      </c>
      <c r="H74" s="15">
        <v>-0.00647207</v>
      </c>
      <c r="I74" s="15">
        <v>0.00698726</v>
      </c>
      <c r="J74" s="15">
        <v>0.01055242</v>
      </c>
      <c r="K74" s="15">
        <v>54.07</v>
      </c>
    </row>
    <row r="75" ht="22.5" customHeight="1">
      <c r="A75" s="167">
        <v>46034.09410879629</v>
      </c>
      <c r="B75" s="144" t="s">
        <v>462</v>
      </c>
      <c r="C75" s="15">
        <v>4.75</v>
      </c>
      <c r="D75" s="15">
        <v>1.43</v>
      </c>
      <c r="E75" s="146">
        <v>0.02</v>
      </c>
      <c r="F75" s="15">
        <v>0.02</v>
      </c>
      <c r="G75" s="15">
        <v>0.02941927</v>
      </c>
      <c r="H75" s="15">
        <v>-0.00392539</v>
      </c>
      <c r="I75" s="15">
        <v>0.07163012</v>
      </c>
      <c r="J75" s="15">
        <v>5.1987E-4</v>
      </c>
      <c r="K75" s="15">
        <v>0.23</v>
      </c>
    </row>
    <row r="76" ht="22.5" customHeight="1">
      <c r="A76" s="167">
        <v>46034.09413194445</v>
      </c>
      <c r="B76" s="144" t="s">
        <v>461</v>
      </c>
      <c r="C76" s="15">
        <v>204.39</v>
      </c>
      <c r="D76" s="15">
        <v>0.29</v>
      </c>
      <c r="E76" s="146">
        <v>0.01</v>
      </c>
      <c r="F76" s="15">
        <v>0.01</v>
      </c>
      <c r="G76" s="15">
        <v>0.0016665</v>
      </c>
      <c r="H76" s="15">
        <v>-0.00246238</v>
      </c>
      <c r="I76" s="15">
        <v>6.556E-4</v>
      </c>
      <c r="J76" s="15">
        <v>0.00178556</v>
      </c>
      <c r="K76" s="15">
        <v>0.4</v>
      </c>
    </row>
    <row r="77" ht="22.5" customHeight="1">
      <c r="A77" s="167">
        <v>46034.09474537037</v>
      </c>
      <c r="B77" s="144" t="s">
        <v>454</v>
      </c>
      <c r="C77" s="15">
        <v>32.01</v>
      </c>
      <c r="D77" s="15">
        <v>0.94</v>
      </c>
      <c r="E77" s="15" t="s">
        <v>687</v>
      </c>
      <c r="F77" s="15" t="s">
        <v>687</v>
      </c>
      <c r="G77" s="15">
        <v>-9.039E-5</v>
      </c>
      <c r="H77" s="15">
        <v>-6.803E-5</v>
      </c>
      <c r="I77" s="15">
        <v>8.612E-5</v>
      </c>
      <c r="J77" s="15">
        <v>1.786E-5</v>
      </c>
      <c r="K77" s="15">
        <v>0.0</v>
      </c>
    </row>
    <row r="78" ht="22.5" customHeight="1">
      <c r="A78" s="167">
        <v>46034.094826388886</v>
      </c>
      <c r="B78" s="144" t="s">
        <v>456</v>
      </c>
      <c r="C78" s="15">
        <v>51.16</v>
      </c>
      <c r="D78" s="15">
        <v>0.36</v>
      </c>
      <c r="E78" s="146">
        <v>1.44</v>
      </c>
      <c r="F78" s="15">
        <v>0.6</v>
      </c>
      <c r="G78" s="15">
        <v>-0.61443929</v>
      </c>
      <c r="H78" s="15">
        <v>-0.06986215</v>
      </c>
      <c r="I78" s="15">
        <v>0.15147982</v>
      </c>
      <c r="J78" s="15">
        <v>0.02739088</v>
      </c>
      <c r="K78" s="15">
        <v>1114.11</v>
      </c>
    </row>
    <row r="79" ht="22.5" customHeight="1">
      <c r="A79" s="167">
        <v>46034.09483796296</v>
      </c>
      <c r="B79" s="144" t="s">
        <v>457</v>
      </c>
      <c r="C79" s="15">
        <v>51.16</v>
      </c>
      <c r="D79" s="15">
        <v>0.36</v>
      </c>
      <c r="E79" s="146">
        <v>3.6</v>
      </c>
      <c r="F79" s="15">
        <v>-0.24</v>
      </c>
      <c r="G79" s="15">
        <v>-0.92468967</v>
      </c>
      <c r="H79" s="15">
        <v>-0.02140078</v>
      </c>
      <c r="I79" s="15">
        <v>0.06037146</v>
      </c>
      <c r="J79" s="15">
        <v>0.00966858</v>
      </c>
      <c r="K79" s="15">
        <v>58.27</v>
      </c>
    </row>
    <row r="80" ht="22.5" customHeight="1">
      <c r="A80" s="167">
        <v>46034.09486111111</v>
      </c>
      <c r="B80" s="144" t="s">
        <v>476</v>
      </c>
      <c r="C80" s="15">
        <v>696.63</v>
      </c>
      <c r="D80" s="15">
        <v>0.16</v>
      </c>
      <c r="E80" s="146">
        <v>4.895</v>
      </c>
      <c r="F80" s="15">
        <v>4.895</v>
      </c>
      <c r="G80" s="15">
        <v>-0.22584194</v>
      </c>
      <c r="H80" s="15">
        <v>-0.54511994</v>
      </c>
      <c r="I80" s="15">
        <v>0.00828732</v>
      </c>
      <c r="J80" s="15">
        <v>0.69859683</v>
      </c>
      <c r="K80" s="15">
        <v>4867.48</v>
      </c>
    </row>
    <row r="81" ht="22.5" customHeight="1">
      <c r="A81" s="167">
        <v>46034.094930555555</v>
      </c>
      <c r="B81" s="144" t="s">
        <v>477</v>
      </c>
      <c r="C81" s="15">
        <v>696.63</v>
      </c>
      <c r="D81" s="15">
        <v>0.11</v>
      </c>
      <c r="E81" s="146">
        <v>2.225</v>
      </c>
      <c r="F81" s="15">
        <v>2.225</v>
      </c>
      <c r="G81" s="15">
        <v>0.1738096</v>
      </c>
      <c r="H81" s="15">
        <v>0.26382741</v>
      </c>
      <c r="I81" s="15">
        <v>0.01044451</v>
      </c>
      <c r="J81" s="15">
        <v>0.61079432</v>
      </c>
      <c r="K81" s="15">
        <v>25.75</v>
      </c>
    </row>
    <row r="82" ht="22.5" customHeight="1">
      <c r="A82" s="167">
        <v>46034.09501157407</v>
      </c>
      <c r="B82" s="144" t="s">
        <v>474</v>
      </c>
      <c r="C82" s="15">
        <v>14.975</v>
      </c>
      <c r="D82" s="15">
        <v>1.37</v>
      </c>
      <c r="E82" s="146">
        <v>2.7</v>
      </c>
      <c r="F82" s="15">
        <v>2.7</v>
      </c>
      <c r="G82" s="15">
        <v>0.58650341</v>
      </c>
      <c r="H82" s="15">
        <v>-0.03152411</v>
      </c>
      <c r="I82" s="15">
        <v>0.05608858</v>
      </c>
      <c r="J82" s="15">
        <v>0.01960263</v>
      </c>
      <c r="K82" s="15">
        <v>404.6</v>
      </c>
    </row>
    <row r="83" ht="22.5" customHeight="1">
      <c r="A83" s="167">
        <v>46034.09512731482</v>
      </c>
      <c r="B83" s="144" t="s">
        <v>475</v>
      </c>
      <c r="C83" s="15">
        <v>14.975</v>
      </c>
      <c r="D83" s="15">
        <v>1.47</v>
      </c>
      <c r="E83" s="146">
        <v>1.49</v>
      </c>
      <c r="F83" s="15">
        <v>1.49</v>
      </c>
      <c r="G83" s="15">
        <v>0.36607625</v>
      </c>
      <c r="H83" s="15">
        <v>-0.03464004</v>
      </c>
      <c r="I83" s="15">
        <v>0.05050519</v>
      </c>
      <c r="J83" s="15">
        <v>0.01993624</v>
      </c>
      <c r="K83" s="15">
        <v>145.81</v>
      </c>
    </row>
    <row r="84" ht="22.5" customHeight="1">
      <c r="A84" s="167">
        <v>46034.09521990741</v>
      </c>
      <c r="B84" s="144" t="s">
        <v>469</v>
      </c>
      <c r="C84" s="15">
        <v>72.38</v>
      </c>
      <c r="D84" s="15">
        <v>0.61</v>
      </c>
      <c r="E84" s="146">
        <v>3.92</v>
      </c>
      <c r="F84" s="15">
        <v>3.92</v>
      </c>
      <c r="G84" s="15">
        <v>-0.33943319</v>
      </c>
      <c r="H84" s="15">
        <v>-0.06484612</v>
      </c>
      <c r="I84" s="15">
        <v>0.02442204</v>
      </c>
      <c r="J84" s="15">
        <v>0.0900169</v>
      </c>
      <c r="K84" s="15">
        <v>71.35</v>
      </c>
    </row>
    <row r="85" ht="22.5" customHeight="1">
      <c r="A85" s="167">
        <v>46034.095243055555</v>
      </c>
      <c r="B85" s="144" t="s">
        <v>484</v>
      </c>
      <c r="C85" s="15">
        <v>7.95</v>
      </c>
      <c r="D85" s="15">
        <v>1.2</v>
      </c>
      <c r="E85" s="146">
        <v>0.6</v>
      </c>
      <c r="F85" s="15">
        <v>0.6</v>
      </c>
      <c r="G85" s="15">
        <v>0.36576844</v>
      </c>
      <c r="H85" s="15">
        <v>-0.01536196</v>
      </c>
      <c r="I85" s="15">
        <v>0.1163409</v>
      </c>
      <c r="J85" s="15">
        <v>0.01050902</v>
      </c>
      <c r="K85" s="15">
        <v>51.88</v>
      </c>
    </row>
    <row r="86" ht="22.5" customHeight="1">
      <c r="A86" s="167">
        <v>46034.09533564815</v>
      </c>
      <c r="B86" s="144" t="s">
        <v>479</v>
      </c>
      <c r="C86" s="15">
        <v>12.84</v>
      </c>
      <c r="D86" s="15">
        <v>0.61</v>
      </c>
      <c r="E86" s="146">
        <v>0.7</v>
      </c>
      <c r="F86" s="15">
        <v>0.7</v>
      </c>
      <c r="G86" s="15">
        <v>0.39000725</v>
      </c>
      <c r="H86" s="15">
        <v>-0.01231696</v>
      </c>
      <c r="I86" s="15">
        <v>0.14436875</v>
      </c>
      <c r="J86" s="15">
        <v>0.01643885</v>
      </c>
      <c r="K86" s="15">
        <v>54.13</v>
      </c>
    </row>
    <row r="87" ht="22.5" customHeight="1">
      <c r="A87" s="167">
        <v>46034.095347222225</v>
      </c>
      <c r="B87" s="144" t="s">
        <v>458</v>
      </c>
      <c r="C87" s="15">
        <v>72.38</v>
      </c>
      <c r="D87" s="15">
        <v>0.63</v>
      </c>
      <c r="E87" s="146">
        <v>6.35</v>
      </c>
      <c r="F87" s="15">
        <v>5.97</v>
      </c>
      <c r="G87" s="15">
        <v>0.55331369</v>
      </c>
      <c r="H87" s="15">
        <v>-0.0729166</v>
      </c>
      <c r="I87" s="15">
        <v>0.02577026</v>
      </c>
      <c r="J87" s="15">
        <v>0.09652142</v>
      </c>
      <c r="K87" s="15">
        <v>301.91</v>
      </c>
    </row>
    <row r="88" ht="22.5" customHeight="1">
      <c r="A88" s="167">
        <v>46034.09537037037</v>
      </c>
      <c r="B88" s="144" t="s">
        <v>472</v>
      </c>
      <c r="C88" s="15">
        <v>479.28</v>
      </c>
      <c r="D88" s="15">
        <v>0.19</v>
      </c>
      <c r="E88" s="146">
        <v>4.9</v>
      </c>
      <c r="F88" s="15">
        <v>4.9</v>
      </c>
      <c r="G88" s="15">
        <v>0.40017602</v>
      </c>
      <c r="H88" s="15">
        <v>-0.26823535</v>
      </c>
      <c r="I88" s="15">
        <v>0.0222317</v>
      </c>
      <c r="J88" s="15">
        <v>0.36525627</v>
      </c>
      <c r="K88" s="15">
        <v>4978.41</v>
      </c>
    </row>
    <row r="89" ht="22.5" customHeight="1">
      <c r="A89" s="167">
        <v>46034.09538194445</v>
      </c>
      <c r="B89" s="144" t="s">
        <v>473</v>
      </c>
      <c r="C89" s="15">
        <v>479.28</v>
      </c>
      <c r="D89" s="15">
        <v>0.18</v>
      </c>
      <c r="E89" s="146">
        <v>3.15</v>
      </c>
      <c r="F89" s="15">
        <v>3.15</v>
      </c>
      <c r="G89" s="15">
        <v>0.29385897</v>
      </c>
      <c r="H89" s="15">
        <v>-0.21981428</v>
      </c>
      <c r="I89" s="15">
        <v>0.02005969</v>
      </c>
      <c r="J89" s="15">
        <v>0.34018816</v>
      </c>
      <c r="K89" s="15">
        <v>213.92</v>
      </c>
    </row>
    <row r="90" ht="22.5" customHeight="1">
      <c r="A90" s="167">
        <v>46034.09541666666</v>
      </c>
      <c r="B90" s="144" t="s">
        <v>460</v>
      </c>
      <c r="C90" s="15">
        <v>29.75</v>
      </c>
      <c r="D90" s="15">
        <v>0.36</v>
      </c>
      <c r="E90" s="146">
        <v>0.57</v>
      </c>
      <c r="F90" s="15">
        <v>0.57</v>
      </c>
      <c r="G90" s="15">
        <v>0.22463423</v>
      </c>
      <c r="H90" s="15">
        <v>-0.0131965</v>
      </c>
      <c r="I90" s="15">
        <v>0.0834216</v>
      </c>
      <c r="J90" s="15">
        <v>0.02866764</v>
      </c>
      <c r="K90" s="15">
        <v>39.58</v>
      </c>
    </row>
    <row r="91" ht="22.5" customHeight="1">
      <c r="A91" s="167">
        <v>46034.095509259256</v>
      </c>
      <c r="B91" s="144" t="s">
        <v>483</v>
      </c>
      <c r="C91" s="15">
        <v>7.74</v>
      </c>
      <c r="D91" s="15">
        <v>0.6</v>
      </c>
      <c r="E91" s="146">
        <v>0.55</v>
      </c>
      <c r="F91" s="15">
        <v>0.55</v>
      </c>
      <c r="G91" s="15">
        <v>0.48466556</v>
      </c>
      <c r="H91" s="15">
        <v>-0.00791817</v>
      </c>
      <c r="I91" s="15">
        <v>0.25612018</v>
      </c>
      <c r="J91" s="15">
        <v>0.01057972</v>
      </c>
      <c r="K91" s="15">
        <v>46.23</v>
      </c>
    </row>
    <row r="92" ht="22.5" customHeight="1">
      <c r="A92" s="167">
        <v>46034.09553240741</v>
      </c>
      <c r="B92" s="144" t="s">
        <v>480</v>
      </c>
      <c r="C92" s="15">
        <v>55.76</v>
      </c>
      <c r="D92" s="15">
        <v>0.45</v>
      </c>
      <c r="E92" s="146">
        <v>1.87</v>
      </c>
      <c r="F92" s="15">
        <v>1.87</v>
      </c>
      <c r="G92" s="15">
        <v>0.35877664</v>
      </c>
      <c r="H92" s="15">
        <v>-0.03961175</v>
      </c>
      <c r="I92" s="15">
        <v>0.0441186</v>
      </c>
      <c r="J92" s="15">
        <v>0.06991519</v>
      </c>
      <c r="K92" s="15">
        <v>20.87</v>
      </c>
    </row>
    <row r="93" ht="22.5" customHeight="1">
      <c r="A93" s="167">
        <v>46034.09554398148</v>
      </c>
      <c r="B93" s="144" t="s">
        <v>481</v>
      </c>
      <c r="C93" s="15">
        <v>55.76</v>
      </c>
      <c r="D93" s="15">
        <v>0.43</v>
      </c>
      <c r="E93" s="146">
        <v>1.07</v>
      </c>
      <c r="F93" s="15">
        <v>1.07</v>
      </c>
      <c r="G93" s="15">
        <v>0.23245574</v>
      </c>
      <c r="H93" s="15">
        <v>-0.0293879</v>
      </c>
      <c r="I93" s="15">
        <v>0.03793984</v>
      </c>
      <c r="J93" s="15">
        <v>0.05479328</v>
      </c>
      <c r="K93" s="15">
        <v>11.06</v>
      </c>
    </row>
    <row r="94" ht="22.5" customHeight="1">
      <c r="A94" s="167">
        <v>46034.095555555556</v>
      </c>
      <c r="B94" s="144" t="s">
        <v>482</v>
      </c>
      <c r="C94" s="15">
        <v>55.76</v>
      </c>
      <c r="D94" s="15">
        <v>0.61</v>
      </c>
      <c r="E94" s="146">
        <v>1.39</v>
      </c>
      <c r="F94" s="15">
        <v>1.39</v>
      </c>
      <c r="G94" s="15">
        <v>-0.1956303</v>
      </c>
      <c r="H94" s="15">
        <v>-0.03773824</v>
      </c>
      <c r="I94" s="15">
        <v>0.02413998</v>
      </c>
      <c r="J94" s="15">
        <v>0.05365151</v>
      </c>
      <c r="K94" s="15">
        <v>847.4</v>
      </c>
    </row>
    <row r="95" ht="22.5" customHeight="1">
      <c r="A95" s="167">
        <v>46034.095625</v>
      </c>
      <c r="B95" s="144" t="s">
        <v>478</v>
      </c>
      <c r="C95" s="15">
        <v>696.63</v>
      </c>
      <c r="D95" s="15">
        <v>0.11</v>
      </c>
      <c r="E95" s="146">
        <v>3.075</v>
      </c>
      <c r="F95" s="15">
        <v>3.075</v>
      </c>
      <c r="G95" s="15">
        <v>0.22062867</v>
      </c>
      <c r="H95" s="15">
        <v>0.35327751</v>
      </c>
      <c r="I95" s="15">
        <v>0.01188419</v>
      </c>
      <c r="J95" s="15">
        <v>0.6966224</v>
      </c>
      <c r="K95" s="15">
        <v>36.68</v>
      </c>
    </row>
    <row r="96" ht="22.5" customHeight="1">
      <c r="A96" s="167">
        <v>46034.9341087963</v>
      </c>
      <c r="B96" s="144" t="s">
        <v>485</v>
      </c>
      <c r="C96" s="15">
        <v>2.821</v>
      </c>
      <c r="D96" s="15">
        <v>0.63</v>
      </c>
      <c r="E96" s="146">
        <v>0.27</v>
      </c>
      <c r="F96" s="15">
        <v>0.199</v>
      </c>
      <c r="G96" s="15">
        <v>0.58643814</v>
      </c>
      <c r="H96" s="15">
        <v>-0.00272668</v>
      </c>
      <c r="I96" s="15">
        <v>0.63218162</v>
      </c>
      <c r="J96" s="15">
        <v>0.00374312</v>
      </c>
      <c r="K96" s="15">
        <v>4707.37</v>
      </c>
    </row>
    <row r="97" ht="22.5" customHeight="1">
      <c r="A97" s="167">
        <v>46034.93413194444</v>
      </c>
      <c r="B97" s="144" t="s">
        <v>465</v>
      </c>
      <c r="C97" s="15">
        <v>3.377</v>
      </c>
      <c r="D97" s="15">
        <v>0.99</v>
      </c>
      <c r="E97" s="146">
        <v>0.008</v>
      </c>
      <c r="F97" s="15">
        <v>0.008</v>
      </c>
      <c r="G97" s="15">
        <v>0.03116474</v>
      </c>
      <c r="H97" s="15">
        <v>-0.00158727</v>
      </c>
      <c r="I97" s="15">
        <v>0.10398721</v>
      </c>
      <c r="J97" s="15">
        <v>4.7932E-4</v>
      </c>
      <c r="K97" s="15">
        <v>65.83</v>
      </c>
    </row>
    <row r="98" ht="22.5" customHeight="1">
      <c r="A98" s="167">
        <v>46034.93414351852</v>
      </c>
      <c r="B98" s="144" t="s">
        <v>466</v>
      </c>
      <c r="C98" s="15">
        <v>3.377</v>
      </c>
      <c r="D98" s="15">
        <v>0.82</v>
      </c>
      <c r="E98" s="146">
        <v>0.22</v>
      </c>
      <c r="F98" s="15">
        <v>0.197</v>
      </c>
      <c r="G98" s="15">
        <v>-0.48216724</v>
      </c>
      <c r="H98" s="15">
        <v>-0.00747661</v>
      </c>
      <c r="I98" s="15">
        <v>0.70695648</v>
      </c>
      <c r="J98" s="15">
        <v>0.00271667</v>
      </c>
      <c r="K98" s="15">
        <v>606.6</v>
      </c>
    </row>
    <row r="99" ht="22.5" customHeight="1">
      <c r="A99" s="167">
        <v>46034.93415509259</v>
      </c>
      <c r="B99" s="144" t="s">
        <v>467</v>
      </c>
      <c r="C99" s="15">
        <v>3.377</v>
      </c>
      <c r="D99" s="15">
        <v>0.81</v>
      </c>
      <c r="E99" s="146">
        <v>0.171</v>
      </c>
      <c r="F99" s="15">
        <v>0.171</v>
      </c>
      <c r="G99" s="15">
        <v>-0.4110423</v>
      </c>
      <c r="H99" s="15">
        <v>-0.00714265</v>
      </c>
      <c r="I99" s="15">
        <v>0.70590853</v>
      </c>
      <c r="J99" s="15">
        <v>0.00265235</v>
      </c>
      <c r="K99" s="15">
        <v>5440.04</v>
      </c>
    </row>
    <row r="100" ht="22.5" customHeight="1">
      <c r="A100" s="167">
        <v>46034.934166666666</v>
      </c>
      <c r="B100" s="144" t="s">
        <v>468</v>
      </c>
      <c r="C100" s="15">
        <v>3.377</v>
      </c>
      <c r="D100" s="15">
        <v>0.97</v>
      </c>
      <c r="E100" s="146">
        <v>0.005</v>
      </c>
      <c r="F100" s="15">
        <v>0.005</v>
      </c>
      <c r="G100" s="15">
        <v>0.02254542</v>
      </c>
      <c r="H100" s="15">
        <v>-0.00118874</v>
      </c>
      <c r="I100" s="15">
        <v>0.0808465</v>
      </c>
      <c r="J100" s="15">
        <v>3.6574E-4</v>
      </c>
      <c r="K100" s="15">
        <v>518.44</v>
      </c>
    </row>
    <row r="101" ht="22.5" customHeight="1">
      <c r="A101" s="167">
        <v>46034.93417824074</v>
      </c>
      <c r="B101" s="144" t="s">
        <v>486</v>
      </c>
      <c r="C101" s="15">
        <v>2.821</v>
      </c>
      <c r="D101" s="15">
        <v>0.61</v>
      </c>
      <c r="E101" s="146">
        <v>0.193</v>
      </c>
      <c r="F101" s="15">
        <v>0.193</v>
      </c>
      <c r="G101" s="15">
        <v>0.51965803</v>
      </c>
      <c r="H101" s="15">
        <v>-0.00270143</v>
      </c>
      <c r="I101" s="15">
        <v>0.67093889</v>
      </c>
      <c r="J101" s="15">
        <v>0.00383393</v>
      </c>
      <c r="K101" s="15">
        <v>1759.28</v>
      </c>
    </row>
    <row r="102" ht="22.5" customHeight="1">
      <c r="A102" s="167">
        <v>46034.934212962966</v>
      </c>
      <c r="B102" s="144" t="s">
        <v>463</v>
      </c>
      <c r="C102" s="15">
        <v>59.41</v>
      </c>
      <c r="D102" s="15">
        <v>0.49</v>
      </c>
      <c r="E102" s="146">
        <v>0.71</v>
      </c>
      <c r="F102" s="15">
        <v>0.71</v>
      </c>
      <c r="G102" s="15">
        <v>0.15930923</v>
      </c>
      <c r="H102" s="15">
        <v>-0.03065279</v>
      </c>
      <c r="I102" s="15">
        <v>0.02669109</v>
      </c>
      <c r="J102" s="15">
        <v>0.04381604</v>
      </c>
      <c r="K102" s="15">
        <v>373.79</v>
      </c>
    </row>
    <row r="103" ht="22.5" customHeight="1">
      <c r="A103" s="167">
        <v>46034.934282407405</v>
      </c>
      <c r="B103" s="144" t="s">
        <v>487</v>
      </c>
      <c r="C103" s="15">
        <v>59.41</v>
      </c>
      <c r="D103" s="15">
        <v>0.38</v>
      </c>
      <c r="E103" s="146">
        <v>0.21</v>
      </c>
      <c r="F103" s="15">
        <v>0.21</v>
      </c>
      <c r="G103" s="15">
        <v>-0.06482098</v>
      </c>
      <c r="H103" s="15">
        <v>-0.01243228</v>
      </c>
      <c r="I103" s="15">
        <v>0.01794892</v>
      </c>
      <c r="J103" s="15">
        <v>0.02198143</v>
      </c>
      <c r="K103" s="15">
        <v>145.39</v>
      </c>
    </row>
    <row r="104" ht="22.5" customHeight="1">
      <c r="A104" s="167">
        <v>46034.93430555556</v>
      </c>
      <c r="B104" s="144" t="s">
        <v>462</v>
      </c>
      <c r="C104" s="15">
        <v>5.02</v>
      </c>
      <c r="D104" s="15">
        <v>1.62</v>
      </c>
      <c r="E104" s="146">
        <v>0.02</v>
      </c>
      <c r="F104" s="15">
        <v>0.02</v>
      </c>
      <c r="G104" s="15">
        <v>0.02934771</v>
      </c>
      <c r="H104" s="15">
        <v>-0.00713438</v>
      </c>
      <c r="I104" s="15">
        <v>0.07883901</v>
      </c>
      <c r="J104" s="15">
        <v>4.0349E-4</v>
      </c>
      <c r="K104" s="15">
        <v>0.65</v>
      </c>
    </row>
    <row r="105" ht="22.5" customHeight="1">
      <c r="A105" s="167">
        <v>46034.934907407405</v>
      </c>
      <c r="B105" s="144" t="s">
        <v>461</v>
      </c>
      <c r="C105" s="15">
        <v>209.72</v>
      </c>
      <c r="D105" s="15">
        <v>0.3</v>
      </c>
      <c r="E105" s="146">
        <v>0.0</v>
      </c>
      <c r="F105" s="15">
        <v>0.0</v>
      </c>
      <c r="G105" s="15">
        <v>0.0016665</v>
      </c>
      <c r="H105" s="15">
        <v>-0.00246238</v>
      </c>
      <c r="I105" s="15">
        <v>6.556E-4</v>
      </c>
      <c r="J105" s="15">
        <v>0.00178556</v>
      </c>
      <c r="K105" s="15">
        <v>0.36</v>
      </c>
    </row>
    <row r="106" ht="22.5" customHeight="1">
      <c r="A106" s="167">
        <v>46034.935520833336</v>
      </c>
      <c r="B106" s="144" t="s">
        <v>454</v>
      </c>
      <c r="C106" s="15">
        <v>32.79</v>
      </c>
      <c r="D106" s="15">
        <v>0.92</v>
      </c>
      <c r="E106" s="146">
        <v>0.0</v>
      </c>
      <c r="F106" s="15">
        <v>0.0</v>
      </c>
      <c r="G106" s="15">
        <v>-9.039E-5</v>
      </c>
      <c r="H106" s="15">
        <v>-6.803E-5</v>
      </c>
      <c r="I106" s="15">
        <v>8.612E-5</v>
      </c>
      <c r="J106" s="15">
        <v>1.786E-5</v>
      </c>
      <c r="K106" s="15">
        <v>0.0</v>
      </c>
    </row>
    <row r="107" ht="22.5" customHeight="1">
      <c r="A107" s="167">
        <v>46034.93554398148</v>
      </c>
      <c r="B107" s="144" t="s">
        <v>456</v>
      </c>
      <c r="C107" s="15">
        <v>51.87</v>
      </c>
      <c r="D107" s="15">
        <v>0.4</v>
      </c>
      <c r="E107" s="146">
        <v>0.94</v>
      </c>
      <c r="F107" s="15">
        <v>0.81</v>
      </c>
      <c r="G107" s="15">
        <v>-0.51574507</v>
      </c>
      <c r="H107" s="15">
        <v>-0.10572921</v>
      </c>
      <c r="I107" s="15">
        <v>0.18496488</v>
      </c>
      <c r="J107" s="15">
        <v>0.02160946</v>
      </c>
      <c r="K107" s="15">
        <v>1109.76</v>
      </c>
    </row>
    <row r="108" ht="22.5" customHeight="1">
      <c r="A108" s="167">
        <v>46034.93555555555</v>
      </c>
      <c r="B108" s="144" t="s">
        <v>457</v>
      </c>
      <c r="C108" s="15">
        <v>51.87</v>
      </c>
      <c r="D108" s="15">
        <v>0.38</v>
      </c>
      <c r="E108" s="146">
        <v>3.09</v>
      </c>
      <c r="F108" s="15">
        <v>-0.04</v>
      </c>
      <c r="G108" s="15">
        <v>-0.93308503</v>
      </c>
      <c r="H108" s="15">
        <v>0.0</v>
      </c>
      <c r="I108" s="15">
        <v>0.0682551</v>
      </c>
      <c r="J108" s="15">
        <v>0.00701279</v>
      </c>
      <c r="K108" s="15">
        <v>21.25</v>
      </c>
    </row>
    <row r="109" ht="22.5" customHeight="1">
      <c r="A109" s="167">
        <v>46034.935578703706</v>
      </c>
      <c r="B109" s="144" t="s">
        <v>476</v>
      </c>
      <c r="C109" s="15">
        <v>697.67</v>
      </c>
      <c r="D109" s="15">
        <v>0.16</v>
      </c>
      <c r="E109" s="146">
        <v>4.0</v>
      </c>
      <c r="F109" s="15">
        <v>4.0</v>
      </c>
      <c r="G109" s="15">
        <v>-0.19291199</v>
      </c>
      <c r="H109" s="15">
        <v>-0.11215321</v>
      </c>
      <c r="I109" s="15">
        <v>0.00749839</v>
      </c>
      <c r="J109" s="15">
        <v>0.62391328</v>
      </c>
      <c r="K109" s="15">
        <v>4840.31</v>
      </c>
    </row>
    <row r="110" ht="22.5" customHeight="1">
      <c r="A110" s="167">
        <v>46034.935590277775</v>
      </c>
      <c r="B110" s="144" t="s">
        <v>477</v>
      </c>
      <c r="C110" s="15">
        <v>697.67</v>
      </c>
      <c r="D110" s="15">
        <v>0.1</v>
      </c>
      <c r="E110" s="146">
        <v>2.52</v>
      </c>
      <c r="F110" s="15">
        <v>2.52</v>
      </c>
      <c r="G110" s="15">
        <v>0.21194049</v>
      </c>
      <c r="H110" s="15">
        <v>-0.10541833</v>
      </c>
      <c r="I110" s="15">
        <v>0.0121712</v>
      </c>
      <c r="J110" s="15">
        <v>0.66001908</v>
      </c>
      <c r="K110" s="15">
        <v>30.24</v>
      </c>
    </row>
    <row r="111" ht="22.5" customHeight="1">
      <c r="A111" s="167">
        <v>46034.935625</v>
      </c>
      <c r="B111" s="144" t="s">
        <v>474</v>
      </c>
      <c r="C111" s="15">
        <v>14.76</v>
      </c>
      <c r="D111" s="15">
        <v>1.36</v>
      </c>
      <c r="E111" s="146">
        <v>2.58</v>
      </c>
      <c r="F111" s="15">
        <v>2.58</v>
      </c>
      <c r="G111" s="15">
        <v>0.57732016</v>
      </c>
      <c r="H111" s="15">
        <v>-0.03380202</v>
      </c>
      <c r="I111" s="15">
        <v>0.05986449</v>
      </c>
      <c r="J111" s="15">
        <v>0.01882838</v>
      </c>
      <c r="K111" s="15">
        <v>368.54</v>
      </c>
    </row>
    <row r="112" ht="22.5" customHeight="1">
      <c r="A112" s="167">
        <v>46034.935636574075</v>
      </c>
      <c r="B112" s="144" t="s">
        <v>475</v>
      </c>
      <c r="C112" s="15">
        <v>14.76</v>
      </c>
      <c r="D112" s="15">
        <v>1.47</v>
      </c>
      <c r="E112" s="146">
        <v>1.3</v>
      </c>
      <c r="F112" s="15">
        <v>1.3</v>
      </c>
      <c r="G112" s="15">
        <v>0.34935314</v>
      </c>
      <c r="H112" s="15">
        <v>-0.0341698</v>
      </c>
      <c r="I112" s="15">
        <v>0.05251597</v>
      </c>
      <c r="J112" s="15">
        <v>0.01712656</v>
      </c>
      <c r="K112" s="15">
        <v>109.81</v>
      </c>
    </row>
    <row r="113" ht="22.5" customHeight="1">
      <c r="A113" s="167">
        <v>46034.93565972222</v>
      </c>
      <c r="B113" s="144" t="s">
        <v>488</v>
      </c>
      <c r="C113" s="15">
        <v>77.23</v>
      </c>
      <c r="D113" s="15">
        <v>0.66</v>
      </c>
      <c r="E113" s="146">
        <v>3.38</v>
      </c>
      <c r="F113" s="15">
        <v>3.38</v>
      </c>
      <c r="G113" s="15">
        <v>-0.28589476</v>
      </c>
      <c r="H113" s="15">
        <v>-0.07047097</v>
      </c>
      <c r="I113" s="15">
        <v>0.02052015</v>
      </c>
      <c r="J113" s="15">
        <v>0.08334414</v>
      </c>
      <c r="K113" s="15">
        <v>91.28</v>
      </c>
    </row>
    <row r="114" ht="22.5" customHeight="1">
      <c r="A114" s="167">
        <v>46034.93568287037</v>
      </c>
      <c r="B114" s="144" t="s">
        <v>484</v>
      </c>
      <c r="C114" s="15">
        <v>8.22</v>
      </c>
      <c r="D114" s="15">
        <v>1.24</v>
      </c>
      <c r="E114" s="146">
        <v>0.76</v>
      </c>
      <c r="F114" s="15">
        <v>0.76</v>
      </c>
      <c r="G114" s="15">
        <v>0.39489948</v>
      </c>
      <c r="H114" s="15">
        <v>-0.0168232</v>
      </c>
      <c r="I114" s="15">
        <v>0.11550026</v>
      </c>
      <c r="J114" s="15">
        <v>0.01027411</v>
      </c>
      <c r="K114" s="15">
        <v>61.79</v>
      </c>
    </row>
    <row r="115" ht="22.5" customHeight="1">
      <c r="A115" s="167">
        <v>46034.93571759259</v>
      </c>
      <c r="B115" s="144" t="s">
        <v>479</v>
      </c>
      <c r="C115" s="15">
        <v>12.21</v>
      </c>
      <c r="D115" s="15">
        <v>0.61</v>
      </c>
      <c r="E115" s="146">
        <v>0.4</v>
      </c>
      <c r="F115" s="15">
        <v>0.4</v>
      </c>
      <c r="G115" s="15">
        <v>0.28714677</v>
      </c>
      <c r="H115" s="15">
        <v>-0.01100032</v>
      </c>
      <c r="I115" s="15">
        <v>0.14058784</v>
      </c>
      <c r="J115" s="15">
        <v>0.0134832</v>
      </c>
      <c r="K115" s="15">
        <v>34.75</v>
      </c>
    </row>
    <row r="116" ht="22.5" customHeight="1">
      <c r="A116" s="167">
        <v>46034.935740740744</v>
      </c>
      <c r="B116" s="144" t="s">
        <v>472</v>
      </c>
      <c r="C116" s="15">
        <v>477.18</v>
      </c>
      <c r="D116" s="15">
        <v>0.2</v>
      </c>
      <c r="E116" s="146">
        <v>3.6</v>
      </c>
      <c r="F116" s="15">
        <v>3.6</v>
      </c>
      <c r="G116" s="15">
        <v>0.33874239</v>
      </c>
      <c r="H116" s="15">
        <v>-0.29367785</v>
      </c>
      <c r="I116" s="15">
        <v>0.0222741</v>
      </c>
      <c r="J116" s="15">
        <v>0.29900615</v>
      </c>
      <c r="K116" s="15">
        <v>4866.07</v>
      </c>
    </row>
    <row r="117" ht="22.5" customHeight="1">
      <c r="A117" s="167">
        <v>46034.935752314814</v>
      </c>
      <c r="B117" s="144" t="s">
        <v>473</v>
      </c>
      <c r="C117" s="15">
        <v>477.18</v>
      </c>
      <c r="D117" s="15">
        <v>0.2</v>
      </c>
      <c r="E117" s="146">
        <v>2.25</v>
      </c>
      <c r="F117" s="15">
        <v>2.25</v>
      </c>
      <c r="G117" s="15">
        <v>0.23689929</v>
      </c>
      <c r="H117" s="15">
        <v>-0.24496243</v>
      </c>
      <c r="I117" s="15">
        <v>0.01885438</v>
      </c>
      <c r="J117" s="15">
        <v>0.26936602</v>
      </c>
      <c r="K117" s="15">
        <v>180.74</v>
      </c>
    </row>
    <row r="118" ht="22.5" customHeight="1">
      <c r="A118" s="167">
        <v>46034.93578703704</v>
      </c>
      <c r="B118" s="144" t="s">
        <v>460</v>
      </c>
      <c r="C118" s="15">
        <v>30.41</v>
      </c>
      <c r="D118" s="15">
        <v>0.35</v>
      </c>
      <c r="E118" s="146">
        <v>0.59</v>
      </c>
      <c r="F118" s="15">
        <v>0.59</v>
      </c>
      <c r="G118" s="15">
        <v>0.22463423</v>
      </c>
      <c r="H118" s="15">
        <v>-0.0131965</v>
      </c>
      <c r="I118" s="15">
        <v>0.0834216</v>
      </c>
      <c r="J118" s="15">
        <v>0.02866764</v>
      </c>
      <c r="K118" s="15">
        <v>47.01</v>
      </c>
    </row>
    <row r="119" ht="22.5" customHeight="1">
      <c r="A119" s="167">
        <v>46034.93579861111</v>
      </c>
      <c r="B119" s="144" t="s">
        <v>489</v>
      </c>
      <c r="C119" s="15">
        <v>77.23</v>
      </c>
      <c r="D119" s="15">
        <v>0.76</v>
      </c>
      <c r="E119" s="146">
        <v>2.39</v>
      </c>
      <c r="F119" s="15">
        <v>2.39</v>
      </c>
      <c r="G119" s="15">
        <v>0.23944301</v>
      </c>
      <c r="H119" s="15">
        <v>-0.07801059</v>
      </c>
      <c r="I119" s="15">
        <v>0.01634252</v>
      </c>
      <c r="J119" s="15">
        <v>0.07489997</v>
      </c>
      <c r="K119" s="15">
        <v>189.98</v>
      </c>
    </row>
    <row r="120" ht="22.5" customHeight="1">
      <c r="A120" s="167">
        <v>46034.93582175926</v>
      </c>
      <c r="B120" s="144" t="s">
        <v>483</v>
      </c>
      <c r="C120" s="15">
        <v>7.36</v>
      </c>
      <c r="D120" s="15">
        <v>0.69</v>
      </c>
      <c r="E120" s="146">
        <v>0.45</v>
      </c>
      <c r="F120" s="15">
        <v>0.45</v>
      </c>
      <c r="G120" s="15">
        <v>0.40899629</v>
      </c>
      <c r="H120" s="15">
        <v>-0.00864297</v>
      </c>
      <c r="I120" s="15">
        <v>0.23404437</v>
      </c>
      <c r="J120" s="15">
        <v>0.00957697</v>
      </c>
      <c r="K120" s="15">
        <v>29.55</v>
      </c>
    </row>
    <row r="121" ht="22.5" customHeight="1">
      <c r="A121" s="167">
        <v>46034.93585648148</v>
      </c>
      <c r="B121" s="144" t="s">
        <v>480</v>
      </c>
      <c r="C121" s="15">
        <v>55.89</v>
      </c>
      <c r="D121" s="15">
        <v>0.45</v>
      </c>
      <c r="E121" s="146">
        <v>1.85</v>
      </c>
      <c r="F121" s="15">
        <v>1.85</v>
      </c>
      <c r="G121" s="15">
        <v>0.35248118</v>
      </c>
      <c r="H121" s="15">
        <v>-0.04119238</v>
      </c>
      <c r="I121" s="15">
        <v>0.04545583</v>
      </c>
      <c r="J121" s="15">
        <v>0.06741227</v>
      </c>
      <c r="K121" s="15">
        <v>23.85</v>
      </c>
    </row>
    <row r="122" ht="22.5" customHeight="1">
      <c r="A122" s="167">
        <v>46034.93586805555</v>
      </c>
      <c r="B122" s="144" t="s">
        <v>481</v>
      </c>
      <c r="C122" s="15">
        <v>55.89</v>
      </c>
      <c r="D122" s="15">
        <v>0.43</v>
      </c>
      <c r="E122" s="146">
        <v>1.0</v>
      </c>
      <c r="F122" s="15">
        <v>1.0</v>
      </c>
      <c r="G122" s="15">
        <v>0.22829822</v>
      </c>
      <c r="H122" s="15">
        <v>-0.03212157</v>
      </c>
      <c r="I122" s="15">
        <v>0.03841103</v>
      </c>
      <c r="J122" s="15">
        <v>0.05281862</v>
      </c>
      <c r="K122" s="15">
        <v>12.49</v>
      </c>
    </row>
    <row r="123" ht="22.5" customHeight="1">
      <c r="A123" s="167">
        <v>46034.93587962963</v>
      </c>
      <c r="B123" s="144" t="s">
        <v>482</v>
      </c>
      <c r="C123" s="15">
        <v>55.89</v>
      </c>
      <c r="D123" s="15">
        <v>0.61</v>
      </c>
      <c r="E123" s="146">
        <v>1.28</v>
      </c>
      <c r="F123" s="15">
        <v>1.28</v>
      </c>
      <c r="G123" s="15">
        <v>-0.18936505</v>
      </c>
      <c r="H123" s="15">
        <v>-0.03785014</v>
      </c>
      <c r="I123" s="15">
        <v>0.02426851</v>
      </c>
      <c r="J123" s="15">
        <v>0.051732</v>
      </c>
      <c r="K123" s="15">
        <v>832.49</v>
      </c>
    </row>
    <row r="124" ht="22.5" customHeight="1">
      <c r="A124" s="167">
        <v>46034.935949074075</v>
      </c>
      <c r="B124" s="144" t="s">
        <v>478</v>
      </c>
      <c r="C124" s="15">
        <v>697.67</v>
      </c>
      <c r="D124" s="15">
        <v>0.11</v>
      </c>
      <c r="E124" s="146">
        <v>3.905</v>
      </c>
      <c r="F124" s="15">
        <v>3.905</v>
      </c>
      <c r="G124" s="15">
        <v>0.24198149</v>
      </c>
      <c r="H124" s="15">
        <v>0.87744195</v>
      </c>
      <c r="I124" s="15">
        <v>0.01118091</v>
      </c>
      <c r="J124" s="15">
        <v>0.76152089</v>
      </c>
      <c r="K124" s="15">
        <v>43.46</v>
      </c>
    </row>
    <row r="125" ht="22.5" customHeight="1">
      <c r="A125" s="167">
        <v>46036.05793981482</v>
      </c>
      <c r="B125" s="144" t="s">
        <v>485</v>
      </c>
      <c r="C125" s="15">
        <v>2.882</v>
      </c>
      <c r="D125" s="15">
        <v>0.65</v>
      </c>
      <c r="E125" s="146">
        <v>0.297</v>
      </c>
      <c r="F125" s="15">
        <v>0.165</v>
      </c>
      <c r="G125" s="15">
        <v>0.6056488</v>
      </c>
      <c r="H125" s="15">
        <v>-0.00284651</v>
      </c>
      <c r="I125" s="15">
        <v>0.61027262</v>
      </c>
      <c r="J125" s="15">
        <v>0.00368921</v>
      </c>
      <c r="K125" s="15">
        <v>4812.89</v>
      </c>
    </row>
    <row r="126" ht="22.5" customHeight="1">
      <c r="A126" s="167">
        <v>46036.058020833334</v>
      </c>
      <c r="B126" s="144" t="s">
        <v>465</v>
      </c>
      <c r="C126" s="15">
        <v>3.419</v>
      </c>
      <c r="D126" s="15">
        <v>1.02</v>
      </c>
      <c r="E126" s="146">
        <v>0.007</v>
      </c>
      <c r="F126" s="15">
        <v>0.007</v>
      </c>
      <c r="G126" s="15">
        <v>0.03162546</v>
      </c>
      <c r="H126" s="15">
        <v>-0.00166966</v>
      </c>
      <c r="I126" s="15">
        <v>0.10551036</v>
      </c>
      <c r="J126" s="15">
        <v>4.7713E-4</v>
      </c>
      <c r="K126" s="15">
        <v>66.22</v>
      </c>
    </row>
    <row r="127" ht="22.5" customHeight="1">
      <c r="A127" s="167">
        <v>46036.05803240741</v>
      </c>
      <c r="B127" s="144" t="s">
        <v>466</v>
      </c>
      <c r="C127" s="15">
        <v>3.419</v>
      </c>
      <c r="D127" s="15">
        <v>0.83</v>
      </c>
      <c r="E127" s="146">
        <v>0.2225</v>
      </c>
      <c r="F127" s="15">
        <v>0.2225</v>
      </c>
      <c r="G127" s="15">
        <v>-0.47373532</v>
      </c>
      <c r="H127" s="15">
        <v>-0.00812993</v>
      </c>
      <c r="I127" s="15">
        <v>0.7153969</v>
      </c>
      <c r="J127" s="15">
        <v>0.00261972</v>
      </c>
      <c r="K127" s="15">
        <v>585.24</v>
      </c>
    </row>
    <row r="128" ht="22.5" customHeight="1">
      <c r="A128" s="167">
        <v>46036.05804398148</v>
      </c>
      <c r="B128" s="144" t="s">
        <v>467</v>
      </c>
      <c r="C128" s="15">
        <v>3.419</v>
      </c>
      <c r="D128" s="15">
        <v>0.82</v>
      </c>
      <c r="E128" s="146">
        <v>0.1705</v>
      </c>
      <c r="F128" s="15">
        <v>0.1705</v>
      </c>
      <c r="G128" s="15">
        <v>-0.40167202</v>
      </c>
      <c r="H128" s="15">
        <v>-0.00778631</v>
      </c>
      <c r="I128" s="15">
        <v>0.70560077</v>
      </c>
      <c r="J128" s="15">
        <v>0.00254641</v>
      </c>
      <c r="K128" s="15">
        <v>5538.44</v>
      </c>
    </row>
    <row r="129" ht="22.5" customHeight="1">
      <c r="A129" s="167">
        <v>46036.05805555556</v>
      </c>
      <c r="B129" s="144" t="s">
        <v>468</v>
      </c>
      <c r="C129" s="15">
        <v>3.419</v>
      </c>
      <c r="D129" s="15">
        <v>1.02</v>
      </c>
      <c r="E129" s="146">
        <v>0.006</v>
      </c>
      <c r="F129" s="15">
        <v>0.006</v>
      </c>
      <c r="G129" s="15">
        <v>0.02706941</v>
      </c>
      <c r="H129" s="15">
        <v>-0.00147904</v>
      </c>
      <c r="I129" s="15">
        <v>0.09144762</v>
      </c>
      <c r="J129" s="15">
        <v>4.2002E-4</v>
      </c>
      <c r="K129" s="15">
        <v>695.93</v>
      </c>
    </row>
    <row r="130" ht="22.5" customHeight="1">
      <c r="A130" s="167">
        <v>46036.058125</v>
      </c>
      <c r="B130" s="144" t="s">
        <v>486</v>
      </c>
      <c r="C130" s="15">
        <v>2.882</v>
      </c>
      <c r="D130" s="15">
        <v>0.65</v>
      </c>
      <c r="E130" s="146">
        <v>0.2495</v>
      </c>
      <c r="F130" s="15">
        <v>0.2175</v>
      </c>
      <c r="G130" s="15">
        <v>0.54253763</v>
      </c>
      <c r="H130" s="15">
        <v>-0.00295824</v>
      </c>
      <c r="I130" s="15">
        <v>0.62702929</v>
      </c>
      <c r="J130" s="15">
        <v>0.00380663</v>
      </c>
      <c r="K130" s="15">
        <v>1937.29</v>
      </c>
    </row>
    <row r="131" ht="22.5" customHeight="1">
      <c r="A131" s="167">
        <v>46036.05814814815</v>
      </c>
      <c r="B131" s="144" t="s">
        <v>487</v>
      </c>
      <c r="C131" s="15">
        <v>60.93</v>
      </c>
      <c r="D131" s="15">
        <v>0.4</v>
      </c>
      <c r="E131" s="146">
        <v>0.15</v>
      </c>
      <c r="F131" s="15">
        <v>0.15</v>
      </c>
      <c r="G131" s="15">
        <v>-0.04562355</v>
      </c>
      <c r="H131" s="15">
        <v>-0.00901722</v>
      </c>
      <c r="I131" s="15">
        <v>0.01300454</v>
      </c>
      <c r="J131" s="15">
        <v>0.01911628</v>
      </c>
      <c r="K131" s="15">
        <v>3698.19</v>
      </c>
    </row>
    <row r="132" ht="22.5" customHeight="1">
      <c r="A132" s="167">
        <v>46036.05824074074</v>
      </c>
      <c r="B132" s="144" t="s">
        <v>462</v>
      </c>
      <c r="C132" s="15">
        <v>4.81</v>
      </c>
      <c r="D132" s="15">
        <v>1.95</v>
      </c>
      <c r="E132" s="146">
        <v>0.01</v>
      </c>
      <c r="F132" s="15">
        <v>0.01</v>
      </c>
      <c r="G132" s="15">
        <v>0.01707068</v>
      </c>
      <c r="H132" s="15">
        <v>-0.00613998</v>
      </c>
      <c r="I132" s="15">
        <v>0.0512532</v>
      </c>
      <c r="J132" s="15">
        <v>2.2258E-4</v>
      </c>
      <c r="K132" s="15">
        <v>0.25</v>
      </c>
    </row>
    <row r="133" ht="22.5" customHeight="1">
      <c r="A133" s="167">
        <v>46036.05832175926</v>
      </c>
      <c r="B133" s="144" t="s">
        <v>461</v>
      </c>
      <c r="C133" s="15">
        <v>213.65</v>
      </c>
      <c r="D133" s="15">
        <v>0.39</v>
      </c>
      <c r="E133" s="146">
        <v>0.05</v>
      </c>
      <c r="F133" s="15">
        <v>0.05</v>
      </c>
      <c r="G133" s="15">
        <v>0.0162088</v>
      </c>
      <c r="H133" s="15">
        <v>-0.05</v>
      </c>
      <c r="I133" s="15">
        <v>0.00553984</v>
      </c>
      <c r="J133" s="15">
        <v>0.00868299</v>
      </c>
      <c r="K133" s="15">
        <v>2.1</v>
      </c>
    </row>
    <row r="134" ht="22.5" customHeight="1">
      <c r="A134" s="167">
        <v>46036.05893518519</v>
      </c>
      <c r="B134" s="144" t="s">
        <v>454</v>
      </c>
      <c r="C134" s="15">
        <v>32.47</v>
      </c>
      <c r="D134" s="15">
        <v>1.33</v>
      </c>
      <c r="E134" s="15" t="s">
        <v>687</v>
      </c>
      <c r="F134" s="15" t="s">
        <v>687</v>
      </c>
      <c r="G134" s="15">
        <v>-1.734E-5</v>
      </c>
      <c r="H134" s="15">
        <v>-1.54E-5</v>
      </c>
      <c r="I134" s="15">
        <v>1.915E-5</v>
      </c>
      <c r="J134" s="15">
        <v>3.37E-6</v>
      </c>
      <c r="K134" s="15">
        <v>0.0</v>
      </c>
    </row>
    <row r="135" ht="22.5" customHeight="1">
      <c r="A135" s="167">
        <v>46036.058958333335</v>
      </c>
      <c r="B135" s="144" t="s">
        <v>456</v>
      </c>
      <c r="C135" s="15">
        <v>53.57</v>
      </c>
      <c r="D135" s="15">
        <v>0.43</v>
      </c>
      <c r="E135" s="146">
        <v>0.26</v>
      </c>
      <c r="F135" s="15">
        <v>0.26</v>
      </c>
      <c r="G135" s="15">
        <v>-0.21104246</v>
      </c>
      <c r="H135" s="15">
        <v>-0.102875</v>
      </c>
      <c r="I135" s="15">
        <v>0.13739672</v>
      </c>
      <c r="J135" s="15">
        <v>0.01490037</v>
      </c>
      <c r="K135" s="15">
        <v>1053.19</v>
      </c>
    </row>
    <row r="136" ht="22.5" customHeight="1">
      <c r="A136" s="167">
        <v>46036.058969907404</v>
      </c>
      <c r="B136" s="144" t="s">
        <v>457</v>
      </c>
      <c r="C136" s="15">
        <v>53.57</v>
      </c>
      <c r="D136" s="15">
        <v>0.4</v>
      </c>
      <c r="E136" s="146">
        <v>1.68</v>
      </c>
      <c r="F136" s="15">
        <v>0.25</v>
      </c>
      <c r="G136" s="15">
        <v>-0.74852667</v>
      </c>
      <c r="H136" s="15">
        <v>-0.10632627</v>
      </c>
      <c r="I136" s="15">
        <v>0.16276801</v>
      </c>
      <c r="J136" s="15">
        <v>0.01548129</v>
      </c>
      <c r="K136" s="15">
        <v>149.38</v>
      </c>
    </row>
    <row r="137" ht="22.5" customHeight="1">
      <c r="A137" s="167">
        <v>46036.05899305556</v>
      </c>
      <c r="B137" s="144" t="s">
        <v>476</v>
      </c>
      <c r="C137" s="15">
        <v>696.3</v>
      </c>
      <c r="D137" s="15">
        <v>0.17</v>
      </c>
      <c r="E137" s="146">
        <v>4.48</v>
      </c>
      <c r="F137" s="15">
        <v>4.48</v>
      </c>
      <c r="G137" s="15">
        <v>-0.21067962</v>
      </c>
      <c r="H137" s="15">
        <v>-0.13053857</v>
      </c>
      <c r="I137" s="15">
        <v>0.00776899</v>
      </c>
      <c r="J137" s="15">
        <v>0.65911389</v>
      </c>
      <c r="K137" s="15">
        <v>4859.31</v>
      </c>
    </row>
    <row r="138" ht="22.5" customHeight="1">
      <c r="A138" s="167">
        <v>46036.05900462963</v>
      </c>
      <c r="B138" s="144" t="s">
        <v>477</v>
      </c>
      <c r="C138" s="15">
        <v>696.3</v>
      </c>
      <c r="D138" s="15">
        <v>0.1</v>
      </c>
      <c r="E138" s="146">
        <v>2.4</v>
      </c>
      <c r="F138" s="15">
        <v>2.4</v>
      </c>
      <c r="G138" s="15">
        <v>0.18545023</v>
      </c>
      <c r="H138" s="15">
        <v>-0.06148029</v>
      </c>
      <c r="I138" s="15">
        <v>0.01151739</v>
      </c>
      <c r="J138" s="15">
        <v>0.62228836</v>
      </c>
      <c r="K138" s="15">
        <v>26.46</v>
      </c>
    </row>
    <row r="139" ht="22.5" customHeight="1">
      <c r="A139" s="167">
        <v>46036.059212962966</v>
      </c>
      <c r="B139" s="144" t="s">
        <v>490</v>
      </c>
      <c r="C139" s="15">
        <v>421.63</v>
      </c>
      <c r="D139" s="15">
        <v>-1.0</v>
      </c>
      <c r="E139" s="146">
        <v>3.55</v>
      </c>
      <c r="F139" s="15">
        <v>3.55</v>
      </c>
      <c r="G139" s="15">
        <v>0.0</v>
      </c>
      <c r="H139" s="15">
        <v>0.0</v>
      </c>
      <c r="I139" s="15">
        <v>0.0</v>
      </c>
      <c r="J139" s="15">
        <v>0.0</v>
      </c>
      <c r="K139" s="15">
        <v>534.57</v>
      </c>
    </row>
    <row r="140" ht="22.5" customHeight="1">
      <c r="A140" s="167">
        <v>46036.05939814815</v>
      </c>
      <c r="B140" s="144" t="s">
        <v>491</v>
      </c>
      <c r="C140" s="15">
        <v>421.63</v>
      </c>
      <c r="D140" s="15">
        <v>-1.0</v>
      </c>
      <c r="E140" s="146">
        <v>1.35</v>
      </c>
      <c r="F140" s="15">
        <v>1.35</v>
      </c>
      <c r="G140" s="15">
        <v>0.0</v>
      </c>
      <c r="H140" s="15">
        <v>0.0</v>
      </c>
      <c r="I140" s="15">
        <v>0.0</v>
      </c>
      <c r="J140" s="15">
        <v>0.0</v>
      </c>
      <c r="K140" s="15">
        <v>82.18</v>
      </c>
    </row>
    <row r="141" ht="22.5" customHeight="1">
      <c r="A141" s="167">
        <v>46036.059479166666</v>
      </c>
      <c r="B141" s="144" t="s">
        <v>474</v>
      </c>
      <c r="C141" s="15">
        <v>13.52</v>
      </c>
      <c r="D141" s="15">
        <v>1.36</v>
      </c>
      <c r="E141" s="146">
        <v>1.9</v>
      </c>
      <c r="F141" s="15">
        <v>1.9</v>
      </c>
      <c r="G141" s="15">
        <v>0.49704729</v>
      </c>
      <c r="H141" s="15">
        <v>-0.03188641</v>
      </c>
      <c r="I141" s="15">
        <v>0.06769263</v>
      </c>
      <c r="J141" s="15">
        <v>0.01712414</v>
      </c>
      <c r="K141" s="15">
        <v>334.92</v>
      </c>
    </row>
    <row r="142" ht="22.5" customHeight="1">
      <c r="A142" s="167">
        <v>46036.05954861111</v>
      </c>
      <c r="B142" s="144" t="s">
        <v>475</v>
      </c>
      <c r="C142" s="15">
        <v>13.52</v>
      </c>
      <c r="D142" s="15">
        <v>1.45</v>
      </c>
      <c r="E142" s="146">
        <v>0.9</v>
      </c>
      <c r="F142" s="15">
        <v>0.9</v>
      </c>
      <c r="G142" s="15">
        <v>0.27480022</v>
      </c>
      <c r="H142" s="15">
        <v>-0.02820008</v>
      </c>
      <c r="I142" s="15">
        <v>0.05308215</v>
      </c>
      <c r="J142" s="15">
        <v>0.01381984</v>
      </c>
      <c r="K142" s="15">
        <v>72.75</v>
      </c>
    </row>
    <row r="143" ht="22.5" customHeight="1">
      <c r="A143" s="167">
        <v>46036.059583333335</v>
      </c>
      <c r="B143" s="144" t="s">
        <v>488</v>
      </c>
      <c r="C143" s="15">
        <v>78.6</v>
      </c>
      <c r="D143" s="15">
        <v>0.67</v>
      </c>
      <c r="E143" s="146">
        <v>3.0</v>
      </c>
      <c r="F143" s="15">
        <v>3.0</v>
      </c>
      <c r="G143" s="15">
        <v>-0.25874212</v>
      </c>
      <c r="H143" s="15">
        <v>-0.07369902</v>
      </c>
      <c r="I143" s="15">
        <v>0.0188611</v>
      </c>
      <c r="J143" s="15">
        <v>0.08335308</v>
      </c>
      <c r="K143" s="15">
        <v>109.25</v>
      </c>
    </row>
    <row r="144" ht="22.5" customHeight="1">
      <c r="A144" s="167">
        <v>46036.05960648148</v>
      </c>
      <c r="B144" s="144" t="s">
        <v>484</v>
      </c>
      <c r="C144" s="15">
        <v>8.49</v>
      </c>
      <c r="D144" s="15">
        <v>1.22</v>
      </c>
      <c r="E144" s="146">
        <v>0.85</v>
      </c>
      <c r="F144" s="15">
        <v>0.85</v>
      </c>
      <c r="G144" s="15">
        <v>0.41281368</v>
      </c>
      <c r="H144" s="15">
        <v>-0.01695705</v>
      </c>
      <c r="I144" s="15">
        <v>0.11748348</v>
      </c>
      <c r="J144" s="15">
        <v>0.01028988</v>
      </c>
      <c r="K144" s="15">
        <v>68.77</v>
      </c>
    </row>
    <row r="145" ht="22.5" customHeight="1">
      <c r="A145" s="167">
        <v>46036.932974537034</v>
      </c>
      <c r="B145" s="144" t="s">
        <v>485</v>
      </c>
      <c r="C145" s="15">
        <v>2.689</v>
      </c>
      <c r="D145" s="15">
        <v>0.64</v>
      </c>
      <c r="E145" s="146">
        <v>0.2</v>
      </c>
      <c r="F145" s="15">
        <v>0.2</v>
      </c>
      <c r="G145" s="15">
        <v>0.49897075</v>
      </c>
      <c r="H145" s="15">
        <v>-0.00278425</v>
      </c>
      <c r="I145" s="15">
        <v>0.68594807</v>
      </c>
      <c r="J145" s="15">
        <v>0.00357478</v>
      </c>
      <c r="K145" s="15">
        <v>3726.78</v>
      </c>
    </row>
    <row r="146" ht="22.5" customHeight="1">
      <c r="A146" s="167">
        <v>46036.933171296296</v>
      </c>
      <c r="B146" s="144" t="s">
        <v>465</v>
      </c>
      <c r="C146" s="15">
        <v>3.09</v>
      </c>
      <c r="D146" s="15">
        <v>1.06</v>
      </c>
      <c r="E146" s="146">
        <v>0.002</v>
      </c>
      <c r="F146" s="15">
        <v>0.002</v>
      </c>
      <c r="G146" s="15">
        <v>0.01006415</v>
      </c>
      <c r="H146" s="15">
        <v>-6.3655E-4</v>
      </c>
      <c r="I146" s="15">
        <v>0.04363414</v>
      </c>
      <c r="J146" s="15">
        <v>1.5572E-4</v>
      </c>
      <c r="K146" s="15">
        <v>19.37</v>
      </c>
    </row>
    <row r="147" ht="22.5" customHeight="1">
      <c r="A147" s="167">
        <v>46036.93335648148</v>
      </c>
      <c r="B147" s="144" t="s">
        <v>466</v>
      </c>
      <c r="C147" s="15">
        <v>3.09</v>
      </c>
      <c r="D147" s="15">
        <v>0.8</v>
      </c>
      <c r="E147" s="146">
        <v>0.378</v>
      </c>
      <c r="F147" s="15">
        <v>0.068</v>
      </c>
      <c r="G147" s="15">
        <v>-0.71053915</v>
      </c>
      <c r="H147" s="15">
        <v>-0.0061056</v>
      </c>
      <c r="I147" s="15">
        <v>0.73107968</v>
      </c>
      <c r="J147" s="15">
        <v>0.0019819</v>
      </c>
      <c r="K147" s="15">
        <v>1907.71</v>
      </c>
    </row>
    <row r="148" ht="22.5" customHeight="1">
      <c r="A148" s="167">
        <v>46036.933541666665</v>
      </c>
      <c r="B148" s="144" t="s">
        <v>467</v>
      </c>
      <c r="C148" s="15">
        <v>3.09</v>
      </c>
      <c r="D148" s="15">
        <v>0.79</v>
      </c>
      <c r="E148" s="146">
        <v>0.309</v>
      </c>
      <c r="F148" s="15">
        <v>0.099</v>
      </c>
      <c r="G148" s="15">
        <v>-0.64440479</v>
      </c>
      <c r="H148" s="15">
        <v>-0.00653643</v>
      </c>
      <c r="I148" s="15">
        <v>0.81289784</v>
      </c>
      <c r="J148" s="15">
        <v>0.00215954</v>
      </c>
      <c r="K148" s="15">
        <v>6511.66</v>
      </c>
    </row>
    <row r="149" ht="22.5" customHeight="1">
      <c r="A149" s="167">
        <v>46036.93372685185</v>
      </c>
      <c r="B149" s="144" t="s">
        <v>468</v>
      </c>
      <c r="C149" s="15">
        <v>3.09</v>
      </c>
      <c r="D149" s="15">
        <v>1.08</v>
      </c>
      <c r="E149" s="146">
        <v>0.002</v>
      </c>
      <c r="F149" s="15">
        <v>0.002</v>
      </c>
      <c r="G149" s="15">
        <v>0.00888907</v>
      </c>
      <c r="H149" s="15">
        <v>-5.2081E-4</v>
      </c>
      <c r="I149" s="15">
        <v>0.0383434</v>
      </c>
      <c r="J149" s="15">
        <v>1.4366E-4</v>
      </c>
      <c r="K149" s="15">
        <v>7.56</v>
      </c>
    </row>
    <row r="150" ht="22.5" customHeight="1">
      <c r="A150" s="167">
        <v>46036.93373842593</v>
      </c>
      <c r="B150" s="144" t="s">
        <v>486</v>
      </c>
      <c r="C150" s="15">
        <v>2.689</v>
      </c>
      <c r="D150" s="15">
        <v>0.66</v>
      </c>
      <c r="E150" s="146">
        <v>0.167</v>
      </c>
      <c r="F150" s="15">
        <v>0.167</v>
      </c>
      <c r="G150" s="15">
        <v>0.43585302</v>
      </c>
      <c r="H150" s="15">
        <v>-0.00281298</v>
      </c>
      <c r="I150" s="15">
        <v>0.66357897</v>
      </c>
      <c r="J150" s="15">
        <v>0.00353012</v>
      </c>
      <c r="K150" s="15">
        <v>1218.06</v>
      </c>
    </row>
    <row r="151" ht="22.5" customHeight="1">
      <c r="A151" s="167">
        <v>46036.93376157407</v>
      </c>
      <c r="B151" s="144" t="s">
        <v>487</v>
      </c>
      <c r="C151" s="15">
        <v>60.0</v>
      </c>
      <c r="D151" s="15">
        <v>0.39</v>
      </c>
      <c r="E151" s="146">
        <v>0.2</v>
      </c>
      <c r="F151" s="15">
        <v>0.2</v>
      </c>
      <c r="G151" s="15">
        <v>-0.05549228</v>
      </c>
      <c r="H151" s="15">
        <v>-0.01178796</v>
      </c>
      <c r="I151" s="15">
        <v>0.01567215</v>
      </c>
      <c r="J151" s="15">
        <v>0.02146835</v>
      </c>
      <c r="K151" s="15">
        <v>861.06</v>
      </c>
    </row>
    <row r="152" ht="22.5" customHeight="1">
      <c r="A152" s="167">
        <v>46036.933796296296</v>
      </c>
      <c r="B152" s="144" t="s">
        <v>462</v>
      </c>
      <c r="C152" s="15">
        <v>4.94</v>
      </c>
      <c r="D152" s="15">
        <v>2.38</v>
      </c>
      <c r="E152" s="146">
        <v>0.01</v>
      </c>
      <c r="F152" s="15">
        <v>0.01</v>
      </c>
      <c r="G152" s="15">
        <v>0.02877235</v>
      </c>
      <c r="H152" s="15">
        <v>-0.01</v>
      </c>
      <c r="I152" s="15">
        <v>0.07585379</v>
      </c>
      <c r="J152" s="15">
        <v>2.8191E-4</v>
      </c>
      <c r="K152" s="15">
        <v>0.01</v>
      </c>
    </row>
    <row r="153" ht="22.5" customHeight="1">
      <c r="A153" s="167">
        <v>46036.93381944444</v>
      </c>
      <c r="B153" s="144" t="s">
        <v>461</v>
      </c>
      <c r="C153" s="15">
        <v>218.55</v>
      </c>
      <c r="D153" s="15">
        <v>0.34</v>
      </c>
      <c r="E153" s="146">
        <v>0.05</v>
      </c>
      <c r="F153" s="15">
        <v>0.05</v>
      </c>
      <c r="G153" s="15">
        <v>0.02158119</v>
      </c>
      <c r="H153" s="15">
        <v>-0.05</v>
      </c>
      <c r="I153" s="15">
        <v>0.00947258</v>
      </c>
      <c r="J153" s="15">
        <v>0.0088819</v>
      </c>
      <c r="K153" s="15">
        <v>3.07</v>
      </c>
    </row>
    <row r="154" ht="22.5" customHeight="1">
      <c r="A154" s="167">
        <v>46036.933854166666</v>
      </c>
      <c r="B154" s="144" t="s">
        <v>454</v>
      </c>
      <c r="C154" s="15">
        <v>32.64</v>
      </c>
      <c r="D154" s="15">
        <v>1.47</v>
      </c>
      <c r="E154" s="146">
        <v>0.02</v>
      </c>
      <c r="F154" s="15">
        <v>0.02</v>
      </c>
      <c r="G154" s="15">
        <v>-1.734E-5</v>
      </c>
      <c r="H154" s="15">
        <v>-1.54E-5</v>
      </c>
      <c r="I154" s="15">
        <v>1.915E-5</v>
      </c>
      <c r="J154" s="15">
        <v>3.37E-6</v>
      </c>
      <c r="K154" s="15">
        <v>0.03</v>
      </c>
    </row>
    <row r="155" ht="22.5" customHeight="1">
      <c r="A155" s="167">
        <v>46036.93392361111</v>
      </c>
      <c r="B155" s="144" t="s">
        <v>492</v>
      </c>
      <c r="C155" s="15">
        <v>60.0</v>
      </c>
      <c r="D155" s="15">
        <v>0.64</v>
      </c>
      <c r="E155" s="146">
        <v>0.32</v>
      </c>
      <c r="F155" s="15">
        <v>0.32</v>
      </c>
      <c r="G155" s="15">
        <v>0.06606591</v>
      </c>
      <c r="H155" s="15">
        <v>-0.02230728</v>
      </c>
      <c r="I155" s="15">
        <v>0.01094901</v>
      </c>
      <c r="J155" s="15">
        <v>0.02740549</v>
      </c>
      <c r="K155" s="15">
        <v>25.04</v>
      </c>
    </row>
    <row r="156" ht="22.5" customHeight="1">
      <c r="A156" s="167">
        <v>46036.93394675926</v>
      </c>
      <c r="B156" s="144" t="s">
        <v>476</v>
      </c>
      <c r="C156" s="15">
        <v>692.84</v>
      </c>
      <c r="D156" s="15">
        <v>0.17</v>
      </c>
      <c r="E156" s="146">
        <v>5.11</v>
      </c>
      <c r="F156" s="15">
        <v>5.11</v>
      </c>
      <c r="G156" s="15">
        <v>-0.24163056</v>
      </c>
      <c r="H156" s="15">
        <v>-0.13392688</v>
      </c>
      <c r="I156" s="15">
        <v>0.00854285</v>
      </c>
      <c r="J156" s="15">
        <v>0.68661867</v>
      </c>
      <c r="K156" s="15">
        <v>4867.19</v>
      </c>
    </row>
    <row r="157" ht="22.5" customHeight="1">
      <c r="A157" s="167">
        <v>46036.933969907404</v>
      </c>
      <c r="B157" s="144" t="s">
        <v>493</v>
      </c>
      <c r="C157" s="15">
        <v>55.44</v>
      </c>
      <c r="D157" s="15">
        <v>0.41</v>
      </c>
      <c r="E157" s="146">
        <v>1.28</v>
      </c>
      <c r="F157" s="15">
        <v>1.28</v>
      </c>
      <c r="G157" s="15">
        <v>0.30047981</v>
      </c>
      <c r="H157" s="15">
        <v>-0.03595325</v>
      </c>
      <c r="I157" s="15">
        <v>0.04844127</v>
      </c>
      <c r="J157" s="15">
        <v>0.05828268</v>
      </c>
      <c r="K157" s="15">
        <v>27.14</v>
      </c>
    </row>
    <row r="158" ht="22.5" customHeight="1">
      <c r="A158" s="167">
        <v>46036.93398148148</v>
      </c>
      <c r="B158" s="144" t="s">
        <v>494</v>
      </c>
      <c r="C158" s="15">
        <v>55.44</v>
      </c>
      <c r="D158" s="15">
        <v>0.42</v>
      </c>
      <c r="E158" s="146">
        <v>1.8</v>
      </c>
      <c r="F158" s="15">
        <v>1.8</v>
      </c>
      <c r="G158" s="15">
        <v>-0.33978715</v>
      </c>
      <c r="H158" s="15">
        <v>-0.03500503</v>
      </c>
      <c r="I158" s="15">
        <v>0.04941726</v>
      </c>
      <c r="J158" s="15">
        <v>0.06499546</v>
      </c>
      <c r="K158" s="15">
        <v>1085.17</v>
      </c>
    </row>
    <row r="159" ht="22.5" customHeight="1">
      <c r="A159" s="167">
        <v>46036.93399305556</v>
      </c>
      <c r="B159" s="144" t="s">
        <v>477</v>
      </c>
      <c r="C159" s="15">
        <v>692.84</v>
      </c>
      <c r="D159" s="15">
        <v>0.11</v>
      </c>
      <c r="E159" s="146">
        <v>1.5</v>
      </c>
      <c r="F159" s="15">
        <v>1.5</v>
      </c>
      <c r="G159" s="15">
        <v>0.15531699</v>
      </c>
      <c r="H159" s="15">
        <v>-0.09076509</v>
      </c>
      <c r="I159" s="15">
        <v>0.00981275</v>
      </c>
      <c r="J159" s="15">
        <v>0.52509962</v>
      </c>
      <c r="K159" s="15">
        <v>21.24</v>
      </c>
    </row>
    <row r="160" ht="22.5" customHeight="1">
      <c r="A160" s="167">
        <v>46036.934016203704</v>
      </c>
      <c r="B160" s="144" t="s">
        <v>474</v>
      </c>
      <c r="C160" s="15">
        <v>17.925</v>
      </c>
      <c r="D160" s="15">
        <v>1.49</v>
      </c>
      <c r="E160" s="146">
        <v>4.7</v>
      </c>
      <c r="F160" s="15">
        <v>1.775</v>
      </c>
      <c r="G160" s="15">
        <v>0.73316379</v>
      </c>
      <c r="H160" s="15">
        <v>-0.0388664</v>
      </c>
      <c r="I160" s="15">
        <v>0.03893836</v>
      </c>
      <c r="J160" s="15">
        <v>0.01928834</v>
      </c>
      <c r="K160" s="15">
        <v>456.68</v>
      </c>
    </row>
    <row r="161" ht="22.5" customHeight="1">
      <c r="A161" s="167">
        <v>46036.93402777778</v>
      </c>
      <c r="B161" s="144" t="s">
        <v>475</v>
      </c>
      <c r="C161" s="15">
        <v>17.925</v>
      </c>
      <c r="D161" s="15">
        <v>1.49</v>
      </c>
      <c r="E161" s="146">
        <v>2.6</v>
      </c>
      <c r="F161" s="15">
        <v>2.6</v>
      </c>
      <c r="G161" s="15">
        <v>0.50623172</v>
      </c>
      <c r="H161" s="15">
        <v>-0.04694491</v>
      </c>
      <c r="I161" s="15">
        <v>0.04698777</v>
      </c>
      <c r="J161" s="15">
        <v>0.02238811</v>
      </c>
      <c r="K161" s="15">
        <v>217.34</v>
      </c>
    </row>
    <row r="162" ht="22.5" customHeight="1">
      <c r="A162" s="167">
        <v>46036.9340625</v>
      </c>
      <c r="B162" s="144" t="s">
        <v>484</v>
      </c>
      <c r="C162" s="15">
        <v>8.22</v>
      </c>
      <c r="D162" s="15">
        <v>1.22</v>
      </c>
      <c r="E162" s="146">
        <v>0.7</v>
      </c>
      <c r="F162" s="15">
        <v>0.7</v>
      </c>
      <c r="G162" s="15">
        <v>0.3853931</v>
      </c>
      <c r="H162" s="15">
        <v>-0.01689777</v>
      </c>
      <c r="I162" s="15">
        <v>0.11945648</v>
      </c>
      <c r="J162" s="15">
        <v>0.01003595</v>
      </c>
      <c r="K162" s="15">
        <v>61.13</v>
      </c>
    </row>
    <row r="163" ht="22.5" customHeight="1">
      <c r="A163" s="167">
        <v>46036.93408564815</v>
      </c>
      <c r="B163" s="144" t="s">
        <v>479</v>
      </c>
      <c r="C163" s="15">
        <v>12.3</v>
      </c>
      <c r="D163" s="15">
        <v>0.65</v>
      </c>
      <c r="E163" s="146">
        <v>0.45</v>
      </c>
      <c r="F163" s="15">
        <v>0.45</v>
      </c>
      <c r="G163" s="15">
        <v>0.30354496</v>
      </c>
      <c r="H163" s="15">
        <v>-0.0123748</v>
      </c>
      <c r="I163" s="15">
        <v>0.13890269</v>
      </c>
      <c r="J163" s="15">
        <v>0.0131333</v>
      </c>
      <c r="K163" s="15">
        <v>34.19</v>
      </c>
    </row>
    <row r="164" ht="22.5" customHeight="1">
      <c r="A164" s="167">
        <v>46036.93412037037</v>
      </c>
      <c r="B164" s="144" t="s">
        <v>460</v>
      </c>
      <c r="C164" s="15">
        <v>29.76</v>
      </c>
      <c r="D164" s="15">
        <v>0.39</v>
      </c>
      <c r="E164" s="146">
        <v>0.55</v>
      </c>
      <c r="F164" s="15">
        <v>0.55</v>
      </c>
      <c r="G164" s="15">
        <v>0.24730466</v>
      </c>
      <c r="H164" s="15">
        <v>-0.01651542</v>
      </c>
      <c r="I164" s="15">
        <v>0.08665949</v>
      </c>
      <c r="J164" s="15">
        <v>0.03152816</v>
      </c>
      <c r="K164" s="15">
        <v>39.01</v>
      </c>
    </row>
    <row r="165" ht="22.5" customHeight="1">
      <c r="A165" s="167">
        <v>46036.93414351852</v>
      </c>
      <c r="B165" s="144" t="s">
        <v>483</v>
      </c>
      <c r="C165" s="15">
        <v>6.89</v>
      </c>
      <c r="D165" s="15">
        <v>0.64</v>
      </c>
      <c r="E165" s="146">
        <v>0.2</v>
      </c>
      <c r="F165" s="15">
        <v>0.2</v>
      </c>
      <c r="G165" s="15">
        <v>0.27044171</v>
      </c>
      <c r="H165" s="15">
        <v>-0.00652485</v>
      </c>
      <c r="I165" s="15">
        <v>0.23488625</v>
      </c>
      <c r="J165" s="15">
        <v>0.00744643</v>
      </c>
      <c r="K165" s="15">
        <v>17.9</v>
      </c>
    </row>
    <row r="166" ht="22.5" customHeight="1">
      <c r="A166" s="167">
        <v>46036.93417824074</v>
      </c>
      <c r="B166" s="144" t="s">
        <v>480</v>
      </c>
      <c r="C166" s="15">
        <v>53.83</v>
      </c>
      <c r="D166" s="15">
        <v>0.46</v>
      </c>
      <c r="E166" s="146">
        <v>1.05</v>
      </c>
      <c r="F166" s="15">
        <v>1.05</v>
      </c>
      <c r="G166" s="15">
        <v>0.25987704</v>
      </c>
      <c r="H166" s="15">
        <v>-0.03590077</v>
      </c>
      <c r="I166" s="15">
        <v>0.0415597</v>
      </c>
      <c r="J166" s="15">
        <v>0.05755847</v>
      </c>
      <c r="K166" s="15">
        <v>17.15</v>
      </c>
    </row>
    <row r="167" ht="22.5" customHeight="1">
      <c r="A167" s="167">
        <v>46036.93418981481</v>
      </c>
      <c r="B167" s="144" t="s">
        <v>481</v>
      </c>
      <c r="C167" s="15">
        <v>53.83</v>
      </c>
      <c r="D167" s="15">
        <v>0.44</v>
      </c>
      <c r="E167" s="146">
        <v>0.42</v>
      </c>
      <c r="F167" s="15">
        <v>0.42</v>
      </c>
      <c r="G167" s="15">
        <v>0.15426434</v>
      </c>
      <c r="H167" s="15">
        <v>-0.02521996</v>
      </c>
      <c r="I167" s="15">
        <v>0.0314538</v>
      </c>
      <c r="J167" s="15">
        <v>0.04160826</v>
      </c>
      <c r="K167" s="15">
        <v>9.75</v>
      </c>
    </row>
    <row r="168" ht="22.5" customHeight="1">
      <c r="A168" s="167">
        <v>46036.93420138889</v>
      </c>
      <c r="B168" s="144" t="s">
        <v>482</v>
      </c>
      <c r="C168" s="15">
        <v>53.83</v>
      </c>
      <c r="D168" s="15">
        <v>0.66</v>
      </c>
      <c r="E168" s="146">
        <v>2.05</v>
      </c>
      <c r="F168" s="15">
        <v>2.05</v>
      </c>
      <c r="G168" s="15">
        <v>-0.25044801</v>
      </c>
      <c r="H168" s="15">
        <v>-0.04681644</v>
      </c>
      <c r="I168" s="15">
        <v>0.02850246</v>
      </c>
      <c r="J168" s="15">
        <v>0.05606747</v>
      </c>
      <c r="K168" s="15">
        <v>840.28</v>
      </c>
    </row>
    <row r="169" ht="22.5" customHeight="1">
      <c r="A169" s="167">
        <v>46036.934212962966</v>
      </c>
      <c r="B169" s="144" t="s">
        <v>478</v>
      </c>
      <c r="C169" s="15">
        <v>692.84</v>
      </c>
      <c r="D169" s="15">
        <v>0.11</v>
      </c>
      <c r="E169" s="146">
        <v>2.49</v>
      </c>
      <c r="F169" s="15">
        <v>2.49</v>
      </c>
      <c r="G169" s="15">
        <v>0.19402877</v>
      </c>
      <c r="H169" s="15">
        <v>0.20931851</v>
      </c>
      <c r="I169" s="15">
        <v>0.01160035</v>
      </c>
      <c r="J169" s="15">
        <v>0.62567597</v>
      </c>
      <c r="K169" s="15">
        <v>31.31</v>
      </c>
    </row>
    <row r="170" ht="22.5" customHeight="1">
      <c r="A170" s="167">
        <v>46039.3678125</v>
      </c>
      <c r="B170" s="144" t="s">
        <v>485</v>
      </c>
      <c r="C170" s="15">
        <v>2.698</v>
      </c>
      <c r="D170" s="15">
        <v>-1.0</v>
      </c>
      <c r="E170" s="146">
        <v>0.185</v>
      </c>
      <c r="F170" s="15">
        <v>0.185</v>
      </c>
      <c r="G170" s="15">
        <v>0.0</v>
      </c>
      <c r="H170" s="15">
        <v>-2.0</v>
      </c>
      <c r="I170" s="15">
        <v>0.0</v>
      </c>
      <c r="J170" s="15">
        <v>-2.0</v>
      </c>
      <c r="K170" s="15">
        <v>4237.82</v>
      </c>
    </row>
    <row r="171" ht="22.5" customHeight="1">
      <c r="A171" s="167">
        <v>46039.36783564815</v>
      </c>
      <c r="B171" s="144" t="s">
        <v>465</v>
      </c>
      <c r="C171" s="15">
        <v>3.103</v>
      </c>
      <c r="D171" s="15">
        <v>1.12</v>
      </c>
      <c r="E171" s="146">
        <v>0.002</v>
      </c>
      <c r="F171" s="15">
        <v>0.002</v>
      </c>
      <c r="G171" s="15">
        <v>0.01095462</v>
      </c>
      <c r="H171" s="15">
        <v>-7.2602E-4</v>
      </c>
      <c r="I171" s="15">
        <v>0.04680363</v>
      </c>
      <c r="J171" s="15">
        <v>1.5955E-4</v>
      </c>
      <c r="K171" s="15">
        <v>13.62</v>
      </c>
    </row>
    <row r="172" ht="22.5" customHeight="1">
      <c r="A172" s="167">
        <v>46039.36802083333</v>
      </c>
      <c r="B172" s="144" t="s">
        <v>466</v>
      </c>
      <c r="C172" s="15">
        <v>3.103</v>
      </c>
      <c r="D172" s="15">
        <v>-1.0</v>
      </c>
      <c r="E172" s="146">
        <v>0.352</v>
      </c>
      <c r="F172" s="15">
        <v>0.055</v>
      </c>
      <c r="G172" s="15">
        <v>0.0</v>
      </c>
      <c r="H172" s="15">
        <v>-2.0</v>
      </c>
      <c r="I172" s="15">
        <v>0.0</v>
      </c>
      <c r="J172" s="15">
        <v>-2.0</v>
      </c>
      <c r="K172" s="15">
        <v>1683.68</v>
      </c>
    </row>
    <row r="173" ht="22.5" customHeight="1">
      <c r="A173" s="167">
        <v>46039.36820601852</v>
      </c>
      <c r="B173" s="144" t="s">
        <v>467</v>
      </c>
      <c r="C173" s="15">
        <v>3.103</v>
      </c>
      <c r="D173" s="15">
        <v>-1.0</v>
      </c>
      <c r="E173" s="146">
        <v>0.282</v>
      </c>
      <c r="F173" s="15">
        <v>0.085</v>
      </c>
      <c r="G173" s="15">
        <v>0.0</v>
      </c>
      <c r="H173" s="15">
        <v>-2.0</v>
      </c>
      <c r="I173" s="15">
        <v>0.0</v>
      </c>
      <c r="J173" s="15">
        <v>-2.0</v>
      </c>
      <c r="K173" s="15">
        <v>6839.19</v>
      </c>
    </row>
    <row r="174" ht="22.5" customHeight="1">
      <c r="A174" s="167">
        <v>46039.36821759259</v>
      </c>
      <c r="B174" s="144" t="s">
        <v>468</v>
      </c>
      <c r="C174" s="15">
        <v>3.103</v>
      </c>
      <c r="D174" s="15">
        <v>1.13</v>
      </c>
      <c r="E174" s="146">
        <v>0.002</v>
      </c>
      <c r="F174" s="15">
        <v>0.002</v>
      </c>
      <c r="G174" s="15">
        <v>0.00939693</v>
      </c>
      <c r="H174" s="15">
        <v>-6.4136E-4</v>
      </c>
      <c r="I174" s="15">
        <v>0.04027155</v>
      </c>
      <c r="J174" s="15">
        <v>1.3968E-4</v>
      </c>
      <c r="K174" s="15">
        <v>6.54</v>
      </c>
    </row>
    <row r="175" ht="22.5" customHeight="1">
      <c r="A175" s="167">
        <v>46039.36840277778</v>
      </c>
      <c r="B175" s="144" t="s">
        <v>486</v>
      </c>
      <c r="C175" s="15">
        <v>2.698</v>
      </c>
      <c r="D175" s="15">
        <v>-1.0</v>
      </c>
      <c r="E175" s="146">
        <v>0.16</v>
      </c>
      <c r="F175" s="15">
        <v>0.16</v>
      </c>
      <c r="G175" s="15">
        <v>0.0</v>
      </c>
      <c r="H175" s="15">
        <v>-2.0</v>
      </c>
      <c r="I175" s="15">
        <v>0.0</v>
      </c>
      <c r="J175" s="15">
        <v>-2.0</v>
      </c>
      <c r="K175" s="15">
        <v>1201.28</v>
      </c>
    </row>
    <row r="176" ht="22.5" customHeight="1">
      <c r="A176" s="167">
        <v>46039.3684375</v>
      </c>
      <c r="B176" s="144" t="s">
        <v>487</v>
      </c>
      <c r="C176" s="15">
        <v>59.34</v>
      </c>
      <c r="D176" s="15">
        <v>0.37</v>
      </c>
      <c r="E176" s="146">
        <v>0.15</v>
      </c>
      <c r="F176" s="15">
        <v>0.15</v>
      </c>
      <c r="G176" s="15">
        <v>-0.05051601</v>
      </c>
      <c r="H176" s="15">
        <v>-0.01156157</v>
      </c>
      <c r="I176" s="15">
        <v>0.01625961</v>
      </c>
      <c r="J176" s="15">
        <v>0.02072123</v>
      </c>
      <c r="K176" s="15">
        <v>1218.61</v>
      </c>
    </row>
    <row r="177" ht="22.5" customHeight="1">
      <c r="A177" s="167">
        <v>46039.36863425926</v>
      </c>
      <c r="B177" s="144" t="s">
        <v>462</v>
      </c>
      <c r="C177" s="15">
        <v>4.77</v>
      </c>
      <c r="D177" s="15">
        <v>-1.0</v>
      </c>
      <c r="E177" s="146">
        <v>0.01</v>
      </c>
      <c r="F177" s="15">
        <v>0.01</v>
      </c>
      <c r="G177" s="15">
        <v>0.0</v>
      </c>
      <c r="H177" s="15">
        <v>-2.0</v>
      </c>
      <c r="I177" s="15">
        <v>0.0</v>
      </c>
      <c r="J177" s="15">
        <v>-2.0</v>
      </c>
      <c r="K177" s="15">
        <v>0.0</v>
      </c>
    </row>
    <row r="178" ht="22.5" customHeight="1">
      <c r="A178" s="167">
        <v>46039.36883101852</v>
      </c>
      <c r="B178" s="144" t="s">
        <v>461</v>
      </c>
      <c r="C178" s="15">
        <v>218.66</v>
      </c>
      <c r="D178" s="15">
        <v>-1.0</v>
      </c>
      <c r="E178" s="146">
        <v>0.01</v>
      </c>
      <c r="F178" s="15">
        <v>0.01</v>
      </c>
      <c r="G178" s="15">
        <v>0.0</v>
      </c>
      <c r="H178" s="15">
        <v>-2.0</v>
      </c>
      <c r="I178" s="15">
        <v>0.0</v>
      </c>
      <c r="J178" s="15">
        <v>-2.0</v>
      </c>
      <c r="K178" s="15">
        <v>0.0</v>
      </c>
    </row>
    <row r="179" ht="22.5" customHeight="1">
      <c r="A179" s="167">
        <v>46039.36944444444</v>
      </c>
      <c r="B179" s="144" t="s">
        <v>454</v>
      </c>
      <c r="C179" s="15">
        <v>31.76</v>
      </c>
      <c r="D179" s="15">
        <v>-1.0</v>
      </c>
      <c r="E179" s="146">
        <v>0.0</v>
      </c>
      <c r="F179" s="15">
        <v>0.0</v>
      </c>
      <c r="G179" s="15">
        <v>0.0</v>
      </c>
      <c r="H179" s="15">
        <v>-2.0</v>
      </c>
      <c r="I179" s="15">
        <v>0.0</v>
      </c>
      <c r="J179" s="15">
        <v>-2.0</v>
      </c>
      <c r="K179" s="15">
        <v>0.0</v>
      </c>
    </row>
    <row r="180" ht="22.5" customHeight="1">
      <c r="A180" s="167">
        <v>46039.36945601852</v>
      </c>
      <c r="B180" s="144" t="s">
        <v>492</v>
      </c>
      <c r="C180" s="15">
        <v>59.34</v>
      </c>
      <c r="D180" s="15">
        <v>0.66</v>
      </c>
      <c r="E180" s="146">
        <v>0.27</v>
      </c>
      <c r="F180" s="15">
        <v>0.27</v>
      </c>
      <c r="G180" s="15">
        <v>0.059547</v>
      </c>
      <c r="H180" s="15">
        <v>-0.02003861</v>
      </c>
      <c r="I180" s="15">
        <v>0.0101757</v>
      </c>
      <c r="J180" s="15">
        <v>0.01915147</v>
      </c>
      <c r="K180" s="15">
        <v>142.17</v>
      </c>
    </row>
    <row r="181" ht="22.5" customHeight="1">
      <c r="A181" s="167">
        <v>46039.369479166664</v>
      </c>
      <c r="B181" s="144" t="s">
        <v>495</v>
      </c>
      <c r="C181" s="15">
        <v>307.71</v>
      </c>
      <c r="D181" s="15">
        <v>0.57</v>
      </c>
      <c r="E181" s="146">
        <v>3.5</v>
      </c>
      <c r="F181" s="15">
        <v>3.5</v>
      </c>
      <c r="G181" s="15">
        <v>-0.08177671</v>
      </c>
      <c r="H181" s="15">
        <v>-0.07807561</v>
      </c>
      <c r="I181" s="15">
        <v>0.00210876</v>
      </c>
      <c r="J181" s="15">
        <v>0.18086799</v>
      </c>
      <c r="K181" s="15">
        <v>255.46</v>
      </c>
    </row>
    <row r="182" ht="22.5" customHeight="1">
      <c r="A182" s="167">
        <v>46039.36949074074</v>
      </c>
      <c r="B182" s="144" t="s">
        <v>496</v>
      </c>
      <c r="C182" s="15">
        <v>307.71</v>
      </c>
      <c r="D182" s="15">
        <v>0.56</v>
      </c>
      <c r="E182" s="146">
        <v>4.6</v>
      </c>
      <c r="F182" s="15">
        <v>4.6</v>
      </c>
      <c r="G182" s="15">
        <v>-0.11159392</v>
      </c>
      <c r="H182" s="15">
        <v>-0.1004086</v>
      </c>
      <c r="I182" s="15">
        <v>0.00268521</v>
      </c>
      <c r="J182" s="15">
        <v>0.23598672</v>
      </c>
      <c r="K182" s="15">
        <v>1462.31</v>
      </c>
    </row>
    <row r="183" ht="22.5" customHeight="1">
      <c r="A183" s="167">
        <v>46039.369525462964</v>
      </c>
      <c r="B183" s="144" t="s">
        <v>476</v>
      </c>
      <c r="C183" s="15">
        <v>694.0</v>
      </c>
      <c r="D183" s="15">
        <v>0.16</v>
      </c>
      <c r="E183" s="146">
        <v>4.18</v>
      </c>
      <c r="F183" s="15">
        <v>4.18</v>
      </c>
      <c r="G183" s="15">
        <v>-0.2153002</v>
      </c>
      <c r="H183" s="15">
        <v>-0.17200026</v>
      </c>
      <c r="I183" s="15">
        <v>0.00832348</v>
      </c>
      <c r="J183" s="15">
        <v>0.63869987</v>
      </c>
      <c r="K183" s="15">
        <v>4886.97</v>
      </c>
    </row>
    <row r="184" ht="22.5" customHeight="1">
      <c r="A184" s="167">
        <v>46039.36954861111</v>
      </c>
      <c r="B184" s="144" t="s">
        <v>493</v>
      </c>
      <c r="C184" s="15">
        <v>54.24</v>
      </c>
      <c r="D184" s="15">
        <v>0.37</v>
      </c>
      <c r="E184" s="146">
        <v>0.71</v>
      </c>
      <c r="F184" s="15">
        <v>0.71</v>
      </c>
      <c r="G184" s="15">
        <v>0.21214065</v>
      </c>
      <c r="H184" s="15">
        <v>-0.02689288</v>
      </c>
      <c r="I184" s="15">
        <v>0.04695571</v>
      </c>
      <c r="J184" s="15">
        <v>0.04835106</v>
      </c>
      <c r="K184" s="15">
        <v>17.82</v>
      </c>
    </row>
    <row r="185" ht="22.5" customHeight="1">
      <c r="A185" s="167">
        <v>46039.36956018519</v>
      </c>
      <c r="B185" s="144" t="s">
        <v>494</v>
      </c>
      <c r="C185" s="15">
        <v>54.24</v>
      </c>
      <c r="D185" s="15">
        <v>0.39</v>
      </c>
      <c r="E185" s="146">
        <v>1.91</v>
      </c>
      <c r="F185" s="15">
        <v>1.91</v>
      </c>
      <c r="G185" s="15">
        <v>-0.39670818</v>
      </c>
      <c r="H185" s="15">
        <v>-0.03423396</v>
      </c>
      <c r="I185" s="15">
        <v>0.05999965</v>
      </c>
      <c r="J185" s="15">
        <v>0.06536693</v>
      </c>
      <c r="K185" s="15">
        <v>1117.9</v>
      </c>
    </row>
    <row r="186" ht="22.5" customHeight="1">
      <c r="A186" s="167">
        <v>46039.369571759256</v>
      </c>
      <c r="B186" s="144" t="s">
        <v>477</v>
      </c>
      <c r="C186" s="15">
        <v>694.0</v>
      </c>
      <c r="D186" s="15">
        <v>0.1</v>
      </c>
      <c r="E186" s="146">
        <v>1.57</v>
      </c>
      <c r="F186" s="15">
        <v>1.57</v>
      </c>
      <c r="G186" s="15">
        <v>0.14562609</v>
      </c>
      <c r="H186" s="15">
        <v>-0.05318789</v>
      </c>
      <c r="I186" s="15">
        <v>0.01058896</v>
      </c>
      <c r="J186" s="15">
        <v>0.51729577</v>
      </c>
      <c r="K186" s="15">
        <v>18.64</v>
      </c>
    </row>
    <row r="187" ht="22.5" customHeight="1">
      <c r="A187" s="167">
        <v>46039.36960648148</v>
      </c>
      <c r="B187" s="144" t="s">
        <v>474</v>
      </c>
      <c r="C187" s="15">
        <v>17.65</v>
      </c>
      <c r="D187" s="15">
        <v>1.36</v>
      </c>
      <c r="E187" s="146">
        <v>4.16</v>
      </c>
      <c r="F187" s="15">
        <v>1.51</v>
      </c>
      <c r="G187" s="15">
        <v>0.72217019</v>
      </c>
      <c r="H187" s="15">
        <v>-0.03613978</v>
      </c>
      <c r="I187" s="15">
        <v>0.04516288</v>
      </c>
      <c r="J187" s="15">
        <v>0.01876136</v>
      </c>
      <c r="K187" s="15">
        <v>493.3</v>
      </c>
    </row>
    <row r="188" ht="22.5" customHeight="1">
      <c r="A188" s="167">
        <v>46039.369618055556</v>
      </c>
      <c r="B188" s="144" t="s">
        <v>475</v>
      </c>
      <c r="C188" s="15">
        <v>17.65</v>
      </c>
      <c r="D188" s="15">
        <v>1.43</v>
      </c>
      <c r="E188" s="146">
        <v>2.15</v>
      </c>
      <c r="F188" s="15">
        <v>2.15</v>
      </c>
      <c r="G188" s="15">
        <v>0.47385231</v>
      </c>
      <c r="H188" s="15">
        <v>-0.04406205</v>
      </c>
      <c r="I188" s="15">
        <v>0.05090643</v>
      </c>
      <c r="J188" s="15">
        <v>0.02161204</v>
      </c>
      <c r="K188" s="15">
        <v>185.29</v>
      </c>
    </row>
    <row r="189" ht="22.5" customHeight="1">
      <c r="A189" s="167">
        <v>46039.36969907407</v>
      </c>
      <c r="B189" s="144" t="s">
        <v>507</v>
      </c>
      <c r="C189" s="15">
        <v>81.02</v>
      </c>
      <c r="D189" s="15">
        <v>0.67</v>
      </c>
      <c r="E189" s="146">
        <v>2.95</v>
      </c>
      <c r="F189" s="15">
        <v>2.95</v>
      </c>
      <c r="G189" s="15">
        <v>-0.20175324</v>
      </c>
      <c r="H189" s="15">
        <v>-0.04873081</v>
      </c>
      <c r="I189" s="15">
        <v>0.01245639</v>
      </c>
      <c r="J189" s="15">
        <v>0.09340159</v>
      </c>
      <c r="K189" s="15">
        <v>669.36</v>
      </c>
    </row>
    <row r="190" ht="22.5" customHeight="1">
      <c r="A190" s="167">
        <v>46039.369722222225</v>
      </c>
      <c r="B190" s="144" t="s">
        <v>484</v>
      </c>
      <c r="C190" s="15">
        <v>8.42</v>
      </c>
      <c r="D190" s="15">
        <v>1.2</v>
      </c>
      <c r="E190" s="146">
        <v>0.7</v>
      </c>
      <c r="F190" s="15">
        <v>0.7</v>
      </c>
      <c r="G190" s="15">
        <v>0.394573</v>
      </c>
      <c r="H190" s="15">
        <v>-0.01733219</v>
      </c>
      <c r="I190" s="15">
        <v>0.12362603</v>
      </c>
      <c r="J190" s="15">
        <v>0.00988389</v>
      </c>
      <c r="K190" s="15">
        <v>62.14</v>
      </c>
    </row>
    <row r="191" ht="22.5" customHeight="1">
      <c r="A191" s="167">
        <v>46039.36975694444</v>
      </c>
      <c r="B191" s="144" t="s">
        <v>479</v>
      </c>
      <c r="C191" s="15">
        <v>12.86</v>
      </c>
      <c r="D191" s="15">
        <v>0.57</v>
      </c>
      <c r="E191" s="146">
        <v>0.55</v>
      </c>
      <c r="F191" s="15">
        <v>0.55</v>
      </c>
      <c r="G191" s="15">
        <v>0.35766518</v>
      </c>
      <c r="H191" s="15">
        <v>-0.0126678</v>
      </c>
      <c r="I191" s="15">
        <v>0.16333887</v>
      </c>
      <c r="J191" s="15">
        <v>0.01472782</v>
      </c>
      <c r="K191" s="15">
        <v>42.28</v>
      </c>
    </row>
    <row r="192" ht="22.5" customHeight="1">
      <c r="A192" s="167">
        <v>46039.369791666664</v>
      </c>
      <c r="B192" s="144" t="s">
        <v>460</v>
      </c>
      <c r="C192" s="15">
        <v>29.14</v>
      </c>
      <c r="D192" s="15">
        <v>0.37</v>
      </c>
      <c r="E192" s="146">
        <v>0.435</v>
      </c>
      <c r="F192" s="15">
        <v>0.435</v>
      </c>
      <c r="G192" s="15">
        <v>0.19354938</v>
      </c>
      <c r="H192" s="15">
        <v>-0.01446938</v>
      </c>
      <c r="I192" s="15">
        <v>0.08287333</v>
      </c>
      <c r="J192" s="15">
        <v>0.02615206</v>
      </c>
      <c r="K192" s="15">
        <v>28.37</v>
      </c>
    </row>
    <row r="193" ht="22.5" customHeight="1">
      <c r="A193" s="167">
        <v>46039.36981481482</v>
      </c>
      <c r="B193" s="144" t="s">
        <v>483</v>
      </c>
      <c r="C193" s="15">
        <v>6.75</v>
      </c>
      <c r="D193" s="15">
        <v>0.7</v>
      </c>
      <c r="E193" s="146">
        <v>0.22</v>
      </c>
      <c r="F193" s="15">
        <v>0.22</v>
      </c>
      <c r="G193" s="15">
        <v>0.25335791</v>
      </c>
      <c r="H193" s="15">
        <v>-0.00740864</v>
      </c>
      <c r="I193" s="15">
        <v>0.21965469</v>
      </c>
      <c r="J193" s="15">
        <v>0.00716194</v>
      </c>
      <c r="K193" s="15">
        <v>17.2</v>
      </c>
    </row>
    <row r="194" ht="22.5" customHeight="1">
      <c r="A194" s="167">
        <v>46039.369837962964</v>
      </c>
      <c r="B194" s="144" t="s">
        <v>480</v>
      </c>
      <c r="C194" s="15">
        <v>54.14</v>
      </c>
      <c r="D194" s="15">
        <v>0.45</v>
      </c>
      <c r="E194" s="146">
        <v>1.08</v>
      </c>
      <c r="F194" s="15">
        <v>1.08</v>
      </c>
      <c r="G194" s="15">
        <v>0.26216725</v>
      </c>
      <c r="H194" s="15">
        <v>-0.03702722</v>
      </c>
      <c r="I194" s="15">
        <v>0.04363565</v>
      </c>
      <c r="J194" s="15">
        <v>0.05595105</v>
      </c>
      <c r="K194" s="15">
        <v>14.2</v>
      </c>
    </row>
    <row r="195" ht="22.5" customHeight="1">
      <c r="A195" s="167">
        <v>46039.36984953703</v>
      </c>
      <c r="B195" s="144" t="s">
        <v>481</v>
      </c>
      <c r="C195" s="15">
        <v>54.14</v>
      </c>
      <c r="D195" s="15">
        <v>0.42</v>
      </c>
      <c r="E195" s="146">
        <v>0.5</v>
      </c>
      <c r="F195" s="15">
        <v>0.5</v>
      </c>
      <c r="G195" s="15">
        <v>0.14849294</v>
      </c>
      <c r="H195" s="15">
        <v>-0.0253952</v>
      </c>
      <c r="I195" s="15">
        <v>0.03246274</v>
      </c>
      <c r="J195" s="15">
        <v>0.04039293</v>
      </c>
      <c r="K195" s="15">
        <v>6.73</v>
      </c>
    </row>
    <row r="196" ht="22.5" customHeight="1">
      <c r="A196" s="167">
        <v>46039.36987268519</v>
      </c>
      <c r="B196" s="144" t="s">
        <v>482</v>
      </c>
      <c r="C196" s="15">
        <v>54.14</v>
      </c>
      <c r="D196" s="15">
        <v>0.62</v>
      </c>
      <c r="E196" s="146">
        <v>1.53</v>
      </c>
      <c r="F196" s="15">
        <v>1.53</v>
      </c>
      <c r="G196" s="15">
        <v>-0.22730144</v>
      </c>
      <c r="H196" s="15">
        <v>-0.04252698</v>
      </c>
      <c r="I196" s="15">
        <v>0.02892422</v>
      </c>
      <c r="J196" s="15">
        <v>0.04866999</v>
      </c>
      <c r="K196" s="15">
        <v>841.21</v>
      </c>
    </row>
    <row r="197" ht="22.5" customHeight="1">
      <c r="A197" s="167">
        <v>46039.36988425926</v>
      </c>
      <c r="B197" s="144" t="s">
        <v>478</v>
      </c>
      <c r="C197" s="15">
        <v>694.0</v>
      </c>
      <c r="D197" s="15">
        <v>0.1</v>
      </c>
      <c r="E197" s="146">
        <v>2.335</v>
      </c>
      <c r="F197" s="15">
        <v>2.335</v>
      </c>
      <c r="G197" s="15">
        <v>0.19780627</v>
      </c>
      <c r="H197" s="15">
        <v>-0.1433424</v>
      </c>
      <c r="I197" s="15">
        <v>0.01258621</v>
      </c>
      <c r="J197" s="15">
        <v>0.61767559</v>
      </c>
      <c r="K197" s="15">
        <v>28.68</v>
      </c>
    </row>
    <row r="198" ht="22.5" customHeight="1">
      <c r="A198" s="167">
        <v>46042.912997685184</v>
      </c>
      <c r="B198" s="144" t="s">
        <v>487</v>
      </c>
      <c r="C198" s="15">
        <v>59.41</v>
      </c>
      <c r="D198" s="15">
        <v>0.37</v>
      </c>
      <c r="E198" s="146">
        <v>0.11</v>
      </c>
      <c r="F198" s="15">
        <v>0.11</v>
      </c>
      <c r="G198" s="15">
        <v>-0.04241554</v>
      </c>
      <c r="H198" s="15">
        <v>-0.00994666</v>
      </c>
      <c r="I198" s="15">
        <v>0.01469421</v>
      </c>
      <c r="J198" s="15">
        <v>0.01405814</v>
      </c>
      <c r="K198" s="15">
        <v>1113.87</v>
      </c>
    </row>
    <row r="199" ht="22.5" customHeight="1">
      <c r="A199" s="167">
        <v>46042.91300925926</v>
      </c>
      <c r="B199" s="144" t="s">
        <v>492</v>
      </c>
      <c r="C199" s="15">
        <v>59.41</v>
      </c>
      <c r="D199" s="15">
        <v>0.7</v>
      </c>
      <c r="E199" s="146">
        <v>0.25</v>
      </c>
      <c r="F199" s="15">
        <v>0.25</v>
      </c>
      <c r="G199" s="15">
        <v>0.0581806</v>
      </c>
      <c r="H199" s="15">
        <v>-0.02394604</v>
      </c>
      <c r="I199" s="15">
        <v>0.01009744</v>
      </c>
      <c r="J199" s="15">
        <v>0.01793846</v>
      </c>
      <c r="K199" s="15">
        <v>92.98</v>
      </c>
    </row>
    <row r="200" ht="22.5" customHeight="1">
      <c r="A200" s="167">
        <v>46042.91303240741</v>
      </c>
      <c r="B200" s="144" t="s">
        <v>495</v>
      </c>
      <c r="C200" s="15">
        <v>294.79</v>
      </c>
      <c r="D200" s="15">
        <v>0.57</v>
      </c>
      <c r="E200" s="146">
        <v>3.7</v>
      </c>
      <c r="F200" s="15">
        <v>3.7</v>
      </c>
      <c r="G200" s="15">
        <v>-0.11102392</v>
      </c>
      <c r="H200" s="15">
        <v>-0.10398948</v>
      </c>
      <c r="I200" s="15">
        <v>0.00283052</v>
      </c>
      <c r="J200" s="15">
        <v>0.21914715</v>
      </c>
      <c r="K200" s="15">
        <v>348.79</v>
      </c>
    </row>
    <row r="201" ht="22.5" customHeight="1">
      <c r="A201" s="167">
        <v>46042.91304398148</v>
      </c>
      <c r="B201" s="144" t="s">
        <v>496</v>
      </c>
      <c r="C201" s="15">
        <v>294.79</v>
      </c>
      <c r="D201" s="15">
        <v>0.56</v>
      </c>
      <c r="E201" s="146">
        <v>5.97</v>
      </c>
      <c r="F201" s="15">
        <v>5.97</v>
      </c>
      <c r="G201" s="15">
        <v>-0.14742103</v>
      </c>
      <c r="H201" s="15">
        <v>-0.12443785</v>
      </c>
      <c r="I201" s="15">
        <v>0.00349219</v>
      </c>
      <c r="J201" s="15">
        <v>0.27487352</v>
      </c>
      <c r="K201" s="15">
        <v>1893.0</v>
      </c>
    </row>
    <row r="202" ht="22.5" customHeight="1">
      <c r="A202" s="167">
        <v>46042.91307870371</v>
      </c>
      <c r="B202" s="144" t="s">
        <v>476</v>
      </c>
      <c r="C202" s="15">
        <v>679.2</v>
      </c>
      <c r="D202" s="15">
        <v>0.18</v>
      </c>
      <c r="E202" s="146">
        <v>9.21</v>
      </c>
      <c r="F202" s="15">
        <v>9.21</v>
      </c>
      <c r="G202" s="15">
        <v>-0.37228641</v>
      </c>
      <c r="H202" s="15">
        <v>-0.19121717</v>
      </c>
      <c r="I202" s="15">
        <v>0.01043948</v>
      </c>
      <c r="J202" s="15">
        <v>0.74799639</v>
      </c>
      <c r="K202" s="15">
        <v>4912.55</v>
      </c>
    </row>
    <row r="203" ht="22.5" customHeight="1">
      <c r="A203" s="167">
        <v>46042.91310185185</v>
      </c>
      <c r="B203" s="144" t="s">
        <v>501</v>
      </c>
      <c r="C203" s="15">
        <v>262.38</v>
      </c>
      <c r="D203" s="15">
        <v>0.26</v>
      </c>
      <c r="E203" s="146">
        <v>2.71</v>
      </c>
      <c r="F203" s="15">
        <v>2.71</v>
      </c>
      <c r="G203" s="15">
        <v>-0.23323913</v>
      </c>
      <c r="H203" s="15">
        <v>-0.09007155</v>
      </c>
      <c r="I203" s="15">
        <v>0.01583899</v>
      </c>
      <c r="J203" s="15">
        <v>0.22705678</v>
      </c>
      <c r="K203" s="15">
        <v>1742.7</v>
      </c>
    </row>
    <row r="204" ht="22.5" customHeight="1">
      <c r="A204" s="167">
        <v>46042.913125</v>
      </c>
      <c r="B204" s="144" t="s">
        <v>499</v>
      </c>
      <c r="C204" s="15">
        <v>86.65</v>
      </c>
      <c r="D204" s="15">
        <v>0.29</v>
      </c>
      <c r="E204" s="146">
        <v>1.32</v>
      </c>
      <c r="F204" s="15">
        <v>1.32</v>
      </c>
      <c r="G204" s="15">
        <v>-0.27379065</v>
      </c>
      <c r="H204" s="15">
        <v>-0.03617902</v>
      </c>
      <c r="I204" s="15">
        <v>0.04664654</v>
      </c>
      <c r="J204" s="15">
        <v>0.084738</v>
      </c>
      <c r="K204" s="15">
        <v>93.9</v>
      </c>
    </row>
    <row r="205" ht="22.5" customHeight="1">
      <c r="A205" s="167">
        <v>46042.913136574076</v>
      </c>
      <c r="B205" s="144" t="s">
        <v>500</v>
      </c>
      <c r="C205" s="15">
        <v>86.65</v>
      </c>
      <c r="D205" s="15">
        <v>0.27</v>
      </c>
      <c r="E205" s="146">
        <v>2.04</v>
      </c>
      <c r="F205" s="15">
        <v>2.04</v>
      </c>
      <c r="G205" s="15">
        <v>-0.39980965</v>
      </c>
      <c r="H205" s="15">
        <v>-0.03823758</v>
      </c>
      <c r="I205" s="15">
        <v>0.05863682</v>
      </c>
      <c r="J205" s="15">
        <v>0.09818296</v>
      </c>
      <c r="K205" s="15">
        <v>729.0</v>
      </c>
    </row>
    <row r="206" ht="22.5" customHeight="1">
      <c r="A206" s="167">
        <v>46042.913148148145</v>
      </c>
      <c r="B206" s="144" t="s">
        <v>477</v>
      </c>
      <c r="C206" s="15">
        <v>679.2</v>
      </c>
      <c r="D206" s="15">
        <v>0.12</v>
      </c>
      <c r="E206" s="146">
        <v>0.58</v>
      </c>
      <c r="F206" s="15">
        <v>0.58</v>
      </c>
      <c r="G206" s="15">
        <v>0.05387045</v>
      </c>
      <c r="H206" s="15">
        <v>-0.04538419</v>
      </c>
      <c r="I206" s="15">
        <v>0.0046786</v>
      </c>
      <c r="J206" s="15">
        <v>0.21634845</v>
      </c>
      <c r="K206" s="15">
        <v>4.34</v>
      </c>
    </row>
    <row r="207" ht="22.5" customHeight="1">
      <c r="A207" s="167">
        <v>46042.91318287037</v>
      </c>
      <c r="B207" s="144" t="s">
        <v>474</v>
      </c>
      <c r="C207" s="15">
        <v>17.0993</v>
      </c>
      <c r="D207" s="15">
        <v>1.38</v>
      </c>
      <c r="E207" s="146">
        <v>3.7</v>
      </c>
      <c r="F207" s="15">
        <v>1.6007</v>
      </c>
      <c r="G207" s="15">
        <v>0.70340022</v>
      </c>
      <c r="H207" s="15">
        <v>-0.0394839</v>
      </c>
      <c r="I207" s="15">
        <v>0.05031024</v>
      </c>
      <c r="J207" s="15">
        <v>0.01739606</v>
      </c>
      <c r="K207" s="15">
        <v>461.24</v>
      </c>
    </row>
    <row r="208" ht="22.5" customHeight="1">
      <c r="A208" s="167">
        <v>46042.913194444445</v>
      </c>
      <c r="B208" s="144" t="s">
        <v>475</v>
      </c>
      <c r="C208" s="15">
        <v>17.0993</v>
      </c>
      <c r="D208" s="15">
        <v>1.45</v>
      </c>
      <c r="E208" s="146">
        <v>1.9</v>
      </c>
      <c r="F208" s="15">
        <v>1.9</v>
      </c>
      <c r="G208" s="15">
        <v>0.43887836</v>
      </c>
      <c r="H208" s="15">
        <v>-0.04670522</v>
      </c>
      <c r="I208" s="15">
        <v>0.05490706</v>
      </c>
      <c r="J208" s="15">
        <v>0.02017262</v>
      </c>
      <c r="K208" s="15">
        <v>164.48</v>
      </c>
    </row>
    <row r="209" ht="22.5" customHeight="1">
      <c r="A209" s="167">
        <v>46042.91321759259</v>
      </c>
      <c r="B209" s="144" t="s">
        <v>507</v>
      </c>
      <c r="C209" s="15">
        <v>85.43</v>
      </c>
      <c r="D209" s="15">
        <v>0.66</v>
      </c>
      <c r="E209" s="146">
        <v>1.93</v>
      </c>
      <c r="F209" s="15">
        <v>1.93</v>
      </c>
      <c r="G209" s="15">
        <v>-0.14259471</v>
      </c>
      <c r="H209" s="15">
        <v>-0.04204406</v>
      </c>
      <c r="I209" s="15">
        <v>0.00995414</v>
      </c>
      <c r="J209" s="15">
        <v>0.0783582</v>
      </c>
      <c r="K209" s="15">
        <v>571.34</v>
      </c>
    </row>
    <row r="210" ht="22.5" customHeight="1">
      <c r="A210" s="167">
        <v>46042.913252314815</v>
      </c>
      <c r="B210" s="144" t="s">
        <v>484</v>
      </c>
      <c r="C210" s="15">
        <v>8.3</v>
      </c>
      <c r="D210" s="15">
        <v>1.26</v>
      </c>
      <c r="E210" s="146">
        <v>0.63</v>
      </c>
      <c r="F210" s="15">
        <v>0.63</v>
      </c>
      <c r="G210" s="15">
        <v>0.37526106</v>
      </c>
      <c r="H210" s="15">
        <v>-0.01894787</v>
      </c>
      <c r="I210" s="15">
        <v>0.124749</v>
      </c>
      <c r="J210" s="15">
        <v>0.00923135</v>
      </c>
      <c r="K210" s="15">
        <v>51.76</v>
      </c>
    </row>
    <row r="211" ht="22.5" customHeight="1">
      <c r="A211" s="167">
        <v>46042.91327546296</v>
      </c>
      <c r="B211" s="144" t="s">
        <v>479</v>
      </c>
      <c r="C211" s="15">
        <v>12.78</v>
      </c>
      <c r="D211" s="15">
        <v>0.65</v>
      </c>
      <c r="E211" s="146">
        <v>0.53</v>
      </c>
      <c r="F211" s="15">
        <v>0.53</v>
      </c>
      <c r="G211" s="15">
        <v>0.35736698</v>
      </c>
      <c r="H211" s="15">
        <v>-0.01502614</v>
      </c>
      <c r="I211" s="15">
        <v>0.15494557</v>
      </c>
      <c r="J211" s="15">
        <v>0.0137962</v>
      </c>
      <c r="K211" s="15">
        <v>37.17</v>
      </c>
    </row>
    <row r="212" ht="22.5" customHeight="1">
      <c r="A212" s="167">
        <v>46042.913310185184</v>
      </c>
      <c r="B212" s="144" t="s">
        <v>460</v>
      </c>
      <c r="C212" s="15">
        <v>29.4</v>
      </c>
      <c r="D212" s="15">
        <v>0.37</v>
      </c>
      <c r="E212" s="146">
        <v>0.4</v>
      </c>
      <c r="F212" s="15">
        <v>0.4</v>
      </c>
      <c r="G212" s="15">
        <v>0.17318365</v>
      </c>
      <c r="H212" s="15">
        <v>-0.01341067</v>
      </c>
      <c r="I212" s="15">
        <v>0.08293919</v>
      </c>
      <c r="J212" s="15">
        <v>0.02055907</v>
      </c>
      <c r="K212" s="15">
        <v>28.93</v>
      </c>
    </row>
    <row r="213" ht="22.5" customHeight="1">
      <c r="A213" s="167">
        <v>46042.91333333333</v>
      </c>
      <c r="B213" s="144" t="s">
        <v>483</v>
      </c>
      <c r="C213" s="15">
        <v>7.675</v>
      </c>
      <c r="D213" s="15">
        <v>0.89</v>
      </c>
      <c r="E213" s="146">
        <v>0.65</v>
      </c>
      <c r="F213" s="15">
        <v>0.65</v>
      </c>
      <c r="G213" s="15">
        <v>0.49346483</v>
      </c>
      <c r="H213" s="15">
        <v>-0.01323846</v>
      </c>
      <c r="I213" s="15">
        <v>0.20081603</v>
      </c>
      <c r="J213" s="15">
        <v>0.0090129</v>
      </c>
      <c r="K213" s="15">
        <v>43.47</v>
      </c>
    </row>
    <row r="214" ht="22.5" customHeight="1">
      <c r="A214" s="167">
        <v>46042.91336805555</v>
      </c>
      <c r="B214" s="144" t="s">
        <v>497</v>
      </c>
      <c r="C214" s="15">
        <v>29.4</v>
      </c>
      <c r="D214" s="15">
        <v>0.39</v>
      </c>
      <c r="E214" s="146">
        <v>0.41</v>
      </c>
      <c r="F214" s="15">
        <v>0.41</v>
      </c>
      <c r="G214" s="15">
        <v>-0.20505096</v>
      </c>
      <c r="H214" s="15">
        <v>-0.01482433</v>
      </c>
      <c r="I214" s="15">
        <v>0.08475103</v>
      </c>
      <c r="J214" s="15">
        <v>0.02506443</v>
      </c>
      <c r="K214" s="15">
        <v>31.45</v>
      </c>
    </row>
    <row r="215" ht="22.5" customHeight="1">
      <c r="A215" s="167">
        <v>46042.913449074076</v>
      </c>
      <c r="B215" s="144" t="s">
        <v>498</v>
      </c>
      <c r="C215" s="15">
        <v>61.64</v>
      </c>
      <c r="D215" s="15">
        <v>0.13</v>
      </c>
      <c r="E215" s="146">
        <v>0.6</v>
      </c>
      <c r="F215" s="15">
        <v>0.6</v>
      </c>
      <c r="G215" s="15">
        <v>0.33298647</v>
      </c>
      <c r="H215" s="15">
        <v>-0.01773792</v>
      </c>
      <c r="I215" s="15">
        <v>0.16614802</v>
      </c>
      <c r="J215" s="15">
        <v>0.06612605</v>
      </c>
      <c r="K215" s="15">
        <v>40.2</v>
      </c>
    </row>
    <row r="216" ht="22.5" customHeight="1">
      <c r="A216" s="167">
        <v>46042.91347222222</v>
      </c>
      <c r="B216" s="144" t="s">
        <v>480</v>
      </c>
      <c r="C216" s="15">
        <v>50.65</v>
      </c>
      <c r="D216" s="15">
        <v>0.5</v>
      </c>
      <c r="E216" s="146">
        <v>0.5</v>
      </c>
      <c r="F216" s="15">
        <v>0.5</v>
      </c>
      <c r="G216" s="15">
        <v>0.14169266</v>
      </c>
      <c r="H216" s="15">
        <v>-0.02745053</v>
      </c>
      <c r="I216" s="15">
        <v>0.03061515</v>
      </c>
      <c r="J216" s="15">
        <v>0.03586734</v>
      </c>
      <c r="K216" s="15">
        <v>4.92</v>
      </c>
    </row>
    <row r="217" ht="22.5" customHeight="1">
      <c r="A217" s="167">
        <v>46042.9134837963</v>
      </c>
      <c r="B217" s="144" t="s">
        <v>481</v>
      </c>
      <c r="C217" s="15">
        <v>50.65</v>
      </c>
      <c r="D217" s="15">
        <v>0.5</v>
      </c>
      <c r="E217" s="146">
        <v>0.23</v>
      </c>
      <c r="F217" s="15">
        <v>0.23</v>
      </c>
      <c r="G217" s="15">
        <v>0.07930175</v>
      </c>
      <c r="H217" s="15">
        <v>-0.01793855</v>
      </c>
      <c r="I217" s="15">
        <v>0.02010133</v>
      </c>
      <c r="J217" s="15">
        <v>0.02195814</v>
      </c>
      <c r="K217" s="15">
        <v>2.73</v>
      </c>
    </row>
    <row r="218" ht="22.5" customHeight="1">
      <c r="A218" s="167">
        <v>46042.91349537037</v>
      </c>
      <c r="B218" s="144" t="s">
        <v>482</v>
      </c>
      <c r="C218" s="15">
        <v>50.65</v>
      </c>
      <c r="D218" s="15">
        <v>0.7</v>
      </c>
      <c r="E218" s="146">
        <v>2.81</v>
      </c>
      <c r="F218" s="15">
        <v>2.81</v>
      </c>
      <c r="G218" s="15">
        <v>-0.35225357</v>
      </c>
      <c r="H218" s="15">
        <v>-0.0597272</v>
      </c>
      <c r="I218" s="15">
        <v>0.03630918</v>
      </c>
      <c r="J218" s="15">
        <v>0.05433911</v>
      </c>
      <c r="K218" s="15">
        <v>768.8</v>
      </c>
    </row>
    <row r="219" ht="22.5" customHeight="1">
      <c r="A219" s="167">
        <v>46042.913506944446</v>
      </c>
      <c r="B219" s="144" t="s">
        <v>478</v>
      </c>
      <c r="C219" s="15">
        <v>679.2</v>
      </c>
      <c r="D219" s="15">
        <v>0.12</v>
      </c>
      <c r="E219" s="146">
        <v>1.35</v>
      </c>
      <c r="F219" s="15">
        <v>1.35</v>
      </c>
      <c r="G219" s="15">
        <v>0.07944428</v>
      </c>
      <c r="H219" s="15">
        <v>-0.06272381</v>
      </c>
      <c r="I219" s="15">
        <v>0.00622339</v>
      </c>
      <c r="J219" s="15">
        <v>0.29253182</v>
      </c>
      <c r="K219" s="15">
        <v>7.02</v>
      </c>
    </row>
    <row r="220" ht="22.5" customHeight="1">
      <c r="A220" s="167">
        <v>46044.55142361111</v>
      </c>
      <c r="B220" s="144" t="s">
        <v>487</v>
      </c>
      <c r="C220" s="15">
        <v>60.62</v>
      </c>
      <c r="D220" s="15">
        <v>-1.0</v>
      </c>
      <c r="E220" s="146">
        <v>0.16</v>
      </c>
      <c r="F220" s="15">
        <v>0.16</v>
      </c>
      <c r="G220" s="15">
        <v>0.0</v>
      </c>
      <c r="H220" s="15">
        <v>0.0</v>
      </c>
      <c r="I220" s="15">
        <v>0.0</v>
      </c>
      <c r="J220" s="15">
        <v>0.0</v>
      </c>
      <c r="K220" s="15">
        <v>803.16</v>
      </c>
    </row>
    <row r="221" ht="22.5" customHeight="1">
      <c r="A221" s="167">
        <v>46044.55201388889</v>
      </c>
      <c r="B221" s="144" t="s">
        <v>492</v>
      </c>
      <c r="C221" s="15">
        <v>60.62</v>
      </c>
      <c r="D221" s="15">
        <v>-1.0</v>
      </c>
      <c r="E221" s="146">
        <v>0.255</v>
      </c>
      <c r="F221" s="15">
        <v>0.255</v>
      </c>
      <c r="G221" s="15">
        <v>0.0</v>
      </c>
      <c r="H221" s="15">
        <v>0.0</v>
      </c>
      <c r="I221" s="15">
        <v>0.0</v>
      </c>
      <c r="J221" s="15">
        <v>0.0</v>
      </c>
      <c r="K221" s="15">
        <v>75.23</v>
      </c>
    </row>
    <row r="222" ht="22.5" customHeight="1">
      <c r="A222" s="167">
        <v>46044.55204861111</v>
      </c>
      <c r="B222" s="144" t="s">
        <v>495</v>
      </c>
      <c r="C222" s="15">
        <v>294.37</v>
      </c>
      <c r="D222" s="15">
        <v>0.57</v>
      </c>
      <c r="E222" s="146">
        <v>3.65</v>
      </c>
      <c r="F222" s="15">
        <v>3.65</v>
      </c>
      <c r="G222" s="15">
        <v>-0.11090095</v>
      </c>
      <c r="H222" s="15">
        <v>-0.10358109</v>
      </c>
      <c r="I222" s="15">
        <v>0.00283851</v>
      </c>
      <c r="J222" s="15">
        <v>0.21740132</v>
      </c>
      <c r="K222" s="15">
        <v>298.17</v>
      </c>
    </row>
    <row r="223" ht="22.5" customHeight="1">
      <c r="A223" s="167">
        <v>46044.55206018518</v>
      </c>
      <c r="B223" s="144" t="s">
        <v>496</v>
      </c>
      <c r="C223" s="15">
        <v>294.37</v>
      </c>
      <c r="D223" s="15">
        <v>0.56</v>
      </c>
      <c r="E223" s="146">
        <v>5.3</v>
      </c>
      <c r="F223" s="15">
        <v>5.3</v>
      </c>
      <c r="G223" s="15">
        <v>-0.14657721</v>
      </c>
      <c r="H223" s="15">
        <v>-0.1268331</v>
      </c>
      <c r="I223" s="15">
        <v>0.00352091</v>
      </c>
      <c r="J223" s="15">
        <v>0.27254411</v>
      </c>
      <c r="K223" s="15">
        <v>1975.57</v>
      </c>
    </row>
    <row r="224" ht="22.5" customHeight="1">
      <c r="A224" s="167">
        <v>46044.552083333336</v>
      </c>
      <c r="B224" s="144" t="s">
        <v>476</v>
      </c>
      <c r="C224" s="15">
        <v>687.56</v>
      </c>
      <c r="D224" s="15">
        <v>0.18</v>
      </c>
      <c r="E224" s="146">
        <v>5.31</v>
      </c>
      <c r="F224" s="15">
        <v>5.31</v>
      </c>
      <c r="G224" s="15">
        <v>-0.25167271</v>
      </c>
      <c r="H224" s="15">
        <v>-0.17166358</v>
      </c>
      <c r="I224" s="15">
        <v>0.0090154</v>
      </c>
      <c r="J224" s="15">
        <v>0.62426889</v>
      </c>
      <c r="K224" s="15">
        <v>4920.56</v>
      </c>
    </row>
    <row r="225" ht="22.5" customHeight="1">
      <c r="A225" s="167">
        <v>46044.55210648148</v>
      </c>
      <c r="B225" s="144" t="s">
        <v>501</v>
      </c>
      <c r="C225" s="15">
        <v>267.79</v>
      </c>
      <c r="D225" s="15">
        <v>0.25</v>
      </c>
      <c r="E225" s="146">
        <v>1.45</v>
      </c>
      <c r="F225" s="15">
        <v>1.45</v>
      </c>
      <c r="G225" s="15">
        <v>-0.14627856</v>
      </c>
      <c r="H225" s="15">
        <v>-0.07385547</v>
      </c>
      <c r="I225" s="15">
        <v>0.01222504</v>
      </c>
      <c r="J225" s="15">
        <v>0.18879736</v>
      </c>
      <c r="K225" s="15">
        <v>1710.74</v>
      </c>
    </row>
    <row r="226" ht="22.5" customHeight="1">
      <c r="A226" s="167">
        <v>46044.552141203705</v>
      </c>
      <c r="B226" s="144" t="s">
        <v>508</v>
      </c>
      <c r="C226" s="15">
        <v>75.8</v>
      </c>
      <c r="D226" s="15">
        <v>0.34</v>
      </c>
      <c r="E226" s="146">
        <v>1.25</v>
      </c>
      <c r="F226" s="15">
        <v>1.25</v>
      </c>
      <c r="G226" s="15">
        <v>0.22446426</v>
      </c>
      <c r="H226" s="15">
        <v>-0.02746703</v>
      </c>
      <c r="I226" s="15">
        <v>0.02964978</v>
      </c>
      <c r="J226" s="15">
        <v>0.08817858</v>
      </c>
      <c r="K226" s="15">
        <v>120.11</v>
      </c>
    </row>
    <row r="227" ht="22.5" customHeight="1">
      <c r="A227" s="167">
        <v>46044.552152777775</v>
      </c>
      <c r="B227" s="144" t="s">
        <v>509</v>
      </c>
      <c r="C227" s="15">
        <v>75.8</v>
      </c>
      <c r="D227" s="15">
        <v>0.33</v>
      </c>
      <c r="E227" s="146">
        <v>2.5</v>
      </c>
      <c r="F227" s="15">
        <v>2.5</v>
      </c>
      <c r="G227" s="15">
        <v>0.37898966</v>
      </c>
      <c r="H227" s="15">
        <v>-0.0350198</v>
      </c>
      <c r="I227" s="15">
        <v>0.03804756</v>
      </c>
      <c r="J227" s="15">
        <v>0.11087344</v>
      </c>
      <c r="K227" s="15">
        <v>527.7</v>
      </c>
    </row>
    <row r="228" ht="22.5" customHeight="1">
      <c r="A228" s="167">
        <v>46044.55217592593</v>
      </c>
      <c r="B228" s="144" t="s">
        <v>499</v>
      </c>
      <c r="C228" s="15">
        <v>86.12</v>
      </c>
      <c r="D228" s="15">
        <v>0.27</v>
      </c>
      <c r="E228" s="146">
        <v>1.135</v>
      </c>
      <c r="F228" s="15">
        <v>1.135</v>
      </c>
      <c r="G228" s="15">
        <v>-0.27688476</v>
      </c>
      <c r="H228" s="15">
        <v>-0.03453766</v>
      </c>
      <c r="I228" s="15">
        <v>0.05175428</v>
      </c>
      <c r="J228" s="15">
        <v>0.0831446</v>
      </c>
      <c r="K228" s="15">
        <v>95.83</v>
      </c>
    </row>
    <row r="229" ht="22.5" customHeight="1">
      <c r="A229" s="167">
        <v>46044.552256944444</v>
      </c>
      <c r="B229" s="144" t="s">
        <v>500</v>
      </c>
      <c r="C229" s="15">
        <v>86.12</v>
      </c>
      <c r="D229" s="15">
        <v>0.25</v>
      </c>
      <c r="E229" s="146">
        <v>1.925</v>
      </c>
      <c r="F229" s="15">
        <v>1.925</v>
      </c>
      <c r="G229" s="15">
        <v>-0.41972543</v>
      </c>
      <c r="H229" s="15">
        <v>-0.03725434</v>
      </c>
      <c r="I229" s="15">
        <v>0.06386063</v>
      </c>
      <c r="J229" s="15">
        <v>0.09655442</v>
      </c>
      <c r="K229" s="15">
        <v>737.82</v>
      </c>
    </row>
    <row r="230" ht="22.5" customHeight="1">
      <c r="A230" s="167">
        <v>46044.55232638889</v>
      </c>
      <c r="B230" s="144" t="s">
        <v>477</v>
      </c>
      <c r="C230" s="15">
        <v>687.56</v>
      </c>
      <c r="D230" s="15">
        <v>0.11</v>
      </c>
      <c r="E230" s="146">
        <v>0.975</v>
      </c>
      <c r="F230" s="15">
        <v>0.975</v>
      </c>
      <c r="G230" s="15">
        <v>0.10364352</v>
      </c>
      <c r="H230" s="15">
        <v>-0.06612695</v>
      </c>
      <c r="I230" s="15">
        <v>0.0086495</v>
      </c>
      <c r="J230" s="15">
        <v>0.37866646</v>
      </c>
      <c r="K230" s="15">
        <v>9.88</v>
      </c>
    </row>
    <row r="231" ht="22.5" customHeight="1">
      <c r="A231" s="167">
        <v>46044.552349537036</v>
      </c>
      <c r="B231" s="144" t="s">
        <v>474</v>
      </c>
      <c r="C231" s="15">
        <v>15.27</v>
      </c>
      <c r="D231" s="15">
        <v>1.41</v>
      </c>
      <c r="E231" s="146">
        <v>2.575</v>
      </c>
      <c r="F231" s="15">
        <v>2.305</v>
      </c>
      <c r="G231" s="15">
        <v>0.6036598</v>
      </c>
      <c r="H231" s="15">
        <v>-0.0408312</v>
      </c>
      <c r="I231" s="15">
        <v>0.06241237</v>
      </c>
      <c r="J231" s="15">
        <v>0.01690336</v>
      </c>
      <c r="K231" s="15">
        <v>426.54</v>
      </c>
    </row>
    <row r="232" ht="22.5" customHeight="1">
      <c r="A232" s="167">
        <v>46044.55236111111</v>
      </c>
      <c r="B232" s="144" t="s">
        <v>475</v>
      </c>
      <c r="C232" s="15">
        <v>15.27</v>
      </c>
      <c r="D232" s="15">
        <v>1.48</v>
      </c>
      <c r="E232" s="146">
        <v>1.2</v>
      </c>
      <c r="F232" s="15">
        <v>1.2</v>
      </c>
      <c r="G232" s="15">
        <v>0.3413689</v>
      </c>
      <c r="H232" s="15">
        <v>-0.03882739</v>
      </c>
      <c r="I232" s="15">
        <v>0.05661894</v>
      </c>
      <c r="J232" s="15">
        <v>0.01540205</v>
      </c>
      <c r="K232" s="15">
        <v>128.5</v>
      </c>
    </row>
    <row r="233" ht="22.5" customHeight="1">
      <c r="A233" s="167">
        <v>46044.55244212963</v>
      </c>
      <c r="B233" s="144" t="s">
        <v>507</v>
      </c>
      <c r="C233" s="15">
        <v>83.96</v>
      </c>
      <c r="D233" s="15">
        <v>0.65</v>
      </c>
      <c r="E233" s="146">
        <v>1.995</v>
      </c>
      <c r="F233" s="15">
        <v>1.995</v>
      </c>
      <c r="G233" s="15">
        <v>-0.1546888</v>
      </c>
      <c r="H233" s="15">
        <v>-0.04239314</v>
      </c>
      <c r="I233" s="15">
        <v>0.01098433</v>
      </c>
      <c r="J233" s="15">
        <v>0.07745822</v>
      </c>
      <c r="K233" s="15">
        <v>587.83</v>
      </c>
    </row>
    <row r="234" ht="22.5" customHeight="1">
      <c r="A234" s="167">
        <v>46044.55247685185</v>
      </c>
      <c r="B234" s="144" t="s">
        <v>503</v>
      </c>
      <c r="C234" s="15">
        <v>85.36</v>
      </c>
      <c r="D234" s="15">
        <v>0.32</v>
      </c>
      <c r="E234" s="146">
        <v>1.475</v>
      </c>
      <c r="F234" s="15">
        <v>1.475</v>
      </c>
      <c r="G234" s="15">
        <v>0.31230915</v>
      </c>
      <c r="H234" s="15">
        <v>-0.05165962</v>
      </c>
      <c r="I234" s="15">
        <v>0.04512673</v>
      </c>
      <c r="J234" s="15">
        <v>0.09020703</v>
      </c>
      <c r="K234" s="15">
        <v>128.02</v>
      </c>
    </row>
    <row r="235" ht="22.5" customHeight="1">
      <c r="A235" s="167">
        <v>46044.5525</v>
      </c>
      <c r="B235" s="144" t="s">
        <v>484</v>
      </c>
      <c r="C235" s="15">
        <v>8.23</v>
      </c>
      <c r="D235" s="15">
        <v>1.21</v>
      </c>
      <c r="E235" s="146">
        <v>0.575</v>
      </c>
      <c r="F235" s="15">
        <v>0.575</v>
      </c>
      <c r="G235" s="15">
        <v>0.34476349</v>
      </c>
      <c r="H235" s="15">
        <v>-0.01862379</v>
      </c>
      <c r="I235" s="15">
        <v>0.13071664</v>
      </c>
      <c r="J235" s="15">
        <v>0.00904887</v>
      </c>
      <c r="K235" s="15">
        <v>48.53</v>
      </c>
    </row>
    <row r="236" ht="22.5" customHeight="1">
      <c r="A236" s="167">
        <v>46044.552569444444</v>
      </c>
      <c r="B236" s="144" t="s">
        <v>504</v>
      </c>
      <c r="C236" s="15">
        <v>85.36</v>
      </c>
      <c r="D236" s="15">
        <v>0.32</v>
      </c>
      <c r="E236" s="146">
        <v>3.475</v>
      </c>
      <c r="F236" s="15">
        <v>3.115</v>
      </c>
      <c r="G236" s="15">
        <v>0.55262668</v>
      </c>
      <c r="H236" s="15">
        <v>-0.05711096</v>
      </c>
      <c r="I236" s="15">
        <v>0.05051321</v>
      </c>
      <c r="J236" s="15">
        <v>0.09669115</v>
      </c>
      <c r="K236" s="15">
        <v>689.19</v>
      </c>
    </row>
    <row r="237" ht="22.5" customHeight="1">
      <c r="A237" s="167">
        <v>46044.55260416667</v>
      </c>
      <c r="B237" s="144" t="s">
        <v>479</v>
      </c>
      <c r="C237" s="15">
        <v>13.33</v>
      </c>
      <c r="D237" s="15">
        <v>0.6</v>
      </c>
      <c r="E237" s="146">
        <v>0.65</v>
      </c>
      <c r="F237" s="15">
        <v>0.65</v>
      </c>
      <c r="G237" s="15">
        <v>0.42718581</v>
      </c>
      <c r="H237" s="15">
        <v>-0.015662</v>
      </c>
      <c r="I237" s="15">
        <v>0.17165243</v>
      </c>
      <c r="J237" s="15">
        <v>0.01496767</v>
      </c>
      <c r="K237" s="15">
        <v>60.16</v>
      </c>
    </row>
    <row r="238" ht="22.5" customHeight="1">
      <c r="A238" s="167">
        <v>46044.55263888889</v>
      </c>
      <c r="B238" s="144" t="s">
        <v>460</v>
      </c>
      <c r="C238" s="15">
        <v>30.19</v>
      </c>
      <c r="D238" s="15">
        <v>0.36</v>
      </c>
      <c r="E238" s="146">
        <v>0.47</v>
      </c>
      <c r="F238" s="15">
        <v>0.47</v>
      </c>
      <c r="G238" s="15">
        <v>0.26746489</v>
      </c>
      <c r="H238" s="15">
        <v>-0.01813753</v>
      </c>
      <c r="I238" s="15">
        <v>0.10612203</v>
      </c>
      <c r="J238" s="15">
        <v>0.02866383</v>
      </c>
      <c r="K238" s="15">
        <v>41.68</v>
      </c>
    </row>
    <row r="239" ht="22.5" customHeight="1">
      <c r="A239" s="167">
        <v>46044.55266203704</v>
      </c>
      <c r="B239" s="144" t="s">
        <v>483</v>
      </c>
      <c r="C239" s="15">
        <v>7.99</v>
      </c>
      <c r="D239" s="15">
        <v>0.76</v>
      </c>
      <c r="E239" s="146">
        <v>0.775</v>
      </c>
      <c r="F239" s="15">
        <v>0.775</v>
      </c>
      <c r="G239" s="15">
        <v>0.54718884</v>
      </c>
      <c r="H239" s="15">
        <v>-0.01198518</v>
      </c>
      <c r="I239" s="15">
        <v>0.22898177</v>
      </c>
      <c r="J239" s="15">
        <v>0.00905091</v>
      </c>
      <c r="K239" s="15">
        <v>63.46</v>
      </c>
    </row>
    <row r="240" ht="22.5" customHeight="1">
      <c r="A240" s="167">
        <v>46044.55269675926</v>
      </c>
      <c r="B240" s="144" t="s">
        <v>497</v>
      </c>
      <c r="C240" s="15">
        <v>30.07</v>
      </c>
      <c r="D240" s="15">
        <v>0.39</v>
      </c>
      <c r="E240" s="146">
        <v>0.325</v>
      </c>
      <c r="F240" s="15">
        <v>0.325</v>
      </c>
      <c r="G240" s="15">
        <v>-0.14787873</v>
      </c>
      <c r="H240" s="15">
        <v>-0.01328368</v>
      </c>
      <c r="I240" s="15">
        <v>0.06940954</v>
      </c>
      <c r="J240" s="15">
        <v>0.02110204</v>
      </c>
      <c r="K240" s="15">
        <v>22.24</v>
      </c>
    </row>
    <row r="241" ht="22.5" customHeight="1">
      <c r="A241" s="167">
        <v>46044.552719907406</v>
      </c>
      <c r="B241" s="144" t="s">
        <v>498</v>
      </c>
      <c r="C241" s="15">
        <v>61.79</v>
      </c>
      <c r="D241" s="15">
        <v>0.13</v>
      </c>
      <c r="E241" s="146">
        <v>0.55</v>
      </c>
      <c r="F241" s="15">
        <v>0.55</v>
      </c>
      <c r="G241" s="15">
        <v>0.37479194</v>
      </c>
      <c r="H241" s="15">
        <v>-0.01642282</v>
      </c>
      <c r="I241" s="15">
        <v>0.1719141</v>
      </c>
      <c r="J241" s="15">
        <v>0.06484368</v>
      </c>
      <c r="K241" s="15">
        <v>39.36</v>
      </c>
    </row>
    <row r="242" ht="22.5" customHeight="1">
      <c r="A242" s="167">
        <v>46044.55275462963</v>
      </c>
      <c r="B242" s="144" t="s">
        <v>505</v>
      </c>
      <c r="C242" s="15">
        <v>71.32</v>
      </c>
      <c r="D242" s="15">
        <v>0.64</v>
      </c>
      <c r="E242" s="146">
        <v>0.925</v>
      </c>
      <c r="F242" s="15">
        <v>0.925</v>
      </c>
      <c r="G242" s="15">
        <v>-0.14779438</v>
      </c>
      <c r="H242" s="15">
        <v>-0.05158391</v>
      </c>
      <c r="I242" s="15">
        <v>0.01764055</v>
      </c>
      <c r="J242" s="15">
        <v>0.0488792</v>
      </c>
      <c r="K242" s="15">
        <v>86.34</v>
      </c>
    </row>
    <row r="243" ht="22.5" customHeight="1">
      <c r="A243" s="167">
        <v>46044.552766203706</v>
      </c>
      <c r="B243" s="144" t="s">
        <v>506</v>
      </c>
      <c r="C243" s="15">
        <v>71.32</v>
      </c>
      <c r="D243" s="15">
        <v>0.62</v>
      </c>
      <c r="E243" s="146">
        <v>2.275</v>
      </c>
      <c r="F243" s="15">
        <v>2.275</v>
      </c>
      <c r="G243" s="15">
        <v>-0.26473594</v>
      </c>
      <c r="H243" s="15">
        <v>-0.06807772</v>
      </c>
      <c r="I243" s="15">
        <v>0.02614382</v>
      </c>
      <c r="J243" s="15">
        <v>0.06784956</v>
      </c>
      <c r="K243" s="15">
        <v>473.41</v>
      </c>
    </row>
    <row r="244" ht="22.5" customHeight="1">
      <c r="A244" s="167">
        <v>46044.55278935185</v>
      </c>
      <c r="B244" s="144" t="s">
        <v>480</v>
      </c>
      <c r="C244" s="15">
        <v>52.73</v>
      </c>
      <c r="D244" s="15">
        <v>0.46</v>
      </c>
      <c r="E244" s="146">
        <v>0.66</v>
      </c>
      <c r="F244" s="15">
        <v>0.66</v>
      </c>
      <c r="G244" s="15">
        <v>0.19021591</v>
      </c>
      <c r="H244" s="15">
        <v>-0.03522655</v>
      </c>
      <c r="I244" s="15">
        <v>0.03887967</v>
      </c>
      <c r="J244" s="15">
        <v>0.04387198</v>
      </c>
      <c r="K244" s="15">
        <v>5.95</v>
      </c>
    </row>
    <row r="245" ht="22.5" customHeight="1">
      <c r="A245" s="167">
        <v>46044.55280092593</v>
      </c>
      <c r="B245" s="144" t="s">
        <v>481</v>
      </c>
      <c r="C245" s="15">
        <v>52.73</v>
      </c>
      <c r="D245" s="15">
        <v>0.45</v>
      </c>
      <c r="E245" s="146">
        <v>0.265</v>
      </c>
      <c r="F245" s="15">
        <v>0.265</v>
      </c>
      <c r="G245" s="15">
        <v>0.09697053</v>
      </c>
      <c r="H245" s="15">
        <v>-0.02092783</v>
      </c>
      <c r="I245" s="15">
        <v>0.02549371</v>
      </c>
      <c r="J245" s="15">
        <v>0.02924441</v>
      </c>
      <c r="K245" s="15">
        <v>3.94</v>
      </c>
    </row>
    <row r="246" ht="22.5" customHeight="1">
      <c r="A246" s="167">
        <v>46044.5528125</v>
      </c>
      <c r="B246" s="144" t="s">
        <v>482</v>
      </c>
      <c r="C246" s="15">
        <v>52.73</v>
      </c>
      <c r="D246" s="15">
        <v>0.65</v>
      </c>
      <c r="E246" s="146">
        <v>1.755</v>
      </c>
      <c r="F246" s="15">
        <v>1.755</v>
      </c>
      <c r="G246" s="15">
        <v>-0.26777083</v>
      </c>
      <c r="H246" s="15">
        <v>-0.05289027</v>
      </c>
      <c r="I246" s="15">
        <v>0.03383981</v>
      </c>
      <c r="J246" s="15">
        <v>0.05017636</v>
      </c>
      <c r="K246" s="15">
        <v>699.82</v>
      </c>
    </row>
    <row r="247" ht="22.5" customHeight="1">
      <c r="A247" s="167">
        <v>46044.55289351852</v>
      </c>
      <c r="B247" s="144" t="s">
        <v>478</v>
      </c>
      <c r="C247" s="15">
        <v>687.56</v>
      </c>
      <c r="D247" s="15">
        <v>0.11</v>
      </c>
      <c r="E247" s="146">
        <v>1.505</v>
      </c>
      <c r="F247" s="15">
        <v>1.505</v>
      </c>
      <c r="G247" s="15">
        <v>0.14497088</v>
      </c>
      <c r="H247" s="15">
        <v>-0.08570394</v>
      </c>
      <c r="I247" s="15">
        <v>0.01076412</v>
      </c>
      <c r="J247" s="15">
        <v>0.4688455</v>
      </c>
      <c r="K247" s="15">
        <v>8.0</v>
      </c>
    </row>
    <row r="248" ht="22.5" customHeight="1">
      <c r="A248" s="167">
        <v>46044.93053240741</v>
      </c>
      <c r="B248" s="144" t="s">
        <v>487</v>
      </c>
      <c r="C248" s="15">
        <v>59.44</v>
      </c>
      <c r="D248" s="15">
        <v>0.4</v>
      </c>
      <c r="E248" s="146">
        <v>0.14</v>
      </c>
      <c r="F248" s="15">
        <v>0.14</v>
      </c>
      <c r="G248" s="15">
        <v>-0.04738488</v>
      </c>
      <c r="H248" s="15">
        <v>-0.01223742</v>
      </c>
      <c r="I248" s="15">
        <v>0.0155051</v>
      </c>
      <c r="J248" s="15">
        <v>0.01785916</v>
      </c>
      <c r="K248" s="15">
        <v>1004.56</v>
      </c>
    </row>
    <row r="249" ht="22.5" customHeight="1">
      <c r="A249" s="167">
        <v>46044.93071759259</v>
      </c>
      <c r="B249" s="144" t="s">
        <v>492</v>
      </c>
      <c r="C249" s="15">
        <v>59.44</v>
      </c>
      <c r="D249" s="15">
        <v>0.69</v>
      </c>
      <c r="E249" s="146">
        <v>0.2</v>
      </c>
      <c r="F249" s="15">
        <v>0.2</v>
      </c>
      <c r="G249" s="15">
        <v>0.04723513</v>
      </c>
      <c r="H249" s="15">
        <v>-0.02067413</v>
      </c>
      <c r="I249" s="15">
        <v>0.00905302</v>
      </c>
      <c r="J249" s="15">
        <v>0.01729479</v>
      </c>
      <c r="K249" s="15">
        <v>61.06</v>
      </c>
    </row>
    <row r="250" ht="22.5" customHeight="1">
      <c r="A250" s="167">
        <v>46044.93074074074</v>
      </c>
      <c r="B250" s="144" t="s">
        <v>495</v>
      </c>
      <c r="C250" s="15">
        <v>287.35</v>
      </c>
      <c r="D250" s="15">
        <v>0.55</v>
      </c>
      <c r="E250" s="146">
        <v>3.8</v>
      </c>
      <c r="F250" s="15">
        <v>3.8</v>
      </c>
      <c r="G250" s="15">
        <v>-0.12261412</v>
      </c>
      <c r="H250" s="15">
        <v>-0.1070243</v>
      </c>
      <c r="I250" s="15">
        <v>0.00329332</v>
      </c>
      <c r="J250" s="15">
        <v>0.21415529</v>
      </c>
      <c r="K250" s="15">
        <v>349.23</v>
      </c>
    </row>
    <row r="251" ht="22.5" customHeight="1">
      <c r="A251" s="167">
        <v>46044.930752314816</v>
      </c>
      <c r="B251" s="144" t="s">
        <v>496</v>
      </c>
      <c r="C251" s="15">
        <v>287.35</v>
      </c>
      <c r="D251" s="15">
        <v>0.54</v>
      </c>
      <c r="E251" s="146">
        <v>5.6</v>
      </c>
      <c r="F251" s="15">
        <v>5.6</v>
      </c>
      <c r="G251" s="15">
        <v>-0.16448719</v>
      </c>
      <c r="H251" s="15">
        <v>-0.12756981</v>
      </c>
      <c r="I251" s="15">
        <v>0.00408455</v>
      </c>
      <c r="J251" s="15">
        <v>0.26779684</v>
      </c>
      <c r="K251" s="15">
        <v>1906.34</v>
      </c>
    </row>
    <row r="252" ht="22.5" customHeight="1">
      <c r="A252" s="167">
        <v>46044.93077546296</v>
      </c>
      <c r="B252" s="144" t="s">
        <v>476</v>
      </c>
      <c r="C252" s="15">
        <v>691.25</v>
      </c>
      <c r="D252" s="15">
        <v>0.16</v>
      </c>
      <c r="E252" s="146">
        <v>4.25</v>
      </c>
      <c r="F252" s="15">
        <v>4.25</v>
      </c>
      <c r="G252" s="15">
        <v>-0.22639824</v>
      </c>
      <c r="H252" s="15">
        <v>-0.14582389</v>
      </c>
      <c r="I252" s="15">
        <v>0.00952076</v>
      </c>
      <c r="J252" s="15">
        <v>0.58557022</v>
      </c>
      <c r="K252" s="15">
        <v>4905.05</v>
      </c>
    </row>
    <row r="253" ht="22.5" customHeight="1">
      <c r="A253" s="167">
        <v>46044.93079861111</v>
      </c>
      <c r="B253" s="144" t="s">
        <v>511</v>
      </c>
      <c r="C253" s="15">
        <v>33.72</v>
      </c>
      <c r="D253" s="15">
        <v>0.37</v>
      </c>
      <c r="E253" s="146">
        <v>0.32</v>
      </c>
      <c r="F253" s="15">
        <v>0.32</v>
      </c>
      <c r="G253" s="15">
        <v>0.13893837</v>
      </c>
      <c r="H253" s="15">
        <v>-0.01014632</v>
      </c>
      <c r="I253" s="15">
        <v>0.04537489</v>
      </c>
      <c r="J253" s="15">
        <v>0.03303794</v>
      </c>
      <c r="K253" s="15">
        <v>26.55</v>
      </c>
    </row>
    <row r="254" ht="22.5" customHeight="1">
      <c r="A254" s="167">
        <v>46044.93083333333</v>
      </c>
      <c r="B254" s="144" t="s">
        <v>501</v>
      </c>
      <c r="C254" s="15">
        <v>269.79</v>
      </c>
      <c r="D254" s="15">
        <v>0.24</v>
      </c>
      <c r="E254" s="146">
        <v>1.12</v>
      </c>
      <c r="F254" s="15">
        <v>1.12</v>
      </c>
      <c r="G254" s="15">
        <v>-0.11664825</v>
      </c>
      <c r="H254" s="15">
        <v>-0.05904634</v>
      </c>
      <c r="I254" s="15">
        <v>0.01067853</v>
      </c>
      <c r="J254" s="15">
        <v>0.15151609</v>
      </c>
      <c r="K254" s="15">
        <v>1701.89</v>
      </c>
    </row>
    <row r="255" ht="22.5" customHeight="1">
      <c r="A255" s="167">
        <v>46044.93085648148</v>
      </c>
      <c r="B255" s="144" t="s">
        <v>508</v>
      </c>
      <c r="C255" s="15">
        <v>77.21</v>
      </c>
      <c r="D255" s="15">
        <v>0.33</v>
      </c>
      <c r="E255" s="146">
        <v>1.4</v>
      </c>
      <c r="F255" s="15">
        <v>1.4</v>
      </c>
      <c r="G255" s="15">
        <v>0.26353602</v>
      </c>
      <c r="H255" s="15">
        <v>-0.03101321</v>
      </c>
      <c r="I255" s="15">
        <v>0.03262402</v>
      </c>
      <c r="J255" s="15">
        <v>0.1030799</v>
      </c>
      <c r="K255" s="15">
        <v>123.9</v>
      </c>
    </row>
    <row r="256" ht="22.5" customHeight="1">
      <c r="A256" s="167">
        <v>46044.930868055555</v>
      </c>
      <c r="B256" s="144" t="s">
        <v>509</v>
      </c>
      <c r="C256" s="15">
        <v>77.21</v>
      </c>
      <c r="D256" s="15">
        <v>0.33</v>
      </c>
      <c r="E256" s="146">
        <v>2.8</v>
      </c>
      <c r="F256" s="15">
        <v>2.8</v>
      </c>
      <c r="G256" s="15">
        <v>0.434338</v>
      </c>
      <c r="H256" s="15">
        <v>-0.0383087</v>
      </c>
      <c r="I256" s="15">
        <v>0.03923133</v>
      </c>
      <c r="J256" s="15">
        <v>0.11944504</v>
      </c>
      <c r="K256" s="15">
        <v>543.41</v>
      </c>
    </row>
    <row r="257" ht="22.5" customHeight="1">
      <c r="A257" s="167">
        <v>46044.9308912037</v>
      </c>
      <c r="B257" s="144" t="s">
        <v>500</v>
      </c>
      <c r="C257" s="15">
        <v>88.04</v>
      </c>
      <c r="D257" s="15">
        <v>0.24</v>
      </c>
      <c r="E257" s="146">
        <v>1.25</v>
      </c>
      <c r="F257" s="15">
        <v>1.25</v>
      </c>
      <c r="G257" s="15">
        <v>-0.30352246</v>
      </c>
      <c r="H257" s="15">
        <v>-0.03352015</v>
      </c>
      <c r="I257" s="15">
        <v>0.05894629</v>
      </c>
      <c r="J257" s="15">
        <v>0.08416455</v>
      </c>
      <c r="K257" s="15">
        <v>839.99</v>
      </c>
    </row>
    <row r="258" ht="22.5" customHeight="1">
      <c r="A258" s="167">
        <v>46044.93090277778</v>
      </c>
      <c r="B258" s="144" t="s">
        <v>477</v>
      </c>
      <c r="C258" s="15">
        <v>691.25</v>
      </c>
      <c r="D258" s="15">
        <v>0.1</v>
      </c>
      <c r="E258" s="146">
        <v>0.895</v>
      </c>
      <c r="F258" s="15">
        <v>0.895</v>
      </c>
      <c r="G258" s="15">
        <v>0.09800031</v>
      </c>
      <c r="H258" s="15">
        <v>0.02188796</v>
      </c>
      <c r="I258" s="15">
        <v>0.00858093</v>
      </c>
      <c r="J258" s="15">
        <v>0.36328634</v>
      </c>
      <c r="K258" s="15">
        <v>5.83</v>
      </c>
    </row>
    <row r="259" ht="22.5" customHeight="1">
      <c r="A259" s="167">
        <v>46044.9309375</v>
      </c>
      <c r="B259" s="144" t="s">
        <v>474</v>
      </c>
      <c r="C259" s="15">
        <v>18.46</v>
      </c>
      <c r="D259" s="15">
        <v>1.25</v>
      </c>
      <c r="E259" s="146">
        <v>4.5</v>
      </c>
      <c r="F259" s="15">
        <v>1.04</v>
      </c>
      <c r="G259" s="15">
        <v>0.77932944</v>
      </c>
      <c r="H259" s="15">
        <v>-0.03460397</v>
      </c>
      <c r="I259" s="15">
        <v>0.04583825</v>
      </c>
      <c r="J259" s="15">
        <v>0.01616063</v>
      </c>
      <c r="K259" s="15">
        <v>495.64</v>
      </c>
    </row>
    <row r="260" ht="22.5" customHeight="1">
      <c r="A260" s="167">
        <v>46044.93094907407</v>
      </c>
      <c r="B260" s="144" t="s">
        <v>475</v>
      </c>
      <c r="C260" s="15">
        <v>18.46</v>
      </c>
      <c r="D260" s="15">
        <v>1.47</v>
      </c>
      <c r="E260" s="146">
        <v>2.45</v>
      </c>
      <c r="F260" s="15">
        <v>2.45</v>
      </c>
      <c r="G260" s="15">
        <v>0.5060655</v>
      </c>
      <c r="H260" s="15">
        <v>-0.05362365</v>
      </c>
      <c r="I260" s="15">
        <v>0.05267476</v>
      </c>
      <c r="J260" s="15">
        <v>0.02106619</v>
      </c>
      <c r="K260" s="15">
        <v>218.2</v>
      </c>
    </row>
    <row r="261" ht="22.5" customHeight="1">
      <c r="A261" s="167">
        <v>46044.930972222224</v>
      </c>
      <c r="B261" s="144" t="s">
        <v>507</v>
      </c>
      <c r="C261" s="15">
        <v>87.13</v>
      </c>
      <c r="D261" s="15">
        <v>0.62</v>
      </c>
      <c r="E261" s="146">
        <v>1.38</v>
      </c>
      <c r="F261" s="15">
        <v>1.38</v>
      </c>
      <c r="G261" s="15">
        <v>-0.11209683</v>
      </c>
      <c r="H261" s="15">
        <v>-0.03490919</v>
      </c>
      <c r="I261" s="15">
        <v>0.00889856</v>
      </c>
      <c r="J261" s="15">
        <v>0.06346575</v>
      </c>
      <c r="K261" s="15">
        <v>531.26</v>
      </c>
    </row>
    <row r="262" ht="22.5" customHeight="1">
      <c r="A262" s="167">
        <v>46044.93099537037</v>
      </c>
      <c r="B262" s="144" t="s">
        <v>503</v>
      </c>
      <c r="C262" s="15">
        <v>83.54</v>
      </c>
      <c r="D262" s="15">
        <v>0.3</v>
      </c>
      <c r="E262" s="146">
        <v>0.84</v>
      </c>
      <c r="F262" s="15">
        <v>0.84</v>
      </c>
      <c r="G262" s="15">
        <v>0.21511902</v>
      </c>
      <c r="H262" s="15">
        <v>-0.03816189</v>
      </c>
      <c r="I262" s="15">
        <v>0.04089029</v>
      </c>
      <c r="J262" s="15">
        <v>0.06706579</v>
      </c>
      <c r="K262" s="15">
        <v>72.58</v>
      </c>
    </row>
    <row r="263" ht="22.5" customHeight="1">
      <c r="A263" s="167">
        <v>46044.93101851852</v>
      </c>
      <c r="B263" s="144" t="s">
        <v>484</v>
      </c>
      <c r="C263" s="15">
        <v>8.82</v>
      </c>
      <c r="D263" s="15">
        <v>1.26</v>
      </c>
      <c r="E263" s="146">
        <v>0.8</v>
      </c>
      <c r="F263" s="15">
        <v>0.8</v>
      </c>
      <c r="G263" s="15">
        <v>0.4341448</v>
      </c>
      <c r="H263" s="15">
        <v>-0.02167345</v>
      </c>
      <c r="I263" s="15">
        <v>0.12605261</v>
      </c>
      <c r="J263" s="15">
        <v>0.00997688</v>
      </c>
      <c r="K263" s="15">
        <v>67.51</v>
      </c>
    </row>
    <row r="264" ht="22.5" customHeight="1">
      <c r="A264" s="167">
        <v>46044.93103009259</v>
      </c>
      <c r="B264" s="144" t="s">
        <v>504</v>
      </c>
      <c r="C264" s="15">
        <v>83.54</v>
      </c>
      <c r="D264" s="15">
        <v>0.3</v>
      </c>
      <c r="E264" s="146">
        <v>2.26</v>
      </c>
      <c r="F264" s="15">
        <v>2.26</v>
      </c>
      <c r="G264" s="15">
        <v>0.45059638</v>
      </c>
      <c r="H264" s="15">
        <v>-0.05301614</v>
      </c>
      <c r="I264" s="15">
        <v>0.05596727</v>
      </c>
      <c r="J264" s="15">
        <v>0.09233456</v>
      </c>
      <c r="K264" s="15">
        <v>649.01</v>
      </c>
    </row>
    <row r="265" ht="22.5" customHeight="1">
      <c r="A265" s="167">
        <v>46044.93106481482</v>
      </c>
      <c r="B265" s="144" t="s">
        <v>479</v>
      </c>
      <c r="C265" s="15">
        <v>13.28</v>
      </c>
      <c r="D265" s="15">
        <v>0.58</v>
      </c>
      <c r="E265" s="146">
        <v>0.62</v>
      </c>
      <c r="F265" s="15">
        <v>0.62</v>
      </c>
      <c r="G265" s="15">
        <v>0.40987732</v>
      </c>
      <c r="H265" s="15">
        <v>-0.01505558</v>
      </c>
      <c r="I265" s="15">
        <v>0.18070321</v>
      </c>
      <c r="J265" s="15">
        <v>0.01470546</v>
      </c>
      <c r="K265" s="15">
        <v>51.74</v>
      </c>
    </row>
    <row r="266" ht="22.5" customHeight="1">
      <c r="A266" s="167">
        <v>46044.93109953704</v>
      </c>
      <c r="B266" s="144" t="s">
        <v>460</v>
      </c>
      <c r="C266" s="15">
        <v>30.51</v>
      </c>
      <c r="D266" s="15">
        <v>0.37</v>
      </c>
      <c r="E266" s="146">
        <v>0.61</v>
      </c>
      <c r="F266" s="15">
        <v>0.61</v>
      </c>
      <c r="G266" s="15">
        <v>0.268863</v>
      </c>
      <c r="H266" s="15">
        <v>-0.01899189</v>
      </c>
      <c r="I266" s="15">
        <v>0.10402896</v>
      </c>
      <c r="J266" s="15">
        <v>0.02812405</v>
      </c>
      <c r="K266" s="15">
        <v>47.09</v>
      </c>
    </row>
    <row r="267" ht="22.5" customHeight="1">
      <c r="A267" s="167">
        <v>46044.931122685186</v>
      </c>
      <c r="B267" s="144" t="s">
        <v>483</v>
      </c>
      <c r="C267" s="15">
        <v>7.93</v>
      </c>
      <c r="D267" s="15">
        <v>0.74</v>
      </c>
      <c r="E267" s="146">
        <v>0.75</v>
      </c>
      <c r="F267" s="15">
        <v>0.75</v>
      </c>
      <c r="G267" s="15">
        <v>0.53315519</v>
      </c>
      <c r="H267" s="15">
        <v>-0.01174021</v>
      </c>
      <c r="I267" s="15">
        <v>0.24280191</v>
      </c>
      <c r="J267" s="15">
        <v>0.0088783</v>
      </c>
      <c r="K267" s="15">
        <v>56.65</v>
      </c>
    </row>
    <row r="268" ht="22.5" customHeight="1">
      <c r="A268" s="167">
        <v>46044.93114583333</v>
      </c>
      <c r="B268" s="144" t="s">
        <v>497</v>
      </c>
      <c r="C268" s="15">
        <v>30.54</v>
      </c>
      <c r="D268" s="15">
        <v>0.4</v>
      </c>
      <c r="E268" s="146">
        <v>0.225</v>
      </c>
      <c r="F268" s="15">
        <v>0.225</v>
      </c>
      <c r="G268" s="15">
        <v>-0.14787873</v>
      </c>
      <c r="H268" s="15">
        <v>-0.01328368</v>
      </c>
      <c r="I268" s="15">
        <v>0.06940954</v>
      </c>
      <c r="J268" s="15">
        <v>0.02110204</v>
      </c>
      <c r="K268" s="15">
        <v>17.25</v>
      </c>
    </row>
    <row r="269" ht="22.5" customHeight="1">
      <c r="A269" s="167">
        <v>46044.93116898148</v>
      </c>
      <c r="B269" s="144" t="s">
        <v>510</v>
      </c>
      <c r="C269" s="15">
        <v>39.11</v>
      </c>
      <c r="D269" s="15">
        <v>0.27</v>
      </c>
      <c r="E269" s="146">
        <v>0.55</v>
      </c>
      <c r="F269" s="15">
        <v>0.55</v>
      </c>
      <c r="G269" s="15">
        <v>-0.26758956</v>
      </c>
      <c r="H269" s="15">
        <v>-0.01602712</v>
      </c>
      <c r="I269" s="15">
        <v>0.11035177</v>
      </c>
      <c r="J269" s="15">
        <v>0.03717166</v>
      </c>
      <c r="K269" s="15">
        <v>45.55</v>
      </c>
    </row>
    <row r="270" ht="22.5" customHeight="1">
      <c r="A270" s="167">
        <v>46044.9312037037</v>
      </c>
      <c r="B270" s="144" t="s">
        <v>498</v>
      </c>
      <c r="C270" s="15">
        <v>60.85</v>
      </c>
      <c r="D270" s="15">
        <v>0.13</v>
      </c>
      <c r="E270" s="146">
        <v>0.25</v>
      </c>
      <c r="F270" s="15">
        <v>0.25</v>
      </c>
      <c r="G270" s="15">
        <v>0.18451318</v>
      </c>
      <c r="H270" s="15">
        <v>-0.01129829</v>
      </c>
      <c r="I270" s="15">
        <v>0.12843292</v>
      </c>
      <c r="J270" s="15">
        <v>0.04900238</v>
      </c>
      <c r="K270" s="15">
        <v>21.33</v>
      </c>
    </row>
    <row r="271" ht="22.5" customHeight="1">
      <c r="A271" s="167">
        <v>46044.931226851855</v>
      </c>
      <c r="B271" s="144" t="s">
        <v>505</v>
      </c>
      <c r="C271" s="15">
        <v>70.55</v>
      </c>
      <c r="D271" s="15">
        <v>0.66</v>
      </c>
      <c r="E271" s="146">
        <v>1.13</v>
      </c>
      <c r="F271" s="15">
        <v>1.13</v>
      </c>
      <c r="G271" s="15">
        <v>-0.164566</v>
      </c>
      <c r="H271" s="15">
        <v>-0.05500158</v>
      </c>
      <c r="I271" s="15">
        <v>0.01892186</v>
      </c>
      <c r="J271" s="15">
        <v>0.04789136</v>
      </c>
      <c r="K271" s="15">
        <v>102.12</v>
      </c>
    </row>
    <row r="272" ht="22.5" customHeight="1">
      <c r="A272" s="167">
        <v>46044.931238425925</v>
      </c>
      <c r="B272" s="144" t="s">
        <v>506</v>
      </c>
      <c r="C272" s="15">
        <v>70.55</v>
      </c>
      <c r="D272" s="15">
        <v>0.63</v>
      </c>
      <c r="E272" s="146">
        <v>2.4</v>
      </c>
      <c r="F272" s="15">
        <v>2.4</v>
      </c>
      <c r="G272" s="15">
        <v>-0.28573304</v>
      </c>
      <c r="H272" s="15">
        <v>-0.07090476</v>
      </c>
      <c r="I272" s="15">
        <v>0.02746192</v>
      </c>
      <c r="J272" s="15">
        <v>0.06644965</v>
      </c>
      <c r="K272" s="15">
        <v>481.35</v>
      </c>
    </row>
    <row r="273" ht="22.5" customHeight="1">
      <c r="A273" s="167">
        <v>46044.93126157407</v>
      </c>
      <c r="B273" s="144" t="s">
        <v>480</v>
      </c>
      <c r="C273" s="15">
        <v>53.9</v>
      </c>
      <c r="D273" s="15">
        <v>0.43</v>
      </c>
      <c r="E273" s="146">
        <v>0.75</v>
      </c>
      <c r="F273" s="15">
        <v>0.75</v>
      </c>
      <c r="G273" s="15">
        <v>0.21495177</v>
      </c>
      <c r="H273" s="15">
        <v>-0.03445045</v>
      </c>
      <c r="I273" s="15">
        <v>0.04451174</v>
      </c>
      <c r="J273" s="15">
        <v>0.04356185</v>
      </c>
      <c r="K273" s="15">
        <v>3.82</v>
      </c>
    </row>
    <row r="274" ht="22.5" customHeight="1">
      <c r="A274" s="167">
        <v>46044.93127314815</v>
      </c>
      <c r="B274" s="144" t="s">
        <v>481</v>
      </c>
      <c r="C274" s="15">
        <v>53.9</v>
      </c>
      <c r="D274" s="15">
        <v>0.41</v>
      </c>
      <c r="E274" s="146">
        <v>0.31</v>
      </c>
      <c r="F274" s="15">
        <v>0.31</v>
      </c>
      <c r="G274" s="15">
        <v>0.10471248</v>
      </c>
      <c r="H274" s="15">
        <v>-0.02026417</v>
      </c>
      <c r="I274" s="15">
        <v>0.02897674</v>
      </c>
      <c r="J274" s="15">
        <v>0.02910192</v>
      </c>
      <c r="K274" s="15">
        <v>1.58</v>
      </c>
    </row>
    <row r="275" ht="22.5" customHeight="1">
      <c r="A275" s="167">
        <v>46044.931284722225</v>
      </c>
      <c r="B275" s="144" t="s">
        <v>482</v>
      </c>
      <c r="C275" s="15">
        <v>53.9</v>
      </c>
      <c r="D275" s="15">
        <v>0.61</v>
      </c>
      <c r="E275" s="146">
        <v>1.32</v>
      </c>
      <c r="F275" s="15">
        <v>1.32</v>
      </c>
      <c r="G275" s="15">
        <v>-0.21958314</v>
      </c>
      <c r="H275" s="15">
        <v>-0.04640858</v>
      </c>
      <c r="I275" s="15">
        <v>0.03181816</v>
      </c>
      <c r="J275" s="15">
        <v>0.04410474</v>
      </c>
      <c r="K275" s="15">
        <v>694.61</v>
      </c>
    </row>
    <row r="276" ht="22.5" customHeight="1">
      <c r="A276" s="167">
        <v>46044.931296296294</v>
      </c>
      <c r="B276" s="144" t="s">
        <v>478</v>
      </c>
      <c r="C276" s="15">
        <v>691.25</v>
      </c>
      <c r="D276" s="15">
        <v>0.1</v>
      </c>
      <c r="E276" s="146">
        <v>1.41</v>
      </c>
      <c r="F276" s="15">
        <v>1.41</v>
      </c>
      <c r="G276" s="15">
        <v>0.13856729</v>
      </c>
      <c r="H276" s="15">
        <v>0.04786917</v>
      </c>
      <c r="I276" s="15">
        <v>0.01081975</v>
      </c>
      <c r="J276" s="15">
        <v>0.45379549</v>
      </c>
      <c r="K276" s="15">
        <v>6.06</v>
      </c>
    </row>
    <row r="277" ht="22.5" customHeight="1">
      <c r="A277" s="167">
        <v>46044.93130787037</v>
      </c>
      <c r="B277" s="144" t="s">
        <v>522</v>
      </c>
      <c r="C277" s="15">
        <v>88.04</v>
      </c>
      <c r="D277" s="15">
        <v>0.24</v>
      </c>
      <c r="E277" s="146">
        <v>1.36</v>
      </c>
      <c r="F277" s="15">
        <v>1.36</v>
      </c>
      <c r="G277" s="15">
        <v>-0.36497881</v>
      </c>
      <c r="H277" s="15">
        <v>-0.035144</v>
      </c>
      <c r="I277" s="15">
        <v>0.06427906</v>
      </c>
      <c r="J277" s="15">
        <v>0.09217678</v>
      </c>
      <c r="K277" s="15">
        <v>50.61</v>
      </c>
    </row>
    <row r="278" ht="22.5" customHeight="1">
      <c r="A278" s="167">
        <v>46045.9165162037</v>
      </c>
      <c r="B278" s="144" t="s">
        <v>487</v>
      </c>
      <c r="C278" s="15">
        <v>61.16</v>
      </c>
      <c r="D278" s="15">
        <v>0.45</v>
      </c>
      <c r="E278" s="146">
        <v>0.11</v>
      </c>
      <c r="F278" s="15">
        <v>0.11</v>
      </c>
      <c r="G278" s="15">
        <v>-0.03704554</v>
      </c>
      <c r="H278" s="15">
        <v>-0.01160226</v>
      </c>
      <c r="I278" s="15">
        <v>0.01130658</v>
      </c>
      <c r="J278" s="15">
        <v>0.01347427</v>
      </c>
      <c r="K278" s="15">
        <v>245.39</v>
      </c>
    </row>
    <row r="279" ht="22.5" customHeight="1">
      <c r="A279" s="167">
        <v>46045.91670138889</v>
      </c>
      <c r="B279" s="144" t="s">
        <v>492</v>
      </c>
      <c r="C279" s="15">
        <v>61.16</v>
      </c>
      <c r="D279" s="15">
        <v>0.72</v>
      </c>
      <c r="E279" s="146">
        <v>0.34</v>
      </c>
      <c r="F279" s="15">
        <v>0.34</v>
      </c>
      <c r="G279" s="15">
        <v>0.06972533</v>
      </c>
      <c r="H279" s="15">
        <v>-0.03076059</v>
      </c>
      <c r="I279" s="15">
        <v>0.01169352</v>
      </c>
      <c r="J279" s="15">
        <v>0.02375946</v>
      </c>
      <c r="K279" s="15">
        <v>53.09</v>
      </c>
    </row>
    <row r="280" ht="22.5" customHeight="1">
      <c r="A280" s="167">
        <v>46045.91731481482</v>
      </c>
      <c r="B280" s="144" t="s">
        <v>495</v>
      </c>
      <c r="C280" s="15">
        <v>289.06</v>
      </c>
      <c r="D280" s="15">
        <v>-1.0</v>
      </c>
      <c r="E280" s="146">
        <v>0.0</v>
      </c>
      <c r="F280" s="15">
        <v>0.0</v>
      </c>
      <c r="G280" s="15">
        <v>0.0</v>
      </c>
      <c r="H280" s="15">
        <v>0.0</v>
      </c>
      <c r="I280" s="15">
        <v>0.0</v>
      </c>
      <c r="J280" s="15">
        <v>0.0</v>
      </c>
      <c r="K280" s="15">
        <v>295.98</v>
      </c>
    </row>
    <row r="281" ht="22.5" customHeight="1">
      <c r="A281" s="167">
        <v>46045.917905092596</v>
      </c>
      <c r="B281" s="144" t="s">
        <v>496</v>
      </c>
      <c r="C281" s="15">
        <v>289.06</v>
      </c>
      <c r="D281" s="15">
        <v>-1.0</v>
      </c>
      <c r="E281" s="146">
        <v>0.0</v>
      </c>
      <c r="F281" s="15">
        <v>0.0</v>
      </c>
      <c r="G281" s="15">
        <v>0.0</v>
      </c>
      <c r="H281" s="15">
        <v>0.0</v>
      </c>
      <c r="I281" s="15">
        <v>0.0</v>
      </c>
      <c r="J281" s="15">
        <v>0.0</v>
      </c>
      <c r="K281" s="15">
        <v>1870.85</v>
      </c>
    </row>
    <row r="282" ht="22.5" customHeight="1">
      <c r="A282" s="167">
        <v>46045.91792824074</v>
      </c>
      <c r="B282" s="144" t="s">
        <v>476</v>
      </c>
      <c r="C282" s="15">
        <v>691.52</v>
      </c>
      <c r="D282" s="15">
        <v>0.16</v>
      </c>
      <c r="E282" s="146">
        <v>4.01</v>
      </c>
      <c r="F282" s="15">
        <v>4.01</v>
      </c>
      <c r="G282" s="15">
        <v>-0.22321625</v>
      </c>
      <c r="H282" s="15">
        <v>-0.14771147</v>
      </c>
      <c r="I282" s="15">
        <v>0.00961464</v>
      </c>
      <c r="J282" s="15">
        <v>0.57093913</v>
      </c>
      <c r="K282" s="15">
        <v>4878.59</v>
      </c>
    </row>
    <row r="283" ht="22.5" customHeight="1">
      <c r="A283" s="167">
        <v>46045.91795138889</v>
      </c>
      <c r="B283" s="144" t="s">
        <v>515</v>
      </c>
      <c r="C283" s="15">
        <v>14.28</v>
      </c>
      <c r="D283" s="15">
        <v>0.33</v>
      </c>
      <c r="E283" s="146">
        <v>0.1</v>
      </c>
      <c r="F283" s="15">
        <v>0.1</v>
      </c>
      <c r="G283" s="15">
        <v>0.1073309</v>
      </c>
      <c r="H283" s="15">
        <v>-0.00321443</v>
      </c>
      <c r="I283" s="15">
        <v>0.10026289</v>
      </c>
      <c r="J283" s="15">
        <v>0.01107257</v>
      </c>
      <c r="K283" s="15">
        <v>6.66</v>
      </c>
    </row>
    <row r="284" ht="22.5" customHeight="1">
      <c r="A284" s="167">
        <v>46045.917962962965</v>
      </c>
      <c r="B284" s="144" t="s">
        <v>517</v>
      </c>
      <c r="C284" s="15">
        <v>14.28</v>
      </c>
      <c r="D284" s="15">
        <v>0.38</v>
      </c>
      <c r="E284" s="146">
        <v>0.11</v>
      </c>
      <c r="F284" s="15">
        <v>0.11</v>
      </c>
      <c r="G284" s="15">
        <v>-0.10163825</v>
      </c>
      <c r="H284" s="15">
        <v>-0.0032435</v>
      </c>
      <c r="I284" s="15">
        <v>0.08339482</v>
      </c>
      <c r="J284" s="15">
        <v>0.01060453</v>
      </c>
      <c r="K284" s="15">
        <v>5.98</v>
      </c>
    </row>
    <row r="285" ht="22.5" customHeight="1">
      <c r="A285" s="167">
        <v>46045.91799768519</v>
      </c>
      <c r="B285" s="144" t="s">
        <v>511</v>
      </c>
      <c r="C285" s="15">
        <v>33.95</v>
      </c>
      <c r="D285" s="15">
        <v>0.38</v>
      </c>
      <c r="E285" s="146">
        <v>0.39</v>
      </c>
      <c r="F285" s="15">
        <v>0.39</v>
      </c>
      <c r="G285" s="15">
        <v>0.15505018</v>
      </c>
      <c r="H285" s="15">
        <v>-0.01133017</v>
      </c>
      <c r="I285" s="15">
        <v>0.04747151</v>
      </c>
      <c r="J285" s="15">
        <v>0.0326838</v>
      </c>
      <c r="K285" s="15">
        <v>28.9</v>
      </c>
    </row>
    <row r="286" ht="22.5" customHeight="1">
      <c r="A286" s="167">
        <v>46045.918032407404</v>
      </c>
      <c r="B286" s="144" t="s">
        <v>501</v>
      </c>
      <c r="C286" s="15">
        <v>264.81</v>
      </c>
      <c r="D286" s="15">
        <v>0.23</v>
      </c>
      <c r="E286" s="146">
        <v>1.48</v>
      </c>
      <c r="F286" s="15">
        <v>1.48</v>
      </c>
      <c r="G286" s="15">
        <v>-0.17062406</v>
      </c>
      <c r="H286" s="15">
        <v>-0.07189708</v>
      </c>
      <c r="I286" s="15">
        <v>0.01511448</v>
      </c>
      <c r="J286" s="15">
        <v>0.18227387</v>
      </c>
      <c r="K286" s="15">
        <v>1719.7</v>
      </c>
    </row>
    <row r="287" ht="22.5" customHeight="1">
      <c r="A287" s="167">
        <v>46045.91805555556</v>
      </c>
      <c r="B287" s="144" t="s">
        <v>508</v>
      </c>
      <c r="C287" s="15">
        <v>77.58</v>
      </c>
      <c r="D287" s="15">
        <v>0.33</v>
      </c>
      <c r="E287" s="146">
        <v>1.74</v>
      </c>
      <c r="F287" s="15">
        <v>1.74</v>
      </c>
      <c r="G287" s="15">
        <v>0.27380197</v>
      </c>
      <c r="H287" s="15">
        <v>-0.03207254</v>
      </c>
      <c r="I287" s="15">
        <v>0.03330618</v>
      </c>
      <c r="J287" s="15">
        <v>0.10222085</v>
      </c>
      <c r="K287" s="15">
        <v>124.43</v>
      </c>
    </row>
    <row r="288" ht="22.5" customHeight="1">
      <c r="A288" s="167">
        <v>46045.91806712963</v>
      </c>
      <c r="B288" s="144" t="s">
        <v>509</v>
      </c>
      <c r="C288" s="15">
        <v>77.58</v>
      </c>
      <c r="D288" s="15">
        <v>0.34</v>
      </c>
      <c r="E288" s="146">
        <v>3.22</v>
      </c>
      <c r="F288" s="15">
        <v>3.22</v>
      </c>
      <c r="G288" s="15">
        <v>0.45003771</v>
      </c>
      <c r="H288" s="15">
        <v>-0.04012202</v>
      </c>
      <c r="I288" s="15">
        <v>0.03862929</v>
      </c>
      <c r="J288" s="15">
        <v>0.11840877</v>
      </c>
      <c r="K288" s="15">
        <v>527.39</v>
      </c>
    </row>
    <row r="289" ht="22.5" customHeight="1">
      <c r="A289" s="167">
        <v>46045.91810185185</v>
      </c>
      <c r="B289" s="144" t="s">
        <v>500</v>
      </c>
      <c r="C289" s="15">
        <v>86.96</v>
      </c>
      <c r="D289" s="15">
        <v>0.24</v>
      </c>
      <c r="E289" s="146">
        <v>1.57</v>
      </c>
      <c r="F289" s="15">
        <v>1.57</v>
      </c>
      <c r="G289" s="15">
        <v>-0.36659778</v>
      </c>
      <c r="H289" s="15">
        <v>-0.03500483</v>
      </c>
      <c r="I289" s="15">
        <v>0.06711399</v>
      </c>
      <c r="J289" s="15">
        <v>0.08954759</v>
      </c>
      <c r="K289" s="15">
        <v>867.68</v>
      </c>
    </row>
    <row r="290" ht="22.5" customHeight="1">
      <c r="A290" s="167">
        <v>46045.918125</v>
      </c>
      <c r="B290" s="144" t="s">
        <v>512</v>
      </c>
      <c r="C290" s="15">
        <v>45.07</v>
      </c>
      <c r="D290" s="15">
        <v>0.55</v>
      </c>
      <c r="E290" s="146">
        <v>0.59</v>
      </c>
      <c r="F290" s="15">
        <v>0.59</v>
      </c>
      <c r="G290" s="15">
        <v>-0.11795097</v>
      </c>
      <c r="H290" s="15">
        <v>-0.01646041</v>
      </c>
      <c r="I290" s="15">
        <v>0.02060415</v>
      </c>
      <c r="J290" s="15">
        <v>0.03315522</v>
      </c>
      <c r="K290" s="15">
        <v>53.06</v>
      </c>
    </row>
    <row r="291" ht="22.5" customHeight="1">
      <c r="A291" s="167">
        <v>46045.91813657407</v>
      </c>
      <c r="B291" s="144" t="s">
        <v>477</v>
      </c>
      <c r="C291" s="15">
        <v>691.52</v>
      </c>
      <c r="D291" s="15">
        <v>0.1</v>
      </c>
      <c r="E291" s="146">
        <v>0.8</v>
      </c>
      <c r="F291" s="15">
        <v>0.8</v>
      </c>
      <c r="G291" s="15">
        <v>0.0783185</v>
      </c>
      <c r="H291" s="15">
        <v>-0.05479697</v>
      </c>
      <c r="I291" s="15">
        <v>0.00783683</v>
      </c>
      <c r="J291" s="15">
        <v>0.27978298</v>
      </c>
      <c r="K291" s="15">
        <v>9.27</v>
      </c>
    </row>
    <row r="292" ht="22.5" customHeight="1">
      <c r="A292" s="167">
        <v>46045.91814814815</v>
      </c>
      <c r="B292" s="144" t="s">
        <v>513</v>
      </c>
      <c r="C292" s="15">
        <v>45.07</v>
      </c>
      <c r="D292" s="15">
        <v>0.54</v>
      </c>
      <c r="E292" s="146">
        <v>2.13</v>
      </c>
      <c r="F292" s="15">
        <v>2.13</v>
      </c>
      <c r="G292" s="15">
        <v>0.36263947</v>
      </c>
      <c r="H292" s="15">
        <v>-0.03382426</v>
      </c>
      <c r="I292" s="15">
        <v>0.03918509</v>
      </c>
      <c r="J292" s="15">
        <v>0.06591398</v>
      </c>
      <c r="K292" s="15">
        <v>446.32</v>
      </c>
    </row>
    <row r="293" ht="22.5" customHeight="1">
      <c r="A293" s="167">
        <v>46045.91815972222</v>
      </c>
      <c r="B293" s="144" t="s">
        <v>514</v>
      </c>
      <c r="C293" s="15">
        <v>45.07</v>
      </c>
      <c r="D293" s="15">
        <v>0.57</v>
      </c>
      <c r="E293" s="146">
        <v>1.18</v>
      </c>
      <c r="F293" s="15">
        <v>1.18</v>
      </c>
      <c r="G293" s="15">
        <v>0.22560619</v>
      </c>
      <c r="H293" s="15">
        <v>-0.02802538</v>
      </c>
      <c r="I293" s="15">
        <v>0.02994215</v>
      </c>
      <c r="J293" s="15">
        <v>0.05275375</v>
      </c>
      <c r="K293" s="15">
        <v>98.68</v>
      </c>
    </row>
    <row r="294" ht="22.5" customHeight="1">
      <c r="A294" s="167">
        <v>46045.91818287037</v>
      </c>
      <c r="B294" s="144" t="s">
        <v>520</v>
      </c>
      <c r="C294" s="15">
        <v>20.62</v>
      </c>
      <c r="D294" s="15">
        <v>1.49</v>
      </c>
      <c r="E294" s="146">
        <v>2.15</v>
      </c>
      <c r="F294" s="15">
        <v>2.15</v>
      </c>
      <c r="G294" s="15">
        <v>0.36644966</v>
      </c>
      <c r="H294" s="15">
        <v>-0.04120657</v>
      </c>
      <c r="I294" s="15">
        <v>0.03136123</v>
      </c>
      <c r="J294" s="15">
        <v>0.02929751</v>
      </c>
      <c r="K294" s="15">
        <v>179.15</v>
      </c>
    </row>
    <row r="295" ht="22.5" customHeight="1">
      <c r="A295" s="167">
        <v>46045.91819444444</v>
      </c>
      <c r="B295" s="144" t="s">
        <v>521</v>
      </c>
      <c r="C295" s="15">
        <v>20.62</v>
      </c>
      <c r="D295" s="15">
        <v>1.46</v>
      </c>
      <c r="E295" s="146">
        <v>3.1</v>
      </c>
      <c r="F295" s="15">
        <v>3.1</v>
      </c>
      <c r="G295" s="15">
        <v>0.48341246</v>
      </c>
      <c r="H295" s="15">
        <v>-0.04277199</v>
      </c>
      <c r="I295" s="15">
        <v>0.03394482</v>
      </c>
      <c r="J295" s="15">
        <v>0.03262694</v>
      </c>
      <c r="K295" s="15">
        <v>579.45</v>
      </c>
    </row>
    <row r="296" ht="22.5" customHeight="1">
      <c r="A296" s="167">
        <v>46045.918229166666</v>
      </c>
      <c r="B296" s="144" t="s">
        <v>503</v>
      </c>
      <c r="C296" s="15">
        <v>86.12</v>
      </c>
      <c r="D296" s="15">
        <v>0.3</v>
      </c>
      <c r="E296" s="146">
        <v>1.45</v>
      </c>
      <c r="F296" s="15">
        <v>1.45</v>
      </c>
      <c r="G296" s="15">
        <v>0.32404728</v>
      </c>
      <c r="H296" s="15">
        <v>-0.0490492</v>
      </c>
      <c r="I296" s="15">
        <v>0.05037126</v>
      </c>
      <c r="J296" s="15">
        <v>0.08747052</v>
      </c>
      <c r="K296" s="15">
        <v>125.4</v>
      </c>
    </row>
    <row r="297" ht="22.5" customHeight="1">
      <c r="A297" s="167">
        <v>46045.91825231481</v>
      </c>
      <c r="B297" s="144" t="s">
        <v>484</v>
      </c>
      <c r="C297" s="15">
        <v>9.45</v>
      </c>
      <c r="D297" s="15">
        <v>1.28</v>
      </c>
      <c r="E297" s="146">
        <v>1.12</v>
      </c>
      <c r="F297" s="15">
        <v>1.12</v>
      </c>
      <c r="G297" s="15">
        <v>0.51257105</v>
      </c>
      <c r="H297" s="15">
        <v>-0.0244519</v>
      </c>
      <c r="I297" s="15">
        <v>0.11902127</v>
      </c>
      <c r="J297" s="15">
        <v>0.01054995</v>
      </c>
      <c r="K297" s="15">
        <v>86.88</v>
      </c>
    </row>
    <row r="298" ht="22.5" customHeight="1">
      <c r="A298" s="167">
        <v>46045.91826388889</v>
      </c>
      <c r="B298" s="144" t="s">
        <v>504</v>
      </c>
      <c r="C298" s="15">
        <v>86.12</v>
      </c>
      <c r="D298" s="15">
        <v>0.3</v>
      </c>
      <c r="E298" s="146">
        <v>3.6</v>
      </c>
      <c r="F298" s="15">
        <v>2.48</v>
      </c>
      <c r="G298" s="15">
        <v>0.59173078</v>
      </c>
      <c r="H298" s="15">
        <v>-0.05498891</v>
      </c>
      <c r="I298" s="15">
        <v>0.05467455</v>
      </c>
      <c r="J298" s="15">
        <v>0.09345195</v>
      </c>
      <c r="K298" s="15">
        <v>692.55</v>
      </c>
    </row>
    <row r="299" ht="22.5" customHeight="1">
      <c r="A299" s="167">
        <v>46045.91829861111</v>
      </c>
      <c r="B299" s="144" t="s">
        <v>479</v>
      </c>
      <c r="C299" s="15">
        <v>13.33</v>
      </c>
      <c r="D299" s="15">
        <v>0.56</v>
      </c>
      <c r="E299" s="146">
        <v>0.52</v>
      </c>
      <c r="F299" s="15">
        <v>0.52</v>
      </c>
      <c r="G299" s="15">
        <v>0.41450415</v>
      </c>
      <c r="H299" s="15">
        <v>-0.01497796</v>
      </c>
      <c r="I299" s="15">
        <v>0.18904581</v>
      </c>
      <c r="J299" s="15">
        <v>0.01448945</v>
      </c>
      <c r="K299" s="15">
        <v>51.35</v>
      </c>
    </row>
    <row r="300" ht="22.5" customHeight="1">
      <c r="A300" s="167">
        <v>46045.91832175926</v>
      </c>
      <c r="B300" s="144" t="s">
        <v>519</v>
      </c>
      <c r="C300" s="15">
        <v>92.91</v>
      </c>
      <c r="D300" s="15">
        <v>0.68</v>
      </c>
      <c r="E300" s="146">
        <v>3.25</v>
      </c>
      <c r="F300" s="15">
        <v>3.25</v>
      </c>
      <c r="G300" s="15">
        <v>-0.19573614</v>
      </c>
      <c r="H300" s="15">
        <v>-0.05938814</v>
      </c>
      <c r="I300" s="15">
        <v>0.01115632</v>
      </c>
      <c r="J300" s="15">
        <v>0.10085488</v>
      </c>
      <c r="K300" s="15">
        <v>740.85</v>
      </c>
    </row>
    <row r="301" ht="22.5" customHeight="1">
      <c r="A301" s="167">
        <v>46045.91835648148</v>
      </c>
      <c r="B301" s="144" t="s">
        <v>460</v>
      </c>
      <c r="C301" s="15">
        <v>30.58</v>
      </c>
      <c r="D301" s="15">
        <v>0.37</v>
      </c>
      <c r="E301" s="146">
        <v>0.525</v>
      </c>
      <c r="F301" s="15">
        <v>0.525</v>
      </c>
      <c r="G301" s="15">
        <v>0.29816947</v>
      </c>
      <c r="H301" s="15">
        <v>-0.01917573</v>
      </c>
      <c r="I301" s="15">
        <v>0.10924831</v>
      </c>
      <c r="J301" s="15">
        <v>0.02939596</v>
      </c>
      <c r="K301" s="15">
        <v>48.15</v>
      </c>
    </row>
    <row r="302" ht="22.5" customHeight="1">
      <c r="A302" s="167">
        <v>46045.91837962963</v>
      </c>
      <c r="B302" s="144" t="s">
        <v>483</v>
      </c>
      <c r="C302" s="15">
        <v>7.77</v>
      </c>
      <c r="D302" s="15">
        <v>0.89</v>
      </c>
      <c r="E302" s="146">
        <v>0.74</v>
      </c>
      <c r="F302" s="15">
        <v>0.74</v>
      </c>
      <c r="G302" s="15">
        <v>0.50720698</v>
      </c>
      <c r="H302" s="15">
        <v>-0.01405608</v>
      </c>
      <c r="I302" s="15">
        <v>0.20862571</v>
      </c>
      <c r="J302" s="15">
        <v>0.00862107</v>
      </c>
      <c r="K302" s="15">
        <v>50.2</v>
      </c>
    </row>
    <row r="303" ht="22.5" customHeight="1">
      <c r="A303" s="167">
        <v>46045.91841435185</v>
      </c>
      <c r="B303" s="144" t="s">
        <v>497</v>
      </c>
      <c r="C303" s="15">
        <v>30.05</v>
      </c>
      <c r="D303" s="15">
        <v>0.39</v>
      </c>
      <c r="E303" s="146">
        <v>0.3</v>
      </c>
      <c r="F303" s="15">
        <v>0.3</v>
      </c>
      <c r="G303" s="15">
        <v>-0.11853039</v>
      </c>
      <c r="H303" s="15">
        <v>-0.01161021</v>
      </c>
      <c r="I303" s="15">
        <v>0.05711519</v>
      </c>
      <c r="J303" s="15">
        <v>0.01710028</v>
      </c>
      <c r="K303" s="15">
        <v>20.67</v>
      </c>
    </row>
    <row r="304" ht="22.5" customHeight="1">
      <c r="A304" s="167">
        <v>46045.9184375</v>
      </c>
      <c r="B304" s="144" t="s">
        <v>510</v>
      </c>
      <c r="C304" s="15">
        <v>37.94</v>
      </c>
      <c r="D304" s="15">
        <v>0.24</v>
      </c>
      <c r="E304" s="146">
        <v>0.8</v>
      </c>
      <c r="F304" s="15">
        <v>0.8</v>
      </c>
      <c r="G304" s="15">
        <v>-0.40245693</v>
      </c>
      <c r="H304" s="15">
        <v>-0.01560425</v>
      </c>
      <c r="I304" s="15">
        <v>0.15962766</v>
      </c>
      <c r="J304" s="15">
        <v>0.04110703</v>
      </c>
      <c r="K304" s="15">
        <v>55.19</v>
      </c>
    </row>
    <row r="305" ht="22.5" customHeight="1">
      <c r="A305" s="167">
        <v>46045.91847222222</v>
      </c>
      <c r="B305" s="144" t="s">
        <v>498</v>
      </c>
      <c r="C305" s="15">
        <v>60.74</v>
      </c>
      <c r="D305" s="15">
        <v>0.12</v>
      </c>
      <c r="E305" s="146">
        <v>0.21</v>
      </c>
      <c r="F305" s="15">
        <v>0.21</v>
      </c>
      <c r="G305" s="15">
        <v>0.15382741</v>
      </c>
      <c r="H305" s="15">
        <v>-0.00956933</v>
      </c>
      <c r="I305" s="15">
        <v>0.12053626</v>
      </c>
      <c r="J305" s="15">
        <v>0.04076461</v>
      </c>
      <c r="K305" s="15">
        <v>17.79</v>
      </c>
    </row>
    <row r="306" ht="22.5" customHeight="1">
      <c r="A306" s="167">
        <v>46045.91849537037</v>
      </c>
      <c r="B306" s="144" t="s">
        <v>505</v>
      </c>
      <c r="C306" s="15">
        <v>71.44</v>
      </c>
      <c r="D306" s="15">
        <v>0.65</v>
      </c>
      <c r="E306" s="146">
        <v>1.0</v>
      </c>
      <c r="F306" s="15">
        <v>1.0</v>
      </c>
      <c r="G306" s="15">
        <v>-0.13901066</v>
      </c>
      <c r="H306" s="15">
        <v>-0.04961679</v>
      </c>
      <c r="I306" s="15">
        <v>0.01743643</v>
      </c>
      <c r="J306" s="15">
        <v>0.04728004</v>
      </c>
      <c r="K306" s="15">
        <v>87.66</v>
      </c>
    </row>
    <row r="307" ht="22.5" customHeight="1">
      <c r="A307" s="167">
        <v>46045.91850694444</v>
      </c>
      <c r="B307" s="144" t="s">
        <v>506</v>
      </c>
      <c r="C307" s="15">
        <v>71.44</v>
      </c>
      <c r="D307" s="15">
        <v>0.62</v>
      </c>
      <c r="E307" s="146">
        <v>2.15</v>
      </c>
      <c r="F307" s="15">
        <v>2.15</v>
      </c>
      <c r="G307" s="15">
        <v>-0.25752762</v>
      </c>
      <c r="H307" s="15">
        <v>-0.06915604</v>
      </c>
      <c r="I307" s="15">
        <v>0.02633776</v>
      </c>
      <c r="J307" s="15">
        <v>0.06563329</v>
      </c>
      <c r="K307" s="15">
        <v>473.32</v>
      </c>
    </row>
    <row r="308" ht="22.5" customHeight="1">
      <c r="A308" s="167">
        <v>46045.91853009259</v>
      </c>
      <c r="B308" s="144" t="s">
        <v>480</v>
      </c>
      <c r="C308" s="15">
        <v>54.38</v>
      </c>
      <c r="D308" s="15">
        <v>0.43</v>
      </c>
      <c r="E308" s="146">
        <v>0.83</v>
      </c>
      <c r="F308" s="15">
        <v>0.83</v>
      </c>
      <c r="G308" s="15">
        <v>0.22808047</v>
      </c>
      <c r="H308" s="15">
        <v>-0.03623511</v>
      </c>
      <c r="I308" s="15">
        <v>0.04712811</v>
      </c>
      <c r="J308" s="15">
        <v>0.04294302</v>
      </c>
      <c r="K308" s="15">
        <v>10.38</v>
      </c>
    </row>
    <row r="309" ht="22.5" customHeight="1">
      <c r="A309" s="167">
        <v>46045.918541666666</v>
      </c>
      <c r="B309" s="144" t="s">
        <v>481</v>
      </c>
      <c r="C309" s="15">
        <v>54.38</v>
      </c>
      <c r="D309" s="15">
        <v>0.42</v>
      </c>
      <c r="E309" s="146">
        <v>0.32</v>
      </c>
      <c r="F309" s="15">
        <v>0.32</v>
      </c>
      <c r="G309" s="15">
        <v>0.11914296</v>
      </c>
      <c r="H309" s="15">
        <v>-0.02323577</v>
      </c>
      <c r="I309" s="15">
        <v>0.03150183</v>
      </c>
      <c r="J309" s="15">
        <v>0.02862672</v>
      </c>
      <c r="K309" s="15">
        <v>4.08</v>
      </c>
    </row>
    <row r="310" ht="22.5" customHeight="1">
      <c r="A310" s="167">
        <v>46045.91855324074</v>
      </c>
      <c r="B310" s="144" t="s">
        <v>482</v>
      </c>
      <c r="C310" s="15">
        <v>54.38</v>
      </c>
      <c r="D310" s="15">
        <v>0.63</v>
      </c>
      <c r="E310" s="146">
        <v>1.22</v>
      </c>
      <c r="F310" s="15">
        <v>1.22</v>
      </c>
      <c r="G310" s="15">
        <v>-0.20690707</v>
      </c>
      <c r="H310" s="15">
        <v>-0.04737711</v>
      </c>
      <c r="I310" s="15">
        <v>0.03012677</v>
      </c>
      <c r="J310" s="15">
        <v>0.04351365</v>
      </c>
      <c r="K310" s="15">
        <v>733.61</v>
      </c>
    </row>
    <row r="311" ht="22.5" customHeight="1">
      <c r="A311" s="167">
        <v>46045.91856481481</v>
      </c>
      <c r="B311" s="144" t="s">
        <v>478</v>
      </c>
      <c r="C311" s="15">
        <v>691.52</v>
      </c>
      <c r="D311" s="15">
        <v>0.1</v>
      </c>
      <c r="E311" s="146">
        <v>1.2</v>
      </c>
      <c r="F311" s="15">
        <v>1.2</v>
      </c>
      <c r="G311" s="15">
        <v>0.12586955</v>
      </c>
      <c r="H311" s="15">
        <v>0.03807941</v>
      </c>
      <c r="I311" s="15">
        <v>0.01056042</v>
      </c>
      <c r="J311" s="15">
        <v>0.42032329</v>
      </c>
      <c r="K311" s="15">
        <v>15.25</v>
      </c>
    </row>
    <row r="312" ht="22.5" customHeight="1">
      <c r="A312" s="167">
        <v>46045.918599537035</v>
      </c>
      <c r="B312" s="144" t="s">
        <v>518</v>
      </c>
      <c r="C312" s="15">
        <v>10.43</v>
      </c>
      <c r="D312" s="15">
        <v>0.31</v>
      </c>
      <c r="E312" s="146">
        <v>0.1</v>
      </c>
      <c r="F312" s="15">
        <v>0.1</v>
      </c>
      <c r="G312" s="15">
        <v>0.15164968</v>
      </c>
      <c r="H312" s="15">
        <v>-0.00286326</v>
      </c>
      <c r="I312" s="15">
        <v>0.18348584</v>
      </c>
      <c r="J312" s="15">
        <v>0.01004806</v>
      </c>
      <c r="K312" s="15">
        <v>8.46</v>
      </c>
    </row>
    <row r="313" ht="22.5" customHeight="1">
      <c r="A313" s="167">
        <v>46045.91861111111</v>
      </c>
      <c r="B313" s="144" t="s">
        <v>522</v>
      </c>
      <c r="C313" s="15">
        <v>86.96</v>
      </c>
      <c r="D313" s="15">
        <v>0.24</v>
      </c>
      <c r="E313" s="146">
        <v>2.18</v>
      </c>
      <c r="F313" s="15">
        <v>2.18</v>
      </c>
      <c r="G313" s="15">
        <v>-0.43726934</v>
      </c>
      <c r="H313" s="15">
        <v>-0.03745833</v>
      </c>
      <c r="I313" s="15">
        <v>0.06818702</v>
      </c>
      <c r="J313" s="15">
        <v>0.09438904</v>
      </c>
      <c r="K313" s="15">
        <v>76.61</v>
      </c>
    </row>
    <row r="314" ht="22.5" customHeight="1">
      <c r="A314" s="167">
        <v>46050.95417824074</v>
      </c>
      <c r="B314" s="144" t="s">
        <v>495</v>
      </c>
      <c r="C314" s="15">
        <v>287.95</v>
      </c>
      <c r="D314" s="15">
        <v>0.54</v>
      </c>
      <c r="E314" s="146">
        <v>3.51</v>
      </c>
      <c r="F314" s="15">
        <v>3.51</v>
      </c>
      <c r="G314" s="15">
        <v>-0.10802833</v>
      </c>
      <c r="H314" s="15">
        <v>-0.10174853</v>
      </c>
      <c r="I314" s="15">
        <v>0.00322429</v>
      </c>
      <c r="J314" s="15">
        <v>0.2016123</v>
      </c>
      <c r="K314" s="15">
        <v>291.37</v>
      </c>
    </row>
    <row r="315" ht="22.5" customHeight="1">
      <c r="A315" s="167">
        <v>46050.954189814816</v>
      </c>
      <c r="B315" s="144" t="s">
        <v>496</v>
      </c>
      <c r="C315" s="15">
        <v>287.95</v>
      </c>
      <c r="D315" s="15">
        <v>0.53</v>
      </c>
      <c r="E315" s="146">
        <v>4.75</v>
      </c>
      <c r="F315" s="15">
        <v>4.75</v>
      </c>
      <c r="G315" s="15">
        <v>-0.14918252</v>
      </c>
      <c r="H315" s="15">
        <v>-0.12748621</v>
      </c>
      <c r="I315" s="15">
        <v>0.00400547</v>
      </c>
      <c r="J315" s="15">
        <v>0.25610656</v>
      </c>
      <c r="K315" s="15">
        <v>1697.79</v>
      </c>
    </row>
    <row r="316" ht="22.5" customHeight="1">
      <c r="A316" s="167">
        <v>46050.95421296296</v>
      </c>
      <c r="B316" s="144" t="s">
        <v>476</v>
      </c>
      <c r="C316" s="15">
        <v>697.63</v>
      </c>
      <c r="D316" s="15">
        <v>0.17</v>
      </c>
      <c r="E316" s="146">
        <v>2.58</v>
      </c>
      <c r="F316" s="15">
        <v>2.58</v>
      </c>
      <c r="G316" s="15">
        <v>-0.15522454</v>
      </c>
      <c r="H316" s="15">
        <v>-0.14627047</v>
      </c>
      <c r="I316" s="15">
        <v>0.00780074</v>
      </c>
      <c r="J316" s="15">
        <v>0.41755321</v>
      </c>
      <c r="K316" s="15">
        <v>4796.98</v>
      </c>
    </row>
    <row r="317" ht="22.5" customHeight="1">
      <c r="A317" s="167">
        <v>46050.95423611111</v>
      </c>
      <c r="B317" s="144" t="s">
        <v>515</v>
      </c>
      <c r="C317" s="15">
        <v>15.38</v>
      </c>
      <c r="D317" s="15">
        <v>0.34</v>
      </c>
      <c r="E317" s="146">
        <v>0.3</v>
      </c>
      <c r="F317" s="15">
        <v>0.3</v>
      </c>
      <c r="G317" s="15">
        <v>0.19135369</v>
      </c>
      <c r="H317" s="15">
        <v>-0.00564733</v>
      </c>
      <c r="I317" s="15">
        <v>0.14373</v>
      </c>
      <c r="J317" s="15">
        <v>0.01659297</v>
      </c>
      <c r="K317" s="15">
        <v>22.31</v>
      </c>
    </row>
    <row r="318" ht="22.5" customHeight="1">
      <c r="A318" s="167">
        <v>46050.95425925926</v>
      </c>
      <c r="B318" s="144" t="s">
        <v>517</v>
      </c>
      <c r="C318" s="15">
        <v>15.38</v>
      </c>
      <c r="D318" s="15">
        <v>0.44</v>
      </c>
      <c r="E318" s="146">
        <v>0.07</v>
      </c>
      <c r="F318" s="15">
        <v>0.07</v>
      </c>
      <c r="G318" s="15">
        <v>-0.06680355</v>
      </c>
      <c r="H318" s="15">
        <v>-0.00333697</v>
      </c>
      <c r="I318" s="15">
        <v>0.05347995</v>
      </c>
      <c r="J318" s="15">
        <v>0.00827177</v>
      </c>
      <c r="K318" s="15">
        <v>4.52</v>
      </c>
    </row>
    <row r="319" ht="22.5" customHeight="1">
      <c r="A319" s="167">
        <v>46050.95434027778</v>
      </c>
      <c r="B319" s="144" t="s">
        <v>526</v>
      </c>
      <c r="C319" s="15">
        <v>216.17</v>
      </c>
      <c r="D319" s="15">
        <v>0.32</v>
      </c>
      <c r="E319" s="146">
        <v>2.6</v>
      </c>
      <c r="F319" s="15">
        <v>2.6</v>
      </c>
      <c r="G319" s="15">
        <v>0.10427975</v>
      </c>
      <c r="H319" s="15">
        <v>-0.05861057</v>
      </c>
      <c r="I319" s="15">
        <v>0.00617673</v>
      </c>
      <c r="J319" s="15">
        <v>0.14650086</v>
      </c>
      <c r="K319" s="15">
        <v>1574.3</v>
      </c>
    </row>
    <row r="320" ht="22.5" customHeight="1">
      <c r="A320" s="167">
        <v>46050.954351851855</v>
      </c>
      <c r="B320" s="144" t="s">
        <v>527</v>
      </c>
      <c r="C320" s="15">
        <v>216.17</v>
      </c>
      <c r="D320" s="15">
        <v>0.32</v>
      </c>
      <c r="E320" s="146">
        <v>1.39</v>
      </c>
      <c r="F320" s="15">
        <v>1.39</v>
      </c>
      <c r="G320" s="15">
        <v>0.06945268</v>
      </c>
      <c r="H320" s="15">
        <v>-0.0450188</v>
      </c>
      <c r="I320" s="15">
        <v>0.00441746</v>
      </c>
      <c r="J320" s="15">
        <v>0.11352008</v>
      </c>
      <c r="K320" s="15">
        <v>119.23</v>
      </c>
    </row>
    <row r="321" ht="22.5" customHeight="1">
      <c r="A321" s="167">
        <v>46050.954375</v>
      </c>
      <c r="B321" s="144" t="s">
        <v>511</v>
      </c>
      <c r="C321" s="15">
        <v>33.36</v>
      </c>
      <c r="D321" s="15">
        <v>0.37</v>
      </c>
      <c r="E321" s="146">
        <v>0.28</v>
      </c>
      <c r="F321" s="15">
        <v>0.28</v>
      </c>
      <c r="G321" s="15">
        <v>0.15192983</v>
      </c>
      <c r="H321" s="15">
        <v>-0.01192481</v>
      </c>
      <c r="I321" s="15">
        <v>0.0494773</v>
      </c>
      <c r="J321" s="15">
        <v>0.03164826</v>
      </c>
      <c r="K321" s="15">
        <v>18.6</v>
      </c>
    </row>
    <row r="322" ht="22.5" customHeight="1">
      <c r="A322" s="167">
        <v>46050.95439814815</v>
      </c>
      <c r="B322" s="144" t="s">
        <v>523</v>
      </c>
      <c r="C322" s="15">
        <v>5933.2</v>
      </c>
      <c r="D322" s="15">
        <v>0.13</v>
      </c>
      <c r="E322" s="146">
        <v>19.2</v>
      </c>
      <c r="F322" s="15">
        <v>19.2</v>
      </c>
      <c r="G322" s="15">
        <v>0.1727867</v>
      </c>
      <c r="H322" s="15">
        <v>-1.43535174</v>
      </c>
      <c r="I322" s="15">
        <v>8.7603E-4</v>
      </c>
      <c r="J322" s="15">
        <v>5.97762612</v>
      </c>
      <c r="K322" s="15">
        <v>9.83</v>
      </c>
    </row>
    <row r="323" ht="22.5" customHeight="1">
      <c r="A323" s="167">
        <v>46050.95443287037</v>
      </c>
      <c r="B323" s="144" t="s">
        <v>501</v>
      </c>
      <c r="C323" s="15">
        <v>263.3</v>
      </c>
      <c r="D323" s="15">
        <v>0.22</v>
      </c>
      <c r="E323" s="146">
        <v>1.24</v>
      </c>
      <c r="F323" s="15">
        <v>1.24</v>
      </c>
      <c r="G323" s="15">
        <v>-0.14613019</v>
      </c>
      <c r="H323" s="15">
        <v>-0.07603923</v>
      </c>
      <c r="I323" s="15">
        <v>0.01497702</v>
      </c>
      <c r="J323" s="15">
        <v>0.16823854</v>
      </c>
      <c r="K323" s="15">
        <v>1732.99</v>
      </c>
    </row>
    <row r="324" ht="22.5" customHeight="1">
      <c r="A324" s="167">
        <v>46050.95444444445</v>
      </c>
      <c r="B324" s="144" t="s">
        <v>524</v>
      </c>
      <c r="C324" s="15">
        <v>5933.2</v>
      </c>
      <c r="D324" s="15">
        <v>0.13</v>
      </c>
      <c r="E324" s="146">
        <v>22.85</v>
      </c>
      <c r="F324" s="15">
        <v>22.85</v>
      </c>
      <c r="G324" s="15">
        <v>0.19623684</v>
      </c>
      <c r="H324" s="15">
        <v>-1.59985828</v>
      </c>
      <c r="I324" s="15">
        <v>9.4159E-4</v>
      </c>
      <c r="J324" s="15">
        <v>6.43109907</v>
      </c>
      <c r="K324" s="15">
        <v>11.54</v>
      </c>
    </row>
    <row r="325" ht="22.5" customHeight="1">
      <c r="A325" s="167">
        <v>46050.95445601852</v>
      </c>
      <c r="B325" s="144" t="s">
        <v>525</v>
      </c>
      <c r="C325" s="15">
        <v>5933.2</v>
      </c>
      <c r="D325" s="15">
        <v>0.19</v>
      </c>
      <c r="E325" s="146">
        <v>47.2</v>
      </c>
      <c r="F325" s="15">
        <v>47.2</v>
      </c>
      <c r="G325" s="15">
        <v>-0.16767027</v>
      </c>
      <c r="H325" s="15">
        <v>-0.44711991</v>
      </c>
      <c r="I325" s="15">
        <v>5.86E-4</v>
      </c>
      <c r="J325" s="15">
        <v>5.79249612</v>
      </c>
      <c r="K325" s="15">
        <v>3730.59</v>
      </c>
    </row>
    <row r="326" ht="22.5" customHeight="1">
      <c r="A326" s="167">
        <v>46050.95453703704</v>
      </c>
      <c r="B326" s="144" t="s">
        <v>508</v>
      </c>
      <c r="C326" s="15">
        <v>75.45</v>
      </c>
      <c r="D326" s="15">
        <v>0.33</v>
      </c>
      <c r="E326" s="146">
        <v>1.05</v>
      </c>
      <c r="F326" s="15">
        <v>1.05</v>
      </c>
      <c r="G326" s="15">
        <v>0.19185473</v>
      </c>
      <c r="H326" s="15">
        <v>-0.0265418</v>
      </c>
      <c r="I326" s="15">
        <v>0.02950041</v>
      </c>
      <c r="J326" s="15">
        <v>0.08280584</v>
      </c>
      <c r="K326" s="15">
        <v>72.55</v>
      </c>
    </row>
    <row r="327" ht="22.5" customHeight="1">
      <c r="A327" s="167">
        <v>46050.95454861111</v>
      </c>
      <c r="B327" s="144" t="s">
        <v>509</v>
      </c>
      <c r="C327" s="15">
        <v>75.45</v>
      </c>
      <c r="D327" s="15">
        <v>0.33</v>
      </c>
      <c r="E327" s="146">
        <v>2.0</v>
      </c>
      <c r="F327" s="15">
        <v>2.0</v>
      </c>
      <c r="G327" s="15">
        <v>0.35986301</v>
      </c>
      <c r="H327" s="15">
        <v>-0.03675012</v>
      </c>
      <c r="I327" s="15">
        <v>0.03943681</v>
      </c>
      <c r="J327" s="15">
        <v>0.10498694</v>
      </c>
      <c r="K327" s="15">
        <v>484.5</v>
      </c>
    </row>
    <row r="328" ht="22.5" customHeight="1">
      <c r="A328" s="167">
        <v>46050.95462962963</v>
      </c>
      <c r="B328" s="144" t="s">
        <v>531</v>
      </c>
      <c r="C328" s="15">
        <v>86.64</v>
      </c>
      <c r="D328" s="15">
        <v>0.41</v>
      </c>
      <c r="E328" s="146">
        <v>0.92</v>
      </c>
      <c r="F328" s="15">
        <v>0.92</v>
      </c>
      <c r="G328" s="15">
        <v>-0.08816875</v>
      </c>
      <c r="H328" s="15">
        <v>-0.02324985</v>
      </c>
      <c r="I328" s="15">
        <v>0.0094447</v>
      </c>
      <c r="J328" s="15">
        <v>0.05219942</v>
      </c>
      <c r="K328" s="15">
        <v>84.56</v>
      </c>
    </row>
    <row r="329" ht="22.5" customHeight="1">
      <c r="A329" s="167">
        <v>46050.95465277778</v>
      </c>
      <c r="B329" s="144" t="s">
        <v>532</v>
      </c>
      <c r="C329" s="15">
        <v>86.64</v>
      </c>
      <c r="D329" s="15">
        <v>0.37</v>
      </c>
      <c r="E329" s="146">
        <v>1.8</v>
      </c>
      <c r="F329" s="15">
        <v>1.8</v>
      </c>
      <c r="G329" s="15">
        <v>-0.14293354</v>
      </c>
      <c r="H329" s="15">
        <v>-0.03428308</v>
      </c>
      <c r="I329" s="15">
        <v>0.01454354</v>
      </c>
      <c r="J329" s="15">
        <v>0.08385385</v>
      </c>
      <c r="K329" s="15">
        <v>534.0</v>
      </c>
    </row>
    <row r="330" ht="22.5" customHeight="1">
      <c r="A330" s="167">
        <v>46050.954675925925</v>
      </c>
      <c r="B330" s="144" t="s">
        <v>533</v>
      </c>
      <c r="C330" s="15">
        <v>83.51</v>
      </c>
      <c r="D330" s="15">
        <v>0.16</v>
      </c>
      <c r="E330" s="146">
        <v>0.24</v>
      </c>
      <c r="F330" s="15">
        <v>0.24</v>
      </c>
      <c r="G330" s="15">
        <v>0.17871617</v>
      </c>
      <c r="H330" s="15">
        <v>-0.0196014</v>
      </c>
      <c r="I330" s="15">
        <v>0.07334238</v>
      </c>
      <c r="J330" s="15">
        <v>0.06191738</v>
      </c>
      <c r="K330" s="15">
        <v>19.91</v>
      </c>
    </row>
    <row r="331" ht="22.5" customHeight="1">
      <c r="A331" s="167">
        <v>46050.95469907407</v>
      </c>
      <c r="B331" s="144" t="s">
        <v>500</v>
      </c>
      <c r="C331" s="15">
        <v>88.03</v>
      </c>
      <c r="D331" s="15">
        <v>0.25</v>
      </c>
      <c r="E331" s="146">
        <v>1.41</v>
      </c>
      <c r="F331" s="15">
        <v>1.41</v>
      </c>
      <c r="G331" s="15">
        <v>-0.26245679</v>
      </c>
      <c r="H331" s="15">
        <v>-0.03956138</v>
      </c>
      <c r="I331" s="15">
        <v>0.05584929</v>
      </c>
      <c r="J331" s="15">
        <v>0.0765819</v>
      </c>
      <c r="K331" s="15">
        <v>824.74</v>
      </c>
    </row>
    <row r="332" ht="22.5" customHeight="1">
      <c r="A332" s="167">
        <v>46050.95479166666</v>
      </c>
      <c r="B332" s="144" t="s">
        <v>512</v>
      </c>
      <c r="C332" s="15">
        <v>48.78</v>
      </c>
      <c r="D332" s="15">
        <v>0.59</v>
      </c>
      <c r="E332" s="146">
        <v>0.34</v>
      </c>
      <c r="F332" s="15">
        <v>0.34</v>
      </c>
      <c r="G332" s="15">
        <v>-0.06512402</v>
      </c>
      <c r="H332" s="15">
        <v>-0.01308939</v>
      </c>
      <c r="I332" s="15">
        <v>0.01185751</v>
      </c>
      <c r="J332" s="15">
        <v>0.02566705</v>
      </c>
      <c r="K332" s="15">
        <v>14.75</v>
      </c>
    </row>
    <row r="333" ht="22.5" customHeight="1">
      <c r="A333" s="167">
        <v>46050.95480324074</v>
      </c>
      <c r="B333" s="144" t="s">
        <v>477</v>
      </c>
      <c r="C333" s="15">
        <v>697.63</v>
      </c>
      <c r="D333" s="15">
        <v>0.1</v>
      </c>
      <c r="E333" s="146">
        <v>1.4</v>
      </c>
      <c r="F333" s="15">
        <v>1.4</v>
      </c>
      <c r="G333" s="15">
        <v>0.14427446</v>
      </c>
      <c r="H333" s="15">
        <v>0.03161675</v>
      </c>
      <c r="I333" s="15">
        <v>0.01236451</v>
      </c>
      <c r="J333" s="15">
        <v>0.4184518</v>
      </c>
      <c r="K333" s="15">
        <v>15.05</v>
      </c>
    </row>
    <row r="334" ht="22.5" customHeight="1">
      <c r="A334" s="167">
        <v>46050.95481481482</v>
      </c>
      <c r="B334" s="144" t="s">
        <v>513</v>
      </c>
      <c r="C334" s="15">
        <v>48.78</v>
      </c>
      <c r="D334" s="15">
        <v>0.59</v>
      </c>
      <c r="E334" s="146">
        <v>3.8</v>
      </c>
      <c r="F334" s="15">
        <v>3.8</v>
      </c>
      <c r="G334" s="15">
        <v>0.50807821</v>
      </c>
      <c r="H334" s="15">
        <v>-0.04420091</v>
      </c>
      <c r="I334" s="15">
        <v>0.03752532</v>
      </c>
      <c r="J334" s="15">
        <v>0.07292187</v>
      </c>
      <c r="K334" s="15">
        <v>599.73</v>
      </c>
    </row>
    <row r="335" ht="22.5" customHeight="1">
      <c r="A335" s="167">
        <v>46050.95482638889</v>
      </c>
      <c r="B335" s="144" t="s">
        <v>514</v>
      </c>
      <c r="C335" s="15">
        <v>48.78</v>
      </c>
      <c r="D335" s="15">
        <v>0.61</v>
      </c>
      <c r="E335" s="146">
        <v>2.32</v>
      </c>
      <c r="F335" s="15">
        <v>2.32</v>
      </c>
      <c r="G335" s="15">
        <v>0.34796213</v>
      </c>
      <c r="H335" s="15">
        <v>-0.04200762</v>
      </c>
      <c r="I335" s="15">
        <v>0.03340306</v>
      </c>
      <c r="J335" s="15">
        <v>0.06849045</v>
      </c>
      <c r="K335" s="15">
        <v>182.12</v>
      </c>
    </row>
    <row r="336" ht="22.5" customHeight="1">
      <c r="A336" s="167">
        <v>46050.95484953704</v>
      </c>
      <c r="B336" s="144" t="s">
        <v>520</v>
      </c>
      <c r="C336" s="15">
        <v>17.06</v>
      </c>
      <c r="D336" s="15">
        <v>1.57</v>
      </c>
      <c r="E336" s="146">
        <v>1.2</v>
      </c>
      <c r="F336" s="15">
        <v>1.2</v>
      </c>
      <c r="G336" s="15">
        <v>0.30621551</v>
      </c>
      <c r="H336" s="15">
        <v>-0.03555912</v>
      </c>
      <c r="I336" s="15">
        <v>0.03164916</v>
      </c>
      <c r="J336" s="15">
        <v>0.02254007</v>
      </c>
      <c r="K336" s="15">
        <v>95.1</v>
      </c>
    </row>
    <row r="337" ht="22.5" customHeight="1">
      <c r="A337" s="167">
        <v>46050.95486111111</v>
      </c>
      <c r="B337" s="144" t="s">
        <v>521</v>
      </c>
      <c r="C337" s="15">
        <v>17.06</v>
      </c>
      <c r="D337" s="15">
        <v>1.48</v>
      </c>
      <c r="E337" s="146">
        <v>1.7</v>
      </c>
      <c r="F337" s="15">
        <v>1.7</v>
      </c>
      <c r="G337" s="15">
        <v>0.34421632</v>
      </c>
      <c r="H337" s="15">
        <v>-0.03473311</v>
      </c>
      <c r="I337" s="15">
        <v>0.03894858</v>
      </c>
      <c r="J337" s="15">
        <v>0.02331851</v>
      </c>
      <c r="K337" s="15">
        <v>471.6</v>
      </c>
    </row>
    <row r="338" ht="22.5" customHeight="1">
      <c r="A338" s="167">
        <v>46050.95489583333</v>
      </c>
      <c r="B338" s="144" t="s">
        <v>503</v>
      </c>
      <c r="C338" s="15">
        <v>84.64</v>
      </c>
      <c r="D338" s="15">
        <v>0.3</v>
      </c>
      <c r="E338" s="146">
        <v>0.81</v>
      </c>
      <c r="F338" s="15">
        <v>0.81</v>
      </c>
      <c r="G338" s="15">
        <v>0.27647824</v>
      </c>
      <c r="H338" s="15">
        <v>-0.04732122</v>
      </c>
      <c r="I338" s="15">
        <v>0.05166544</v>
      </c>
      <c r="J338" s="15">
        <v>0.0718589</v>
      </c>
      <c r="K338" s="15">
        <v>66.06</v>
      </c>
    </row>
    <row r="339" ht="22.5" customHeight="1">
      <c r="A339" s="167">
        <v>46050.95491898148</v>
      </c>
      <c r="B339" s="144" t="s">
        <v>484</v>
      </c>
      <c r="C339" s="15">
        <v>10.48</v>
      </c>
      <c r="D339" s="15">
        <v>1.24</v>
      </c>
      <c r="E339" s="146">
        <v>1.54</v>
      </c>
      <c r="F339" s="15">
        <v>1.06</v>
      </c>
      <c r="G339" s="15">
        <v>0.6317286</v>
      </c>
      <c r="H339" s="15">
        <v>-0.02719289</v>
      </c>
      <c r="I339" s="15">
        <v>0.11432155</v>
      </c>
      <c r="J339" s="15">
        <v>0.01032187</v>
      </c>
      <c r="K339" s="15">
        <v>128.32</v>
      </c>
    </row>
    <row r="340" ht="22.5" customHeight="1">
      <c r="A340" s="167">
        <v>46050.954988425925</v>
      </c>
      <c r="B340" s="144" t="s">
        <v>504</v>
      </c>
      <c r="C340" s="15">
        <v>84.64</v>
      </c>
      <c r="D340" s="15">
        <v>0.29</v>
      </c>
      <c r="E340" s="146">
        <v>2.4</v>
      </c>
      <c r="F340" s="15">
        <v>2.4</v>
      </c>
      <c r="G340" s="15">
        <v>0.5049543</v>
      </c>
      <c r="H340" s="15">
        <v>-0.05858009</v>
      </c>
      <c r="I340" s="15">
        <v>0.06457043</v>
      </c>
      <c r="J340" s="15">
        <v>0.0846084</v>
      </c>
      <c r="K340" s="15">
        <v>644.55</v>
      </c>
    </row>
    <row r="341" ht="22.5" customHeight="1">
      <c r="A341" s="167">
        <v>46050.95506944445</v>
      </c>
      <c r="B341" s="144" t="s">
        <v>479</v>
      </c>
      <c r="C341" s="15">
        <v>13.05</v>
      </c>
      <c r="D341" s="15">
        <v>0.61</v>
      </c>
      <c r="E341" s="146">
        <v>0.55</v>
      </c>
      <c r="F341" s="15">
        <v>0.55</v>
      </c>
      <c r="G341" s="15">
        <v>0.35741128</v>
      </c>
      <c r="H341" s="15">
        <v>-0.01676791</v>
      </c>
      <c r="I341" s="15">
        <v>0.18733258</v>
      </c>
      <c r="J341" s="15">
        <v>0.01200359</v>
      </c>
      <c r="K341" s="15">
        <v>40.49</v>
      </c>
    </row>
    <row r="342" ht="22.5" customHeight="1">
      <c r="A342" s="167">
        <v>46050.955104166664</v>
      </c>
      <c r="B342" s="144" t="s">
        <v>519</v>
      </c>
      <c r="C342" s="15">
        <v>105.6</v>
      </c>
      <c r="D342" s="15">
        <v>0.95</v>
      </c>
      <c r="E342" s="146">
        <v>2.87</v>
      </c>
      <c r="F342" s="15">
        <v>2.87</v>
      </c>
      <c r="G342" s="15">
        <v>-0.13935352</v>
      </c>
      <c r="H342" s="15">
        <v>-0.0795685</v>
      </c>
      <c r="I342" s="15">
        <v>0.00596716</v>
      </c>
      <c r="J342" s="15">
        <v>0.08691026</v>
      </c>
      <c r="K342" s="15">
        <v>777.87</v>
      </c>
    </row>
    <row r="343" ht="22.5" customHeight="1">
      <c r="A343" s="167">
        <v>46050.95512731482</v>
      </c>
      <c r="B343" s="144" t="s">
        <v>483</v>
      </c>
      <c r="C343" s="15">
        <v>7.86</v>
      </c>
      <c r="D343" s="15">
        <v>1.15</v>
      </c>
      <c r="E343" s="146">
        <v>0.77</v>
      </c>
      <c r="F343" s="15">
        <v>0.77</v>
      </c>
      <c r="G343" s="15">
        <v>0.53997951</v>
      </c>
      <c r="H343" s="15">
        <v>-0.02003206</v>
      </c>
      <c r="I343" s="15">
        <v>0.17584709</v>
      </c>
      <c r="J343" s="15">
        <v>0.00783534</v>
      </c>
      <c r="K343" s="15">
        <v>52.27</v>
      </c>
    </row>
    <row r="344" ht="22.5" customHeight="1">
      <c r="A344" s="167">
        <v>46050.95515046296</v>
      </c>
      <c r="B344" s="144" t="s">
        <v>497</v>
      </c>
      <c r="C344" s="15">
        <v>30.38</v>
      </c>
      <c r="D344" s="15">
        <v>0.4</v>
      </c>
      <c r="E344" s="146">
        <v>0.35</v>
      </c>
      <c r="F344" s="15">
        <v>0.35</v>
      </c>
      <c r="G344" s="15">
        <v>-0.11968867</v>
      </c>
      <c r="H344" s="15">
        <v>-0.01266601</v>
      </c>
      <c r="I344" s="15">
        <v>0.06457423</v>
      </c>
      <c r="J344" s="15">
        <v>0.01550773</v>
      </c>
      <c r="K344" s="15">
        <v>14.17</v>
      </c>
    </row>
    <row r="345" ht="22.5" customHeight="1">
      <c r="A345" s="167">
        <v>46050.95517361111</v>
      </c>
      <c r="B345" s="144" t="s">
        <v>530</v>
      </c>
      <c r="C345" s="15">
        <v>87.57</v>
      </c>
      <c r="D345" s="15">
        <v>0.24</v>
      </c>
      <c r="E345" s="146">
        <v>0.26</v>
      </c>
      <c r="F345" s="15">
        <v>0.26</v>
      </c>
      <c r="G345" s="15">
        <v>0.10090118</v>
      </c>
      <c r="H345" s="15">
        <v>-0.02134321</v>
      </c>
      <c r="I345" s="15">
        <v>0.0334603</v>
      </c>
      <c r="J345" s="15">
        <v>0.04134216</v>
      </c>
      <c r="K345" s="15">
        <v>16.42</v>
      </c>
    </row>
    <row r="346" ht="22.5" customHeight="1">
      <c r="A346" s="167">
        <v>46050.95520833333</v>
      </c>
      <c r="B346" s="144" t="s">
        <v>510</v>
      </c>
      <c r="C346" s="15">
        <v>39.05</v>
      </c>
      <c r="D346" s="15">
        <v>0.24</v>
      </c>
      <c r="E346" s="146">
        <v>0.32</v>
      </c>
      <c r="F346" s="15">
        <v>0.32</v>
      </c>
      <c r="G346" s="15">
        <v>-0.23346935</v>
      </c>
      <c r="H346" s="15">
        <v>-0.01505351</v>
      </c>
      <c r="I346" s="15">
        <v>0.12888975</v>
      </c>
      <c r="J346" s="15">
        <v>0.02926858</v>
      </c>
      <c r="K346" s="15">
        <v>22.78</v>
      </c>
    </row>
    <row r="347" ht="22.5" customHeight="1">
      <c r="A347" s="167">
        <v>46050.955243055556</v>
      </c>
      <c r="B347" s="144" t="s">
        <v>498</v>
      </c>
      <c r="C347" s="15">
        <v>60.07</v>
      </c>
      <c r="D347" s="15">
        <v>0.13</v>
      </c>
      <c r="E347" s="146">
        <v>0.13</v>
      </c>
      <c r="F347" s="15">
        <v>0.13</v>
      </c>
      <c r="G347" s="15">
        <v>0.08075868</v>
      </c>
      <c r="H347" s="15">
        <v>-0.0068432</v>
      </c>
      <c r="I347" s="15">
        <v>0.0774716</v>
      </c>
      <c r="J347" s="15">
        <v>0.02294717</v>
      </c>
      <c r="K347" s="15">
        <v>8.76</v>
      </c>
    </row>
    <row r="348" ht="22.5" customHeight="1">
      <c r="A348" s="167">
        <v>46050.9552662037</v>
      </c>
      <c r="B348" s="144" t="s">
        <v>505</v>
      </c>
      <c r="C348" s="15">
        <v>70.16</v>
      </c>
      <c r="D348" s="15">
        <v>0.68</v>
      </c>
      <c r="E348" s="146">
        <v>1.11</v>
      </c>
      <c r="F348" s="15">
        <v>1.11</v>
      </c>
      <c r="G348" s="15">
        <v>-0.15393621</v>
      </c>
      <c r="H348" s="15">
        <v>-0.06050818</v>
      </c>
      <c r="I348" s="15">
        <v>0.01993813</v>
      </c>
      <c r="J348" s="15">
        <v>0.04259735</v>
      </c>
      <c r="K348" s="15">
        <v>90.69</v>
      </c>
    </row>
    <row r="349" ht="22.5" customHeight="1">
      <c r="A349" s="167">
        <v>46050.95527777778</v>
      </c>
      <c r="B349" s="144" t="s">
        <v>506</v>
      </c>
      <c r="C349" s="15">
        <v>70.16</v>
      </c>
      <c r="D349" s="15">
        <v>0.67</v>
      </c>
      <c r="E349" s="146">
        <v>2.49</v>
      </c>
      <c r="F349" s="15">
        <v>2.49</v>
      </c>
      <c r="G349" s="15">
        <v>-0.29026773</v>
      </c>
      <c r="H349" s="15">
        <v>-0.08594821</v>
      </c>
      <c r="I349" s="15">
        <v>0.02919004</v>
      </c>
      <c r="J349" s="15">
        <v>0.05912671</v>
      </c>
      <c r="K349" s="15">
        <v>499.89</v>
      </c>
    </row>
    <row r="350" ht="22.5" customHeight="1">
      <c r="A350" s="167">
        <v>46050.9553125</v>
      </c>
      <c r="B350" s="144" t="s">
        <v>480</v>
      </c>
      <c r="C350" s="15">
        <v>57.06</v>
      </c>
      <c r="D350" s="15">
        <v>0.48</v>
      </c>
      <c r="E350" s="146">
        <v>1.65</v>
      </c>
      <c r="F350" s="15">
        <v>1.65</v>
      </c>
      <c r="G350" s="15">
        <v>0.36743396</v>
      </c>
      <c r="H350" s="15">
        <v>-0.05879147</v>
      </c>
      <c r="I350" s="15">
        <v>0.05521368</v>
      </c>
      <c r="J350" s="15">
        <v>0.0520746</v>
      </c>
      <c r="K350" s="15">
        <v>22.95</v>
      </c>
    </row>
    <row r="351" ht="22.5" customHeight="1">
      <c r="A351" s="167">
        <v>46050.95532407407</v>
      </c>
      <c r="B351" s="144" t="s">
        <v>481</v>
      </c>
      <c r="C351" s="15">
        <v>57.06</v>
      </c>
      <c r="D351" s="15">
        <v>0.43</v>
      </c>
      <c r="E351" s="146">
        <v>0.65</v>
      </c>
      <c r="F351" s="15">
        <v>0.65</v>
      </c>
      <c r="G351" s="15">
        <v>0.19732116</v>
      </c>
      <c r="H351" s="15">
        <v>-0.03812952</v>
      </c>
      <c r="I351" s="15">
        <v>0.04564386</v>
      </c>
      <c r="J351" s="15">
        <v>0.04085687</v>
      </c>
      <c r="K351" s="15">
        <v>10.12</v>
      </c>
    </row>
    <row r="352" ht="22.5" customHeight="1">
      <c r="A352" s="167">
        <v>46050.95533564815</v>
      </c>
      <c r="B352" s="144" t="s">
        <v>482</v>
      </c>
      <c r="C352" s="15">
        <v>57.06</v>
      </c>
      <c r="D352" s="15">
        <v>0.7</v>
      </c>
      <c r="E352" s="146">
        <v>0.8</v>
      </c>
      <c r="F352" s="15">
        <v>0.8</v>
      </c>
      <c r="G352" s="15">
        <v>-0.13855327</v>
      </c>
      <c r="H352" s="15">
        <v>-0.04759669</v>
      </c>
      <c r="I352" s="15">
        <v>0.02216561</v>
      </c>
      <c r="J352" s="15">
        <v>0.03432352</v>
      </c>
      <c r="K352" s="15">
        <v>727.95</v>
      </c>
    </row>
    <row r="353" ht="22.5" customHeight="1">
      <c r="A353" s="167">
        <v>46050.955358796295</v>
      </c>
      <c r="B353" s="144" t="s">
        <v>529</v>
      </c>
      <c r="C353" s="15">
        <v>11.38</v>
      </c>
      <c r="D353" s="15">
        <v>0.72</v>
      </c>
      <c r="E353" s="146">
        <v>0.15</v>
      </c>
      <c r="F353" s="15">
        <v>0.15</v>
      </c>
      <c r="G353" s="15">
        <v>0.14675374</v>
      </c>
      <c r="H353" s="15">
        <v>-0.01046246</v>
      </c>
      <c r="I353" s="15">
        <v>0.11222578</v>
      </c>
      <c r="J353" s="15">
        <v>0.00697763</v>
      </c>
      <c r="K353" s="15">
        <v>10.12</v>
      </c>
    </row>
    <row r="354" ht="22.5" customHeight="1">
      <c r="A354" s="167">
        <v>46050.95538194444</v>
      </c>
      <c r="B354" s="144" t="s">
        <v>528</v>
      </c>
      <c r="C354" s="15">
        <v>86.79</v>
      </c>
      <c r="D354" s="15">
        <v>0.26</v>
      </c>
      <c r="E354" s="146">
        <v>0.25</v>
      </c>
      <c r="F354" s="15">
        <v>0.25</v>
      </c>
      <c r="G354" s="15">
        <v>-0.04546073</v>
      </c>
      <c r="H354" s="15">
        <v>-0.01642975</v>
      </c>
      <c r="I354" s="15">
        <v>0.00991819</v>
      </c>
      <c r="J354" s="15">
        <v>0.0266957</v>
      </c>
      <c r="K354" s="15">
        <v>17.25</v>
      </c>
    </row>
    <row r="355" ht="22.5" customHeight="1">
      <c r="A355" s="167">
        <v>46050.95539351852</v>
      </c>
      <c r="B355" s="144" t="s">
        <v>478</v>
      </c>
      <c r="C355" s="15">
        <v>697.63</v>
      </c>
      <c r="D355" s="15">
        <v>0.1</v>
      </c>
      <c r="E355" s="146">
        <v>1.97</v>
      </c>
      <c r="F355" s="15">
        <v>1.97</v>
      </c>
      <c r="G355" s="15">
        <v>0.20267549</v>
      </c>
      <c r="H355" s="15">
        <v>0.08673924</v>
      </c>
      <c r="I355" s="15">
        <v>0.01505437</v>
      </c>
      <c r="J355" s="15">
        <v>0.50958761</v>
      </c>
      <c r="K355" s="15">
        <v>25.02</v>
      </c>
    </row>
    <row r="356" ht="22.5" customHeight="1">
      <c r="A356" s="167">
        <v>46050.955416666664</v>
      </c>
      <c r="B356" s="144" t="s">
        <v>518</v>
      </c>
      <c r="C356" s="15">
        <v>10.88</v>
      </c>
      <c r="D356" s="15">
        <v>0.28</v>
      </c>
      <c r="E356" s="146">
        <v>0.1</v>
      </c>
      <c r="F356" s="15">
        <v>0.1</v>
      </c>
      <c r="G356" s="15">
        <v>0.27666064</v>
      </c>
      <c r="H356" s="15">
        <v>-0.0042321</v>
      </c>
      <c r="I356" s="15">
        <v>0.27821321</v>
      </c>
      <c r="J356" s="15">
        <v>0.014065</v>
      </c>
      <c r="K356" s="15">
        <v>10.13</v>
      </c>
    </row>
    <row r="357" ht="22.5" customHeight="1">
      <c r="A357" s="167">
        <v>46050.95548611111</v>
      </c>
      <c r="B357" s="144" t="s">
        <v>522</v>
      </c>
      <c r="C357" s="15">
        <v>88.03</v>
      </c>
      <c r="D357" s="15">
        <v>0.24</v>
      </c>
      <c r="E357" s="146">
        <v>1.77</v>
      </c>
      <c r="F357" s="15">
        <v>1.77</v>
      </c>
      <c r="G357" s="15">
        <v>-0.35728898</v>
      </c>
      <c r="H357" s="15">
        <v>-0.03986377</v>
      </c>
      <c r="I357" s="15">
        <v>0.07131431</v>
      </c>
      <c r="J357" s="15">
        <v>0.08208851</v>
      </c>
      <c r="K357" s="15">
        <v>27.61</v>
      </c>
    </row>
    <row r="358" ht="22.5" customHeight="1">
      <c r="A358" s="167">
        <v>46052.920011574075</v>
      </c>
      <c r="B358" s="144" t="s">
        <v>495</v>
      </c>
      <c r="C358" s="15">
        <v>280.68</v>
      </c>
      <c r="D358" s="15">
        <v>0.53</v>
      </c>
      <c r="E358" s="146">
        <v>3.6</v>
      </c>
      <c r="F358" s="15">
        <v>3.6</v>
      </c>
      <c r="G358" s="15">
        <v>-0.10858544</v>
      </c>
      <c r="H358" s="15">
        <v>-0.10465036</v>
      </c>
      <c r="I358" s="15">
        <v>0.00326606</v>
      </c>
      <c r="J358" s="15">
        <v>0.19966484</v>
      </c>
      <c r="K358" s="15">
        <v>308.09</v>
      </c>
    </row>
    <row r="359" ht="22.5" customHeight="1">
      <c r="A359" s="167">
        <v>46052.920023148145</v>
      </c>
      <c r="B359" s="144" t="s">
        <v>496</v>
      </c>
      <c r="C359" s="15">
        <v>280.68</v>
      </c>
      <c r="D359" s="15">
        <v>0.53</v>
      </c>
      <c r="E359" s="146">
        <v>5.6</v>
      </c>
      <c r="F359" s="15">
        <v>5.6</v>
      </c>
      <c r="G359" s="15">
        <v>-0.17829653</v>
      </c>
      <c r="H359" s="15">
        <v>-0.1405569</v>
      </c>
      <c r="I359" s="15">
        <v>0.00481842</v>
      </c>
      <c r="J359" s="15">
        <v>0.28868503</v>
      </c>
      <c r="K359" s="15">
        <v>1640.78</v>
      </c>
    </row>
    <row r="360" ht="22.5" customHeight="1">
      <c r="A360" s="167">
        <v>46052.9200462963</v>
      </c>
      <c r="B360" s="144" t="s">
        <v>543</v>
      </c>
      <c r="C360" s="15">
        <v>693.75</v>
      </c>
      <c r="D360" s="15">
        <v>0.21</v>
      </c>
      <c r="E360" s="146">
        <v>5.0</v>
      </c>
      <c r="F360" s="15">
        <v>5.0</v>
      </c>
      <c r="G360" s="15">
        <v>-0.17302198</v>
      </c>
      <c r="H360" s="15">
        <v>-0.12316679</v>
      </c>
      <c r="I360" s="15">
        <v>0.00487408</v>
      </c>
      <c r="J360" s="15">
        <v>0.64887438</v>
      </c>
      <c r="K360" s="15">
        <v>4760.92</v>
      </c>
    </row>
    <row r="361" ht="22.5" customHeight="1">
      <c r="A361" s="167">
        <v>46052.92005787037</v>
      </c>
      <c r="B361" s="144" t="s">
        <v>544</v>
      </c>
      <c r="C361" s="15">
        <v>693.75</v>
      </c>
      <c r="D361" s="15">
        <v>0.18</v>
      </c>
      <c r="E361" s="146">
        <v>8.27</v>
      </c>
      <c r="F361" s="15">
        <v>8.27</v>
      </c>
      <c r="G361" s="15">
        <v>-0.27130355</v>
      </c>
      <c r="H361" s="15">
        <v>-0.13399341</v>
      </c>
      <c r="I361" s="15">
        <v>0.00718925</v>
      </c>
      <c r="J361" s="15">
        <v>0.84039689</v>
      </c>
      <c r="K361" s="15">
        <v>4981.64</v>
      </c>
    </row>
    <row r="362" ht="22.5" customHeight="1">
      <c r="A362" s="167">
        <v>46052.920069444444</v>
      </c>
      <c r="B362" s="144" t="s">
        <v>476</v>
      </c>
      <c r="C362" s="15">
        <v>693.75</v>
      </c>
      <c r="D362" s="15">
        <v>0.18</v>
      </c>
      <c r="E362" s="146">
        <v>3.29</v>
      </c>
      <c r="F362" s="15">
        <v>3.29</v>
      </c>
      <c r="G362" s="15">
        <v>-0.19566228</v>
      </c>
      <c r="H362" s="15">
        <v>-0.18167045</v>
      </c>
      <c r="I362" s="15">
        <v>0.00920979</v>
      </c>
      <c r="J362" s="15">
        <v>0.45923106</v>
      </c>
      <c r="K362" s="15">
        <v>5019.62</v>
      </c>
    </row>
    <row r="363" ht="22.5" customHeight="1">
      <c r="A363" s="167">
        <v>46052.92010416667</v>
      </c>
      <c r="B363" s="144" t="s">
        <v>534</v>
      </c>
      <c r="C363" s="15">
        <v>716.5</v>
      </c>
      <c r="D363" s="15">
        <v>0.33</v>
      </c>
      <c r="E363" s="146">
        <v>1.5</v>
      </c>
      <c r="F363" s="15">
        <v>1.5</v>
      </c>
      <c r="G363" s="15">
        <v>0.04280395</v>
      </c>
      <c r="H363" s="15">
        <v>-0.0834389</v>
      </c>
      <c r="I363" s="15">
        <v>0.00106352</v>
      </c>
      <c r="J363" s="15">
        <v>0.27205809</v>
      </c>
      <c r="K363" s="15">
        <v>27.61</v>
      </c>
    </row>
    <row r="364" ht="22.5" customHeight="1">
      <c r="A364" s="167">
        <v>46052.920115740744</v>
      </c>
      <c r="B364" s="144" t="s">
        <v>535</v>
      </c>
      <c r="C364" s="15">
        <v>716.5</v>
      </c>
      <c r="D364" s="15">
        <v>0.35</v>
      </c>
      <c r="E364" s="146">
        <v>4.0</v>
      </c>
      <c r="F364" s="15">
        <v>4.0</v>
      </c>
      <c r="G364" s="15">
        <v>-0.08738509</v>
      </c>
      <c r="H364" s="15">
        <v>-0.14194093</v>
      </c>
      <c r="I364" s="15">
        <v>0.00173966</v>
      </c>
      <c r="J364" s="15">
        <v>0.39250493</v>
      </c>
      <c r="K364" s="15">
        <v>1228.78</v>
      </c>
    </row>
    <row r="365" ht="22.5" customHeight="1">
      <c r="A365" s="167">
        <v>46052.92013888889</v>
      </c>
      <c r="B365" s="144" t="s">
        <v>515</v>
      </c>
      <c r="C365" s="15">
        <v>15.34</v>
      </c>
      <c r="D365" s="15">
        <v>0.35</v>
      </c>
      <c r="E365" s="146">
        <v>0.24</v>
      </c>
      <c r="F365" s="15">
        <v>0.24</v>
      </c>
      <c r="G365" s="15">
        <v>0.24022524</v>
      </c>
      <c r="H365" s="15">
        <v>-0.00661249</v>
      </c>
      <c r="I365" s="15">
        <v>0.16063084</v>
      </c>
      <c r="J365" s="15">
        <v>0.01792905</v>
      </c>
      <c r="K365" s="15">
        <v>23.69</v>
      </c>
    </row>
    <row r="366" ht="22.5" customHeight="1">
      <c r="A366" s="167">
        <v>46052.92015046296</v>
      </c>
      <c r="B366" s="144" t="s">
        <v>517</v>
      </c>
      <c r="C366" s="15">
        <v>15.34</v>
      </c>
      <c r="D366" s="15">
        <v>0.46</v>
      </c>
      <c r="E366" s="146">
        <v>0.08</v>
      </c>
      <c r="F366" s="15">
        <v>0.08</v>
      </c>
      <c r="G366" s="15">
        <v>-0.05840128</v>
      </c>
      <c r="H366" s="15">
        <v>-0.00299887</v>
      </c>
      <c r="I366" s="15">
        <v>0.04507834</v>
      </c>
      <c r="J366" s="15">
        <v>0.00611191</v>
      </c>
      <c r="K366" s="15">
        <v>4.97</v>
      </c>
    </row>
    <row r="367" ht="22.5" customHeight="1">
      <c r="A367" s="167">
        <v>46052.92018518518</v>
      </c>
      <c r="B367" s="144" t="s">
        <v>536</v>
      </c>
      <c r="C367" s="15">
        <v>26.21</v>
      </c>
      <c r="D367" s="15">
        <v>0.2</v>
      </c>
      <c r="E367" s="146">
        <v>0.52</v>
      </c>
      <c r="F367" s="15">
        <v>0.52</v>
      </c>
      <c r="G367" s="15">
        <v>0.38912938</v>
      </c>
      <c r="H367" s="15">
        <v>-0.00884124</v>
      </c>
      <c r="I367" s="15">
        <v>0.19630821</v>
      </c>
      <c r="J367" s="15">
        <v>0.03806103</v>
      </c>
      <c r="K367" s="15">
        <v>40.11</v>
      </c>
    </row>
    <row r="368" ht="22.5" customHeight="1">
      <c r="A368" s="167">
        <v>46052.92020833334</v>
      </c>
      <c r="B368" s="144" t="s">
        <v>526</v>
      </c>
      <c r="C368" s="15">
        <v>215.55</v>
      </c>
      <c r="D368" s="15">
        <v>0.31</v>
      </c>
      <c r="E368" s="146">
        <v>2.59</v>
      </c>
      <c r="F368" s="15">
        <v>2.59</v>
      </c>
      <c r="G368" s="15">
        <v>0.19833943</v>
      </c>
      <c r="H368" s="15">
        <v>-0.07371559</v>
      </c>
      <c r="I368" s="15">
        <v>0.01151735</v>
      </c>
      <c r="J368" s="15">
        <v>0.23111634</v>
      </c>
      <c r="K368" s="15">
        <v>1312.02</v>
      </c>
    </row>
    <row r="369" ht="22.5" customHeight="1">
      <c r="A369" s="167">
        <v>46052.920219907406</v>
      </c>
      <c r="B369" s="144" t="s">
        <v>527</v>
      </c>
      <c r="C369" s="15">
        <v>215.55</v>
      </c>
      <c r="D369" s="15">
        <v>0.31</v>
      </c>
      <c r="E369" s="146">
        <v>1.38</v>
      </c>
      <c r="F369" s="15">
        <v>1.38</v>
      </c>
      <c r="G369" s="15">
        <v>0.11628862</v>
      </c>
      <c r="H369" s="15">
        <v>-0.05178926</v>
      </c>
      <c r="I369" s="15">
        <v>0.00797441</v>
      </c>
      <c r="J369" s="15">
        <v>0.15404145</v>
      </c>
      <c r="K369" s="15">
        <v>110.02</v>
      </c>
    </row>
    <row r="370" ht="22.5" customHeight="1">
      <c r="A370" s="167">
        <v>46052.92025462963</v>
      </c>
      <c r="B370" s="144" t="s">
        <v>511</v>
      </c>
      <c r="C370" s="15">
        <v>33.52</v>
      </c>
      <c r="D370" s="15">
        <v>0.4</v>
      </c>
      <c r="E370" s="146">
        <v>0.27</v>
      </c>
      <c r="F370" s="15">
        <v>0.27</v>
      </c>
      <c r="G370" s="15">
        <v>0.1278697</v>
      </c>
      <c r="H370" s="15">
        <v>-0.01088172</v>
      </c>
      <c r="I370" s="15">
        <v>0.04319891</v>
      </c>
      <c r="J370" s="15">
        <v>0.02389837</v>
      </c>
      <c r="K370" s="15">
        <v>21.44</v>
      </c>
    </row>
    <row r="371" ht="22.5" customHeight="1">
      <c r="A371" s="167">
        <v>46052.920277777775</v>
      </c>
      <c r="B371" s="144" t="s">
        <v>523</v>
      </c>
      <c r="C371" s="15">
        <v>5947.81</v>
      </c>
      <c r="D371" s="15">
        <v>0.13</v>
      </c>
      <c r="E371" s="146">
        <v>18.1</v>
      </c>
      <c r="F371" s="15">
        <v>18.1</v>
      </c>
      <c r="G371" s="15">
        <v>0.1232845</v>
      </c>
      <c r="H371" s="15">
        <v>-0.63421424</v>
      </c>
      <c r="I371" s="15">
        <v>7.0922E-4</v>
      </c>
      <c r="J371" s="15">
        <v>4.41562642</v>
      </c>
      <c r="K371" s="15">
        <v>6.25</v>
      </c>
    </row>
    <row r="372" ht="22.5" customHeight="1">
      <c r="A372" s="167">
        <v>46052.92030092593</v>
      </c>
      <c r="B372" s="144" t="s">
        <v>501</v>
      </c>
      <c r="C372" s="15">
        <v>259.65</v>
      </c>
      <c r="D372" s="15">
        <v>0.24</v>
      </c>
      <c r="E372" s="146">
        <v>2.08</v>
      </c>
      <c r="F372" s="15">
        <v>2.08</v>
      </c>
      <c r="G372" s="15">
        <v>-0.23579719</v>
      </c>
      <c r="H372" s="15">
        <v>-0.10182431</v>
      </c>
      <c r="I372" s="15">
        <v>0.02109081</v>
      </c>
      <c r="J372" s="15">
        <v>0.18646934</v>
      </c>
      <c r="K372" s="15">
        <v>1849.97</v>
      </c>
    </row>
    <row r="373" ht="22.5" customHeight="1">
      <c r="A373" s="167">
        <v>46052.9203125</v>
      </c>
      <c r="B373" s="144" t="s">
        <v>524</v>
      </c>
      <c r="C373" s="15">
        <v>5947.81</v>
      </c>
      <c r="D373" s="15">
        <v>0.13</v>
      </c>
      <c r="E373" s="146">
        <v>22.6</v>
      </c>
      <c r="F373" s="15">
        <v>22.6</v>
      </c>
      <c r="G373" s="15">
        <v>0.14272054</v>
      </c>
      <c r="H373" s="15">
        <v>-0.70810146</v>
      </c>
      <c r="I373" s="15">
        <v>7.7857E-4</v>
      </c>
      <c r="J373" s="15">
        <v>4.88398963</v>
      </c>
      <c r="K373" s="15">
        <v>7.04</v>
      </c>
    </row>
    <row r="374" ht="22.5" customHeight="1">
      <c r="A374" s="167">
        <v>46052.920324074075</v>
      </c>
      <c r="B374" s="144" t="s">
        <v>525</v>
      </c>
      <c r="C374" s="15">
        <v>5947.81</v>
      </c>
      <c r="D374" s="15">
        <v>0.2</v>
      </c>
      <c r="E374" s="146">
        <v>54.9</v>
      </c>
      <c r="F374" s="15">
        <v>54.9</v>
      </c>
      <c r="G374" s="15">
        <v>-0.21348105</v>
      </c>
      <c r="H374" s="15">
        <v>-1.25837225</v>
      </c>
      <c r="I374" s="15">
        <v>6.6233E-4</v>
      </c>
      <c r="J374" s="15">
        <v>6.30237455</v>
      </c>
      <c r="K374" s="15">
        <v>3770.18</v>
      </c>
    </row>
    <row r="375" ht="22.5" customHeight="1">
      <c r="A375" s="167">
        <v>46052.9203587963</v>
      </c>
      <c r="B375" s="144" t="s">
        <v>508</v>
      </c>
      <c r="C375" s="15">
        <v>74.88</v>
      </c>
      <c r="D375" s="15">
        <v>0.35</v>
      </c>
      <c r="E375" s="146">
        <v>0.83</v>
      </c>
      <c r="F375" s="15">
        <v>0.83</v>
      </c>
      <c r="G375" s="15">
        <v>0.18698763</v>
      </c>
      <c r="H375" s="15">
        <v>-0.02808201</v>
      </c>
      <c r="I375" s="15">
        <v>0.02802791</v>
      </c>
      <c r="J375" s="15">
        <v>0.08066854</v>
      </c>
      <c r="K375" s="15">
        <v>67.57</v>
      </c>
    </row>
    <row r="376" ht="22.5" customHeight="1">
      <c r="A376" s="167">
        <v>46052.92037037037</v>
      </c>
      <c r="B376" s="144" t="s">
        <v>509</v>
      </c>
      <c r="C376" s="15">
        <v>74.88</v>
      </c>
      <c r="D376" s="15">
        <v>0.34</v>
      </c>
      <c r="E376" s="146">
        <v>1.8</v>
      </c>
      <c r="F376" s="15">
        <v>1.8</v>
      </c>
      <c r="G376" s="15">
        <v>0.3325315</v>
      </c>
      <c r="H376" s="15">
        <v>-0.03728053</v>
      </c>
      <c r="I376" s="15">
        <v>0.03906794</v>
      </c>
      <c r="J376" s="15">
        <v>0.10174703</v>
      </c>
      <c r="K376" s="15">
        <v>473.1</v>
      </c>
    </row>
    <row r="377" ht="22.5" customHeight="1">
      <c r="A377" s="167">
        <v>46052.92039351852</v>
      </c>
      <c r="B377" s="144" t="s">
        <v>531</v>
      </c>
      <c r="C377" s="15">
        <v>85.84</v>
      </c>
      <c r="D377" s="15">
        <v>0.38</v>
      </c>
      <c r="E377" s="146">
        <v>0.85</v>
      </c>
      <c r="F377" s="15">
        <v>0.85</v>
      </c>
      <c r="G377" s="15">
        <v>-0.11144178</v>
      </c>
      <c r="H377" s="15">
        <v>-0.02441994</v>
      </c>
      <c r="I377" s="15">
        <v>0.0144047</v>
      </c>
      <c r="J377" s="15">
        <v>0.06287052</v>
      </c>
      <c r="K377" s="15">
        <v>79.03</v>
      </c>
    </row>
    <row r="378" ht="22.5" customHeight="1">
      <c r="A378" s="167">
        <v>46052.92040509259</v>
      </c>
      <c r="B378" s="144" t="s">
        <v>532</v>
      </c>
      <c r="C378" s="15">
        <v>85.84</v>
      </c>
      <c r="D378" s="15">
        <v>0.35</v>
      </c>
      <c r="E378" s="146">
        <v>1.8</v>
      </c>
      <c r="F378" s="15">
        <v>1.8</v>
      </c>
      <c r="G378" s="15">
        <v>-0.25948304</v>
      </c>
      <c r="H378" s="15">
        <v>-0.0345242</v>
      </c>
      <c r="I378" s="15">
        <v>0.02938163</v>
      </c>
      <c r="J378" s="15">
        <v>0.10430158</v>
      </c>
      <c r="K378" s="15">
        <v>501.21</v>
      </c>
    </row>
    <row r="379" ht="22.5" customHeight="1">
      <c r="A379" s="167">
        <v>46052.920439814814</v>
      </c>
      <c r="B379" s="144" t="s">
        <v>533</v>
      </c>
      <c r="C379" s="15">
        <v>83.85</v>
      </c>
      <c r="D379" s="15">
        <v>0.17</v>
      </c>
      <c r="E379" s="146">
        <v>0.3</v>
      </c>
      <c r="F379" s="15">
        <v>0.3</v>
      </c>
      <c r="G379" s="15">
        <v>0.1633576</v>
      </c>
      <c r="H379" s="15">
        <v>-0.02133678</v>
      </c>
      <c r="I379" s="15">
        <v>0.07344639</v>
      </c>
      <c r="J379" s="15">
        <v>0.04762746</v>
      </c>
      <c r="K379" s="15">
        <v>21.8</v>
      </c>
    </row>
    <row r="380" ht="22.5" customHeight="1">
      <c r="A380" s="167">
        <v>46052.92046296296</v>
      </c>
      <c r="B380" s="144" t="s">
        <v>539</v>
      </c>
      <c r="C380" s="15">
        <v>176.9</v>
      </c>
      <c r="D380" s="15">
        <v>0.25</v>
      </c>
      <c r="E380" s="146">
        <v>0.6</v>
      </c>
      <c r="F380" s="15">
        <v>0.6</v>
      </c>
      <c r="G380" s="15">
        <v>0.11111265</v>
      </c>
      <c r="H380" s="15">
        <v>-0.05242719</v>
      </c>
      <c r="I380" s="15">
        <v>0.01852441</v>
      </c>
      <c r="J380" s="15">
        <v>0.08131016</v>
      </c>
      <c r="K380" s="15">
        <v>51.16</v>
      </c>
    </row>
    <row r="381" ht="22.5" customHeight="1">
      <c r="A381" s="167">
        <v>46052.92049768518</v>
      </c>
      <c r="B381" s="144" t="s">
        <v>500</v>
      </c>
      <c r="C381" s="15">
        <v>90.49</v>
      </c>
      <c r="D381" s="15">
        <v>0.27</v>
      </c>
      <c r="E381" s="146">
        <v>0.56</v>
      </c>
      <c r="F381" s="15">
        <v>0.56</v>
      </c>
      <c r="G381" s="15">
        <v>-0.16847225</v>
      </c>
      <c r="H381" s="15">
        <v>-0.03341373</v>
      </c>
      <c r="I381" s="15">
        <v>0.0432995</v>
      </c>
      <c r="J381" s="15">
        <v>0.05420374</v>
      </c>
      <c r="K381" s="15">
        <v>743.13</v>
      </c>
    </row>
    <row r="382" ht="22.5" customHeight="1">
      <c r="A382" s="167">
        <v>46052.92052083334</v>
      </c>
      <c r="B382" s="144" t="s">
        <v>512</v>
      </c>
      <c r="C382" s="15">
        <v>46.47</v>
      </c>
      <c r="D382" s="15">
        <v>0.6</v>
      </c>
      <c r="E382" s="146">
        <v>0.44</v>
      </c>
      <c r="F382" s="15">
        <v>0.44</v>
      </c>
      <c r="G382" s="15">
        <v>-0.09623107</v>
      </c>
      <c r="H382" s="15">
        <v>-0.01725374</v>
      </c>
      <c r="I382" s="15">
        <v>0.01686687</v>
      </c>
      <c r="J382" s="15">
        <v>0.03147809</v>
      </c>
      <c r="K382" s="15">
        <v>41.35</v>
      </c>
    </row>
    <row r="383" ht="22.5" customHeight="1">
      <c r="A383" s="167">
        <v>46052.92053240741</v>
      </c>
      <c r="B383" s="144" t="s">
        <v>477</v>
      </c>
      <c r="C383" s="15">
        <v>693.75</v>
      </c>
      <c r="D383" s="15">
        <v>0.1</v>
      </c>
      <c r="E383" s="146">
        <v>0.54</v>
      </c>
      <c r="F383" s="15">
        <v>0.54</v>
      </c>
      <c r="G383" s="15">
        <v>0.06671003</v>
      </c>
      <c r="H383" s="15">
        <v>-0.05601572</v>
      </c>
      <c r="I383" s="15">
        <v>0.00783805</v>
      </c>
      <c r="J383" s="15">
        <v>0.21499009</v>
      </c>
      <c r="K383" s="15">
        <v>3.19</v>
      </c>
    </row>
    <row r="384" ht="22.5" customHeight="1">
      <c r="A384" s="167">
        <v>46052.92054398148</v>
      </c>
      <c r="B384" s="144" t="s">
        <v>542</v>
      </c>
      <c r="C384" s="15">
        <v>693.75</v>
      </c>
      <c r="D384" s="15">
        <v>0.18</v>
      </c>
      <c r="E384" s="146">
        <v>8.9</v>
      </c>
      <c r="F384" s="15">
        <v>8.9</v>
      </c>
      <c r="G384" s="15">
        <v>-0.30545308</v>
      </c>
      <c r="H384" s="15">
        <v>-0.13457025</v>
      </c>
      <c r="I384" s="15">
        <v>0.00787108</v>
      </c>
      <c r="J384" s="15">
        <v>0.88853436</v>
      </c>
      <c r="K384" s="15">
        <v>5026.61</v>
      </c>
    </row>
    <row r="385" ht="22.5" customHeight="1">
      <c r="A385" s="167">
        <v>46052.92055555555</v>
      </c>
      <c r="B385" s="144" t="s">
        <v>513</v>
      </c>
      <c r="C385" s="15">
        <v>46.47</v>
      </c>
      <c r="D385" s="15">
        <v>0.58</v>
      </c>
      <c r="E385" s="146">
        <v>2.65</v>
      </c>
      <c r="F385" s="15">
        <v>2.65</v>
      </c>
      <c r="G385" s="15">
        <v>0.41585809</v>
      </c>
      <c r="H385" s="15">
        <v>-0.04126758</v>
      </c>
      <c r="I385" s="15">
        <v>0.03970148</v>
      </c>
      <c r="J385" s="15">
        <v>0.06749954</v>
      </c>
      <c r="K385" s="15">
        <v>541.1</v>
      </c>
    </row>
    <row r="386" ht="22.5" customHeight="1">
      <c r="A386" s="167">
        <v>46052.92056712963</v>
      </c>
      <c r="B386" s="144" t="s">
        <v>514</v>
      </c>
      <c r="C386" s="15">
        <v>46.47</v>
      </c>
      <c r="D386" s="15">
        <v>0.6</v>
      </c>
      <c r="E386" s="146">
        <v>1.5</v>
      </c>
      <c r="F386" s="15">
        <v>1.5</v>
      </c>
      <c r="G386" s="15">
        <v>0.26574433</v>
      </c>
      <c r="H386" s="15">
        <v>-0.03582779</v>
      </c>
      <c r="I386" s="15">
        <v>0.03197332</v>
      </c>
      <c r="J386" s="15">
        <v>0.05849426</v>
      </c>
      <c r="K386" s="15">
        <v>124.97</v>
      </c>
    </row>
    <row r="387" ht="22.5" customHeight="1">
      <c r="A387" s="167">
        <v>46052.92060185185</v>
      </c>
      <c r="B387" s="144" t="s">
        <v>520</v>
      </c>
      <c r="C387" s="15">
        <v>13.17</v>
      </c>
      <c r="D387" s="15">
        <v>1.47</v>
      </c>
      <c r="E387" s="146">
        <v>0.25</v>
      </c>
      <c r="F387" s="15">
        <v>0.25</v>
      </c>
      <c r="G387" s="15">
        <v>0.10569556</v>
      </c>
      <c r="H387" s="15">
        <v>-0.01337536</v>
      </c>
      <c r="I387" s="15">
        <v>0.02569863</v>
      </c>
      <c r="J387" s="15">
        <v>0.0091851</v>
      </c>
      <c r="K387" s="15">
        <v>23.15</v>
      </c>
    </row>
    <row r="388" ht="22.5" customHeight="1">
      <c r="A388" s="167">
        <v>46052.92061342593</v>
      </c>
      <c r="B388" s="144" t="s">
        <v>521</v>
      </c>
      <c r="C388" s="15">
        <v>13.17</v>
      </c>
      <c r="D388" s="15">
        <v>1.43</v>
      </c>
      <c r="E388" s="146">
        <v>0.43</v>
      </c>
      <c r="F388" s="15">
        <v>0.43</v>
      </c>
      <c r="G388" s="15">
        <v>0.17018406</v>
      </c>
      <c r="H388" s="15">
        <v>-0.01815146</v>
      </c>
      <c r="I388" s="15">
        <v>0.03673728</v>
      </c>
      <c r="J388" s="15">
        <v>0.01110762</v>
      </c>
      <c r="K388" s="15">
        <v>294.76</v>
      </c>
    </row>
    <row r="389" ht="22.5" customHeight="1">
      <c r="A389" s="167">
        <v>46052.920636574076</v>
      </c>
      <c r="B389" s="144" t="s">
        <v>537</v>
      </c>
      <c r="C389" s="15">
        <v>576.25</v>
      </c>
      <c r="D389" s="15">
        <v>1.27</v>
      </c>
      <c r="E389" s="146">
        <v>0.79</v>
      </c>
      <c r="F389" s="15">
        <v>0.79</v>
      </c>
      <c r="G389" s="15">
        <v>-0.00572558</v>
      </c>
      <c r="H389" s="15">
        <v>-0.04416267</v>
      </c>
      <c r="I389" s="15">
        <v>6.087E-5</v>
      </c>
      <c r="J389" s="15">
        <v>0.03256898</v>
      </c>
      <c r="K389" s="15">
        <v>6718.21</v>
      </c>
    </row>
    <row r="390" ht="22.5" customHeight="1">
      <c r="A390" s="167">
        <v>46052.92065972222</v>
      </c>
      <c r="B390" s="144" t="s">
        <v>503</v>
      </c>
      <c r="C390" s="15">
        <v>83.49</v>
      </c>
      <c r="D390" s="15">
        <v>0.29</v>
      </c>
      <c r="E390" s="146">
        <v>0.47</v>
      </c>
      <c r="F390" s="15">
        <v>0.47</v>
      </c>
      <c r="G390" s="15">
        <v>0.1589329</v>
      </c>
      <c r="H390" s="15">
        <v>-0.03536878</v>
      </c>
      <c r="I390" s="15">
        <v>0.04137635</v>
      </c>
      <c r="J390" s="15">
        <v>0.04684873</v>
      </c>
      <c r="K390" s="15">
        <v>40.27</v>
      </c>
    </row>
    <row r="391" ht="22.5" customHeight="1">
      <c r="A391" s="167">
        <v>46052.9206712963</v>
      </c>
      <c r="B391" s="144" t="s">
        <v>538</v>
      </c>
      <c r="C391" s="15">
        <v>576.25</v>
      </c>
      <c r="D391" s="15">
        <v>1.15</v>
      </c>
      <c r="E391" s="146">
        <v>4.4</v>
      </c>
      <c r="F391" s="15">
        <v>4.4</v>
      </c>
      <c r="G391" s="15">
        <v>-0.03760057</v>
      </c>
      <c r="H391" s="15">
        <v>-0.2001051</v>
      </c>
      <c r="I391" s="15">
        <v>3.3932E-4</v>
      </c>
      <c r="J391" s="15">
        <v>0.18815004</v>
      </c>
      <c r="K391" s="15">
        <v>2115.46</v>
      </c>
    </row>
    <row r="392" ht="22.5" customHeight="1">
      <c r="A392" s="167">
        <v>46052.92070601852</v>
      </c>
      <c r="B392" s="144" t="s">
        <v>484</v>
      </c>
      <c r="C392" s="15">
        <v>9.64</v>
      </c>
      <c r="D392" s="15">
        <v>1.31</v>
      </c>
      <c r="E392" s="146">
        <v>1.1</v>
      </c>
      <c r="F392" s="15">
        <v>1.1</v>
      </c>
      <c r="G392" s="15">
        <v>0.51787819</v>
      </c>
      <c r="H392" s="15">
        <v>-0.02922477</v>
      </c>
      <c r="I392" s="15">
        <v>0.13207049</v>
      </c>
      <c r="J392" s="15">
        <v>0.00924656</v>
      </c>
      <c r="K392" s="15">
        <v>79.26</v>
      </c>
    </row>
    <row r="393" ht="22.5" customHeight="1">
      <c r="A393" s="167">
        <v>46052.92071759259</v>
      </c>
      <c r="B393" s="144" t="s">
        <v>504</v>
      </c>
      <c r="C393" s="15">
        <v>83.49</v>
      </c>
      <c r="D393" s="15">
        <v>0.29</v>
      </c>
      <c r="E393" s="146">
        <v>1.68</v>
      </c>
      <c r="F393" s="15">
        <v>1.68</v>
      </c>
      <c r="G393" s="15">
        <v>0.4240099</v>
      </c>
      <c r="H393" s="15">
        <v>-0.05722611</v>
      </c>
      <c r="I393" s="15">
        <v>0.06883812</v>
      </c>
      <c r="J393" s="15">
        <v>0.0777478</v>
      </c>
      <c r="K393" s="15">
        <v>621.42</v>
      </c>
    </row>
    <row r="394" ht="22.5" customHeight="1">
      <c r="A394" s="167">
        <v>46052.92074074074</v>
      </c>
      <c r="B394" s="144" t="s">
        <v>519</v>
      </c>
      <c r="C394" s="15">
        <v>75.44</v>
      </c>
      <c r="D394" s="15">
        <v>0.87</v>
      </c>
      <c r="E394" s="146">
        <v>10.9</v>
      </c>
      <c r="F394" s="15">
        <v>9.34</v>
      </c>
      <c r="G394" s="15">
        <v>-0.45570352</v>
      </c>
      <c r="H394" s="15">
        <v>-0.09376817</v>
      </c>
      <c r="I394" s="15">
        <v>0.01658012</v>
      </c>
      <c r="J394" s="15">
        <v>0.10948362</v>
      </c>
      <c r="K394" s="15">
        <v>892.61</v>
      </c>
    </row>
    <row r="395" ht="22.5" customHeight="1">
      <c r="A395" s="167">
        <v>46052.92077546296</v>
      </c>
      <c r="B395" s="144" t="s">
        <v>483</v>
      </c>
      <c r="C395" s="15">
        <v>7.69</v>
      </c>
      <c r="D395" s="15">
        <v>0.99</v>
      </c>
      <c r="E395" s="146">
        <v>0.63</v>
      </c>
      <c r="F395" s="15">
        <v>0.63</v>
      </c>
      <c r="G395" s="15">
        <v>0.48731184</v>
      </c>
      <c r="H395" s="15">
        <v>-0.0178376</v>
      </c>
      <c r="I395" s="15">
        <v>0.218378</v>
      </c>
      <c r="J395" s="15">
        <v>0.00743984</v>
      </c>
      <c r="K395" s="15">
        <v>43.77</v>
      </c>
    </row>
    <row r="396" ht="22.5" customHeight="1">
      <c r="A396" s="167">
        <v>46052.920798611114</v>
      </c>
      <c r="B396" s="144" t="s">
        <v>497</v>
      </c>
      <c r="C396" s="15">
        <v>30.83</v>
      </c>
      <c r="D396" s="15">
        <v>0.49</v>
      </c>
      <c r="E396" s="146">
        <v>0.25</v>
      </c>
      <c r="F396" s="15">
        <v>0.25</v>
      </c>
      <c r="G396" s="15">
        <v>-0.10778137</v>
      </c>
      <c r="H396" s="15">
        <v>-0.01651865</v>
      </c>
      <c r="I396" s="15">
        <v>0.05022676</v>
      </c>
      <c r="J396" s="15">
        <v>0.01509519</v>
      </c>
      <c r="K396" s="15">
        <v>17.97</v>
      </c>
    </row>
    <row r="397" ht="22.5" customHeight="1">
      <c r="A397" s="167">
        <v>46052.92082175926</v>
      </c>
      <c r="B397" s="144" t="s">
        <v>530</v>
      </c>
      <c r="C397" s="15">
        <v>87.9</v>
      </c>
      <c r="D397" s="15">
        <v>0.25</v>
      </c>
      <c r="E397" s="146">
        <v>0.22</v>
      </c>
      <c r="F397" s="15">
        <v>0.22</v>
      </c>
      <c r="G397" s="15">
        <v>0.10628522</v>
      </c>
      <c r="H397" s="15">
        <v>-0.02366726</v>
      </c>
      <c r="I397" s="15">
        <v>0.03545731</v>
      </c>
      <c r="J397" s="15">
        <v>0.03943317</v>
      </c>
      <c r="K397" s="15">
        <v>14.44</v>
      </c>
    </row>
    <row r="398" ht="22.5" customHeight="1">
      <c r="A398" s="167">
        <v>46052.92086805555</v>
      </c>
      <c r="B398" s="144" t="s">
        <v>510</v>
      </c>
      <c r="C398" s="15">
        <v>39.17</v>
      </c>
      <c r="D398" s="15">
        <v>0.26</v>
      </c>
      <c r="E398" s="146">
        <v>0.45</v>
      </c>
      <c r="F398" s="15">
        <v>0.45</v>
      </c>
      <c r="G398" s="15">
        <v>-0.23447323</v>
      </c>
      <c r="H398" s="15">
        <v>-0.01619307</v>
      </c>
      <c r="I398" s="15">
        <v>0.12394658</v>
      </c>
      <c r="J398" s="15">
        <v>0.02873052</v>
      </c>
      <c r="K398" s="15">
        <v>28.35</v>
      </c>
    </row>
    <row r="399" ht="22.5" customHeight="1">
      <c r="A399" s="167">
        <v>46052.920902777776</v>
      </c>
      <c r="B399" s="144" t="s">
        <v>498</v>
      </c>
      <c r="C399" s="15">
        <v>61.16</v>
      </c>
      <c r="D399" s="15">
        <v>0.14</v>
      </c>
      <c r="E399" s="146">
        <v>0.35</v>
      </c>
      <c r="F399" s="15">
        <v>0.35</v>
      </c>
      <c r="G399" s="15">
        <v>0.24561264</v>
      </c>
      <c r="H399" s="15">
        <v>-0.01702834</v>
      </c>
      <c r="I399" s="15">
        <v>0.15488565</v>
      </c>
      <c r="J399" s="15">
        <v>0.04855923</v>
      </c>
      <c r="K399" s="15">
        <v>24.58</v>
      </c>
    </row>
    <row r="400" ht="22.5" customHeight="1">
      <c r="A400" s="167">
        <v>46052.92092592592</v>
      </c>
      <c r="B400" s="144" t="s">
        <v>505</v>
      </c>
      <c r="C400" s="15">
        <v>70.91</v>
      </c>
      <c r="D400" s="15">
        <v>0.72</v>
      </c>
      <c r="E400" s="146">
        <v>0.95</v>
      </c>
      <c r="F400" s="15">
        <v>0.95</v>
      </c>
      <c r="G400" s="15">
        <v>-0.14174385</v>
      </c>
      <c r="H400" s="15">
        <v>-0.06423751</v>
      </c>
      <c r="I400" s="15">
        <v>0.01851259</v>
      </c>
      <c r="J400" s="15">
        <v>0.04096542</v>
      </c>
      <c r="K400" s="15">
        <v>81.96</v>
      </c>
    </row>
    <row r="401" ht="22.5" customHeight="1">
      <c r="A401" s="167">
        <v>46052.9209375</v>
      </c>
      <c r="B401" s="144" t="s">
        <v>506</v>
      </c>
      <c r="C401" s="15">
        <v>70.91</v>
      </c>
      <c r="D401" s="15">
        <v>0.71</v>
      </c>
      <c r="E401" s="146">
        <v>2.17</v>
      </c>
      <c r="F401" s="15">
        <v>2.17</v>
      </c>
      <c r="G401" s="15">
        <v>-0.2716528</v>
      </c>
      <c r="H401" s="15">
        <v>-0.09333248</v>
      </c>
      <c r="I401" s="15">
        <v>0.02758783</v>
      </c>
      <c r="J401" s="15">
        <v>0.05680948</v>
      </c>
      <c r="K401" s="15">
        <v>494.55</v>
      </c>
    </row>
    <row r="402" ht="22.5" customHeight="1">
      <c r="A402" s="167">
        <v>46052.92097222222</v>
      </c>
      <c r="B402" s="144" t="s">
        <v>480</v>
      </c>
      <c r="C402" s="15">
        <v>54.0</v>
      </c>
      <c r="D402" s="15">
        <v>0.46</v>
      </c>
      <c r="E402" s="146">
        <v>0.58</v>
      </c>
      <c r="F402" s="15">
        <v>0.58</v>
      </c>
      <c r="G402" s="15">
        <v>0.18905519</v>
      </c>
      <c r="H402" s="15">
        <v>-0.03958476</v>
      </c>
      <c r="I402" s="15">
        <v>0.04554017</v>
      </c>
      <c r="J402" s="15">
        <v>0.03702314</v>
      </c>
      <c r="K402" s="15">
        <v>3.02</v>
      </c>
    </row>
    <row r="403" ht="22.5" customHeight="1">
      <c r="A403" s="167">
        <v>46052.9209837963</v>
      </c>
      <c r="B403" s="144" t="s">
        <v>481</v>
      </c>
      <c r="C403" s="15">
        <v>54.0</v>
      </c>
      <c r="D403" s="15">
        <v>0.43</v>
      </c>
      <c r="E403" s="146">
        <v>0.2</v>
      </c>
      <c r="F403" s="15">
        <v>0.2</v>
      </c>
      <c r="G403" s="15">
        <v>0.07977882</v>
      </c>
      <c r="H403" s="15">
        <v>-0.02038118</v>
      </c>
      <c r="I403" s="15">
        <v>0.02636227</v>
      </c>
      <c r="J403" s="15">
        <v>0.01863695</v>
      </c>
      <c r="K403" s="15">
        <v>0.97</v>
      </c>
    </row>
    <row r="404" ht="22.5" customHeight="1">
      <c r="A404" s="167">
        <v>46052.92099537037</v>
      </c>
      <c r="B404" s="144" t="s">
        <v>482</v>
      </c>
      <c r="C404" s="15">
        <v>54.0</v>
      </c>
      <c r="D404" s="15">
        <v>0.7</v>
      </c>
      <c r="E404" s="146">
        <v>1.21</v>
      </c>
      <c r="F404" s="15">
        <v>1.21</v>
      </c>
      <c r="G404" s="15">
        <v>-0.21230119</v>
      </c>
      <c r="H404" s="15">
        <v>-0.0612476</v>
      </c>
      <c r="I404" s="15">
        <v>0.03219687</v>
      </c>
      <c r="J404" s="15">
        <v>0.03767715</v>
      </c>
      <c r="K404" s="15">
        <v>687.79</v>
      </c>
    </row>
    <row r="405" ht="22.5" customHeight="1">
      <c r="A405" s="167">
        <v>46052.9216087963</v>
      </c>
      <c r="B405" s="144" t="s">
        <v>529</v>
      </c>
      <c r="C405" s="15">
        <v>10.18</v>
      </c>
      <c r="D405" s="15">
        <v>0.78</v>
      </c>
      <c r="E405" s="146">
        <v>0.0</v>
      </c>
      <c r="F405" s="15">
        <v>0.0</v>
      </c>
      <c r="G405" s="15">
        <v>0.08193334</v>
      </c>
      <c r="H405" s="15">
        <v>-0.00695934</v>
      </c>
      <c r="I405" s="15">
        <v>0.07616687</v>
      </c>
      <c r="J405" s="15">
        <v>0.0039048</v>
      </c>
      <c r="K405" s="15">
        <v>2.86</v>
      </c>
    </row>
    <row r="406" ht="22.5" customHeight="1">
      <c r="A406" s="167">
        <v>46052.921631944446</v>
      </c>
      <c r="B406" s="144" t="s">
        <v>528</v>
      </c>
      <c r="C406" s="15">
        <v>88.06</v>
      </c>
      <c r="D406" s="15">
        <v>0.25</v>
      </c>
      <c r="E406" s="146">
        <v>0.1</v>
      </c>
      <c r="F406" s="15">
        <v>0.1</v>
      </c>
      <c r="G406" s="15">
        <v>-0.05152915</v>
      </c>
      <c r="H406" s="15">
        <v>-0.01362974</v>
      </c>
      <c r="I406" s="15">
        <v>0.01997724</v>
      </c>
      <c r="J406" s="15">
        <v>0.02500558</v>
      </c>
      <c r="K406" s="15">
        <v>8.99</v>
      </c>
    </row>
    <row r="407" ht="22.5" customHeight="1">
      <c r="A407" s="167">
        <v>46052.92165509259</v>
      </c>
      <c r="B407" s="144" t="s">
        <v>540</v>
      </c>
      <c r="C407" s="15">
        <v>75.44</v>
      </c>
      <c r="D407" s="15">
        <v>1.21</v>
      </c>
      <c r="E407" s="146">
        <v>1.14</v>
      </c>
      <c r="F407" s="15">
        <v>1.14</v>
      </c>
      <c r="G407" s="15">
        <v>-0.13477238</v>
      </c>
      <c r="H407" s="15">
        <v>-0.13841904</v>
      </c>
      <c r="I407" s="15">
        <v>0.01213704</v>
      </c>
      <c r="J407" s="15">
        <v>0.03468777</v>
      </c>
      <c r="K407" s="15">
        <v>863.34</v>
      </c>
    </row>
    <row r="408" ht="22.5" customHeight="1">
      <c r="A408" s="167">
        <v>46052.92166666667</v>
      </c>
      <c r="B408" s="144" t="s">
        <v>478</v>
      </c>
      <c r="C408" s="15">
        <v>693.75</v>
      </c>
      <c r="D408" s="15">
        <v>0.11</v>
      </c>
      <c r="E408" s="146">
        <v>0.95</v>
      </c>
      <c r="F408" s="15">
        <v>0.95</v>
      </c>
      <c r="G408" s="15">
        <v>0.12061575</v>
      </c>
      <c r="H408" s="15">
        <v>-0.01225012</v>
      </c>
      <c r="I408" s="15">
        <v>0.01137425</v>
      </c>
      <c r="J408" s="15">
        <v>0.35470317</v>
      </c>
      <c r="K408" s="15">
        <v>4.95</v>
      </c>
    </row>
    <row r="409" ht="22.5" customHeight="1">
      <c r="A409" s="167">
        <v>46052.92167824074</v>
      </c>
      <c r="B409" s="144" t="s">
        <v>541</v>
      </c>
      <c r="C409" s="15">
        <v>75.44</v>
      </c>
      <c r="D409" s="15">
        <v>1.42</v>
      </c>
      <c r="E409" s="146">
        <v>0.85</v>
      </c>
      <c r="F409" s="15">
        <v>0.85</v>
      </c>
      <c r="G409" s="15">
        <v>0.11568472</v>
      </c>
      <c r="H409" s="15">
        <v>-0.1478938</v>
      </c>
      <c r="I409" s="15">
        <v>0.00924422</v>
      </c>
      <c r="J409" s="15">
        <v>0.03054559</v>
      </c>
      <c r="K409" s="15">
        <v>187.26</v>
      </c>
    </row>
    <row r="410" ht="22.5" customHeight="1">
      <c r="A410" s="167">
        <v>46052.92170138889</v>
      </c>
      <c r="B410" s="144" t="s">
        <v>518</v>
      </c>
      <c r="C410" s="15">
        <v>10.8</v>
      </c>
      <c r="D410" s="15">
        <v>0.3</v>
      </c>
      <c r="E410" s="146">
        <v>0.1</v>
      </c>
      <c r="F410" s="15">
        <v>0.1</v>
      </c>
      <c r="G410" s="15">
        <v>0.21406044</v>
      </c>
      <c r="H410" s="15">
        <v>-0.00368033</v>
      </c>
      <c r="I410" s="15">
        <v>0.24916716</v>
      </c>
      <c r="J410" s="15">
        <v>0.01173318</v>
      </c>
      <c r="K410" s="15">
        <v>9.41</v>
      </c>
    </row>
    <row r="411" ht="22.5" customHeight="1">
      <c r="A411" s="167">
        <v>46052.92171296296</v>
      </c>
      <c r="B411" s="144" t="s">
        <v>522</v>
      </c>
      <c r="C411" s="15">
        <v>90.49</v>
      </c>
      <c r="D411" s="15">
        <v>0.26</v>
      </c>
      <c r="E411" s="146">
        <v>0.75</v>
      </c>
      <c r="F411" s="15">
        <v>0.75</v>
      </c>
      <c r="G411" s="15">
        <v>-0.2130769</v>
      </c>
      <c r="H411" s="15">
        <v>-0.03755525</v>
      </c>
      <c r="I411" s="15">
        <v>0.05124497</v>
      </c>
      <c r="J411" s="15">
        <v>0.0642898</v>
      </c>
      <c r="K411" s="15">
        <v>22.58</v>
      </c>
    </row>
    <row r="412" ht="22.5" customHeight="1">
      <c r="A412" s="167">
        <v>46055.9215625</v>
      </c>
      <c r="B412" s="144" t="s">
        <v>495</v>
      </c>
      <c r="C412" s="15">
        <v>270.88</v>
      </c>
      <c r="D412" s="15">
        <v>0.53</v>
      </c>
      <c r="E412" s="146">
        <v>4.75</v>
      </c>
      <c r="F412" s="15">
        <v>4.75</v>
      </c>
      <c r="G412" s="15">
        <v>-0.12514038</v>
      </c>
      <c r="H412" s="15">
        <v>-0.10227098</v>
      </c>
      <c r="I412" s="15">
        <v>0.00382772</v>
      </c>
      <c r="J412" s="15">
        <v>0.19683496</v>
      </c>
      <c r="K412" s="15">
        <v>406.61</v>
      </c>
    </row>
    <row r="413" ht="22.5" customHeight="1">
      <c r="A413" s="167">
        <v>46055.92157407408</v>
      </c>
      <c r="B413" s="144" t="s">
        <v>496</v>
      </c>
      <c r="C413" s="15">
        <v>270.88</v>
      </c>
      <c r="D413" s="15">
        <v>0.53</v>
      </c>
      <c r="E413" s="146">
        <v>6.7</v>
      </c>
      <c r="F413" s="15">
        <v>6.7</v>
      </c>
      <c r="G413" s="15">
        <v>-0.22565776</v>
      </c>
      <c r="H413" s="15">
        <v>-0.15980645</v>
      </c>
      <c r="I413" s="15">
        <v>0.00595083</v>
      </c>
      <c r="J413" s="15">
        <v>0.27679848</v>
      </c>
      <c r="K413" s="15">
        <v>1769.12</v>
      </c>
    </row>
    <row r="414" ht="22.5" customHeight="1">
      <c r="A414" s="167">
        <v>46055.92159722222</v>
      </c>
      <c r="B414" s="144" t="s">
        <v>543</v>
      </c>
      <c r="C414" s="15">
        <v>697.62</v>
      </c>
      <c r="D414" s="15">
        <v>0.2</v>
      </c>
      <c r="E414" s="146">
        <v>3.75</v>
      </c>
      <c r="F414" s="15">
        <v>3.75</v>
      </c>
      <c r="G414" s="15">
        <v>-0.14566606</v>
      </c>
      <c r="H414" s="15">
        <v>-0.11365693</v>
      </c>
      <c r="I414" s="15">
        <v>0.00453039</v>
      </c>
      <c r="J414" s="15">
        <v>0.56477856</v>
      </c>
      <c r="K414" s="15">
        <v>4813.75</v>
      </c>
    </row>
    <row r="415" ht="22.5" customHeight="1">
      <c r="A415" s="167">
        <v>46055.9216087963</v>
      </c>
      <c r="B415" s="144" t="s">
        <v>544</v>
      </c>
      <c r="C415" s="15">
        <v>697.62</v>
      </c>
      <c r="D415" s="15">
        <v>0.18</v>
      </c>
      <c r="E415" s="146">
        <v>5.95</v>
      </c>
      <c r="F415" s="15">
        <v>5.95</v>
      </c>
      <c r="G415" s="15">
        <v>-0.23448083</v>
      </c>
      <c r="H415" s="15">
        <v>-0.12703688</v>
      </c>
      <c r="I415" s="15">
        <v>0.00701335</v>
      </c>
      <c r="J415" s="15">
        <v>0.75819576</v>
      </c>
      <c r="K415" s="15">
        <v>5019.33</v>
      </c>
    </row>
    <row r="416" ht="22.5" customHeight="1">
      <c r="A416" s="167">
        <v>46055.92162037037</v>
      </c>
      <c r="B416" s="144" t="s">
        <v>476</v>
      </c>
      <c r="C416" s="15">
        <v>697.62</v>
      </c>
      <c r="D416" s="15">
        <v>0.18</v>
      </c>
      <c r="E416" s="146">
        <v>2.05</v>
      </c>
      <c r="F416" s="15">
        <v>2.05</v>
      </c>
      <c r="G416" s="15">
        <v>-0.14437067</v>
      </c>
      <c r="H416" s="15">
        <v>-0.16331024</v>
      </c>
      <c r="I416" s="15">
        <v>0.00820391</v>
      </c>
      <c r="J416" s="15">
        <v>0.35164827</v>
      </c>
      <c r="K416" s="15">
        <v>5114.06</v>
      </c>
    </row>
    <row r="417" ht="22.5" customHeight="1">
      <c r="A417" s="167">
        <v>46055.92165509259</v>
      </c>
      <c r="B417" s="144" t="s">
        <v>534</v>
      </c>
      <c r="C417" s="15">
        <v>706.41</v>
      </c>
      <c r="D417" s="15">
        <v>0.32</v>
      </c>
      <c r="E417" s="146">
        <v>0.85</v>
      </c>
      <c r="F417" s="15">
        <v>0.85</v>
      </c>
      <c r="G417" s="15">
        <v>0.02557097</v>
      </c>
      <c r="H417" s="15">
        <v>-0.0538972</v>
      </c>
      <c r="I417" s="15">
        <v>7.4437E-4</v>
      </c>
      <c r="J417" s="15">
        <v>0.15370959</v>
      </c>
      <c r="K417" s="15">
        <v>16.45</v>
      </c>
    </row>
    <row r="418" ht="22.5" customHeight="1">
      <c r="A418" s="167">
        <v>46055.92166666667</v>
      </c>
      <c r="B418" s="144" t="s">
        <v>535</v>
      </c>
      <c r="C418" s="15">
        <v>706.41</v>
      </c>
      <c r="D418" s="15">
        <v>0.33</v>
      </c>
      <c r="E418" s="146">
        <v>3.55</v>
      </c>
      <c r="F418" s="15">
        <v>3.55</v>
      </c>
      <c r="G418" s="15">
        <v>-0.09070176</v>
      </c>
      <c r="H418" s="15">
        <v>-0.14176177</v>
      </c>
      <c r="I418" s="15">
        <v>0.00196356</v>
      </c>
      <c r="J418" s="15">
        <v>0.39164224</v>
      </c>
      <c r="K418" s="15">
        <v>1662.22</v>
      </c>
    </row>
    <row r="419" ht="22.5" customHeight="1">
      <c r="A419" s="167">
        <v>46055.921689814815</v>
      </c>
      <c r="B419" s="144" t="s">
        <v>515</v>
      </c>
      <c r="C419" s="15">
        <v>15.03</v>
      </c>
      <c r="D419" s="15">
        <v>0.33</v>
      </c>
      <c r="E419" s="146">
        <v>0.16</v>
      </c>
      <c r="F419" s="15">
        <v>0.16</v>
      </c>
      <c r="G419" s="15">
        <v>0.16895132</v>
      </c>
      <c r="H419" s="15">
        <v>-0.00507196</v>
      </c>
      <c r="I419" s="15">
        <v>0.14464168</v>
      </c>
      <c r="J419" s="15">
        <v>0.01288415</v>
      </c>
      <c r="K419" s="15">
        <v>13.88</v>
      </c>
    </row>
    <row r="420" ht="22.5" customHeight="1">
      <c r="A420" s="167">
        <v>46055.92170138889</v>
      </c>
      <c r="B420" s="144" t="s">
        <v>517</v>
      </c>
      <c r="C420" s="15">
        <v>15.03</v>
      </c>
      <c r="D420" s="15">
        <v>0.44</v>
      </c>
      <c r="E420" s="146">
        <v>0.07</v>
      </c>
      <c r="F420" s="15">
        <v>0.07</v>
      </c>
      <c r="G420" s="15">
        <v>-0.06116425</v>
      </c>
      <c r="H420" s="15">
        <v>-0.0030174</v>
      </c>
      <c r="I420" s="15">
        <v>0.05141065</v>
      </c>
      <c r="J420" s="15">
        <v>0.00596449</v>
      </c>
      <c r="K420" s="15">
        <v>5.95</v>
      </c>
    </row>
    <row r="421" ht="22.5" customHeight="1">
      <c r="A421" s="167">
        <v>46055.92173611111</v>
      </c>
      <c r="B421" s="144" t="s">
        <v>536</v>
      </c>
      <c r="C421" s="15">
        <v>26.3</v>
      </c>
      <c r="D421" s="15">
        <v>0.21</v>
      </c>
      <c r="E421" s="146">
        <v>0.55</v>
      </c>
      <c r="F421" s="15">
        <v>0.55</v>
      </c>
      <c r="G421" s="15">
        <v>0.40625448</v>
      </c>
      <c r="H421" s="15">
        <v>-0.00941919</v>
      </c>
      <c r="I421" s="15">
        <v>0.19912325</v>
      </c>
      <c r="J421" s="15">
        <v>0.03679461</v>
      </c>
      <c r="K421" s="15">
        <v>43.38</v>
      </c>
    </row>
    <row r="422" ht="22.5" customHeight="1">
      <c r="A422" s="167">
        <v>46055.92177083333</v>
      </c>
      <c r="B422" s="144" t="s">
        <v>526</v>
      </c>
      <c r="C422" s="15">
        <v>225.01</v>
      </c>
      <c r="D422" s="15">
        <v>0.31</v>
      </c>
      <c r="E422" s="146">
        <v>4.83</v>
      </c>
      <c r="F422" s="15">
        <v>4.83</v>
      </c>
      <c r="G422" s="15">
        <v>0.31481133</v>
      </c>
      <c r="H422" s="15">
        <v>-0.10395729</v>
      </c>
      <c r="I422" s="15">
        <v>0.01437725</v>
      </c>
      <c r="J422" s="15">
        <v>0.29729812</v>
      </c>
      <c r="K422" s="15">
        <v>1627.46</v>
      </c>
    </row>
    <row r="423" ht="22.5" customHeight="1">
      <c r="A423" s="167">
        <v>46055.92178240741</v>
      </c>
      <c r="B423" s="144" t="s">
        <v>527</v>
      </c>
      <c r="C423" s="15">
        <v>225.01</v>
      </c>
      <c r="D423" s="15">
        <v>0.32</v>
      </c>
      <c r="E423" s="146">
        <v>2.7</v>
      </c>
      <c r="F423" s="15">
        <v>2.7</v>
      </c>
      <c r="G423" s="15">
        <v>0.2026023</v>
      </c>
      <c r="H423" s="15">
        <v>-0.08273902</v>
      </c>
      <c r="I423" s="15">
        <v>0.01116292</v>
      </c>
      <c r="J423" s="15">
        <v>0.23272031</v>
      </c>
      <c r="K423" s="15">
        <v>226.17</v>
      </c>
    </row>
    <row r="424" ht="22.5" customHeight="1">
      <c r="A424" s="167">
        <v>46055.921805555554</v>
      </c>
      <c r="B424" s="144" t="s">
        <v>511</v>
      </c>
      <c r="C424" s="15">
        <v>32.83</v>
      </c>
      <c r="D424" s="15">
        <v>0.4</v>
      </c>
      <c r="E424" s="146">
        <v>0.22</v>
      </c>
      <c r="F424" s="15">
        <v>0.22</v>
      </c>
      <c r="G424" s="15">
        <v>0.09357898</v>
      </c>
      <c r="H424" s="15">
        <v>-0.00883973</v>
      </c>
      <c r="I424" s="15">
        <v>0.03605046</v>
      </c>
      <c r="J424" s="15">
        <v>0.01960669</v>
      </c>
      <c r="K424" s="15">
        <v>13.72</v>
      </c>
    </row>
    <row r="425" ht="22.5" customHeight="1">
      <c r="A425" s="167">
        <v>46055.9218287037</v>
      </c>
      <c r="B425" s="144" t="s">
        <v>547</v>
      </c>
      <c r="C425" s="15">
        <v>32.45</v>
      </c>
      <c r="D425" s="15">
        <v>0.43</v>
      </c>
      <c r="E425" s="146">
        <v>0.2</v>
      </c>
      <c r="F425" s="15">
        <v>0.2</v>
      </c>
      <c r="G425" s="15">
        <v>0.09704334</v>
      </c>
      <c r="H425" s="15">
        <v>-0.00959518</v>
      </c>
      <c r="I425" s="15">
        <v>0.03500326</v>
      </c>
      <c r="J425" s="15">
        <v>0.02271957</v>
      </c>
      <c r="K425" s="15">
        <v>18.28</v>
      </c>
    </row>
    <row r="426" ht="22.5" customHeight="1">
      <c r="A426" s="167">
        <v>46055.921851851854</v>
      </c>
      <c r="B426" s="144" t="s">
        <v>523</v>
      </c>
      <c r="C426" s="15">
        <v>6007.51</v>
      </c>
      <c r="D426" s="15">
        <v>0.13</v>
      </c>
      <c r="E426" s="146">
        <v>23.8</v>
      </c>
      <c r="F426" s="15">
        <v>23.8</v>
      </c>
      <c r="G426" s="15">
        <v>0.1580719</v>
      </c>
      <c r="H426" s="15">
        <v>-0.771731</v>
      </c>
      <c r="I426" s="15">
        <v>8.6974E-4</v>
      </c>
      <c r="J426" s="15">
        <v>5.11549637</v>
      </c>
      <c r="K426" s="15">
        <v>9.08</v>
      </c>
    </row>
    <row r="427" ht="22.5" customHeight="1">
      <c r="A427" s="167">
        <v>46055.921875</v>
      </c>
      <c r="B427" s="144" t="s">
        <v>545</v>
      </c>
      <c r="C427" s="15">
        <v>427.13</v>
      </c>
      <c r="D427" s="15">
        <v>0.33</v>
      </c>
      <c r="E427" s="146">
        <v>3.35</v>
      </c>
      <c r="F427" s="15">
        <v>3.35</v>
      </c>
      <c r="G427" s="15">
        <v>-0.13098097</v>
      </c>
      <c r="H427" s="15">
        <v>-0.11021104</v>
      </c>
      <c r="I427" s="15">
        <v>0.00428507</v>
      </c>
      <c r="J427" s="15">
        <v>0.32378536</v>
      </c>
      <c r="K427" s="15">
        <v>13.58</v>
      </c>
    </row>
    <row r="428" ht="22.5" customHeight="1">
      <c r="A428" s="167">
        <v>46055.92190972222</v>
      </c>
      <c r="B428" s="144" t="s">
        <v>501</v>
      </c>
      <c r="C428" s="15">
        <v>262.18</v>
      </c>
      <c r="D428" s="15">
        <v>0.23</v>
      </c>
      <c r="E428" s="146">
        <v>1.16</v>
      </c>
      <c r="F428" s="15">
        <v>1.16</v>
      </c>
      <c r="G428" s="15">
        <v>-0.16198002</v>
      </c>
      <c r="H428" s="15">
        <v>-0.08663217</v>
      </c>
      <c r="I428" s="15">
        <v>0.01846311</v>
      </c>
      <c r="J428" s="15">
        <v>0.14620556</v>
      </c>
      <c r="K428" s="15">
        <v>1871.24</v>
      </c>
    </row>
    <row r="429" ht="22.5" customHeight="1">
      <c r="A429" s="167">
        <v>46055.92193287037</v>
      </c>
      <c r="B429" s="144" t="s">
        <v>548</v>
      </c>
      <c r="C429" s="15">
        <v>22.08</v>
      </c>
      <c r="D429" s="15">
        <v>0.59</v>
      </c>
      <c r="E429" s="146">
        <v>0.16</v>
      </c>
      <c r="F429" s="15">
        <v>0.16</v>
      </c>
      <c r="G429" s="15">
        <v>-0.11079187</v>
      </c>
      <c r="H429" s="15">
        <v>-0.0149641</v>
      </c>
      <c r="I429" s="15">
        <v>0.06544402</v>
      </c>
      <c r="J429" s="15">
        <v>0.00971864</v>
      </c>
      <c r="K429" s="15">
        <v>13.51</v>
      </c>
    </row>
    <row r="430" ht="22.5" customHeight="1">
      <c r="A430" s="167">
        <v>46055.921944444446</v>
      </c>
      <c r="B430" s="144" t="s">
        <v>524</v>
      </c>
      <c r="C430" s="15">
        <v>6007.51</v>
      </c>
      <c r="D430" s="15">
        <v>0.13</v>
      </c>
      <c r="E430" s="146">
        <v>29.3</v>
      </c>
      <c r="F430" s="15">
        <v>29.3</v>
      </c>
      <c r="G430" s="15">
        <v>0.18129164</v>
      </c>
      <c r="H430" s="15">
        <v>-0.84972974</v>
      </c>
      <c r="I430" s="15">
        <v>9.4374E-4</v>
      </c>
      <c r="J430" s="15">
        <v>5.58580319</v>
      </c>
      <c r="K430" s="15">
        <v>8.13</v>
      </c>
    </row>
    <row r="431" ht="22.5" customHeight="1">
      <c r="A431" s="167">
        <v>46055.921956018516</v>
      </c>
      <c r="B431" s="144" t="s">
        <v>525</v>
      </c>
      <c r="C431" s="15">
        <v>6007.51</v>
      </c>
      <c r="D431" s="15">
        <v>0.2</v>
      </c>
      <c r="E431" s="146">
        <v>39.2</v>
      </c>
      <c r="F431" s="15">
        <v>39.2</v>
      </c>
      <c r="G431" s="15">
        <v>-0.17003587</v>
      </c>
      <c r="H431" s="15">
        <v>-1.15231979</v>
      </c>
      <c r="I431" s="15">
        <v>5.8827E-4</v>
      </c>
      <c r="J431" s="15">
        <v>5.3634678</v>
      </c>
      <c r="K431" s="15">
        <v>3695.07</v>
      </c>
    </row>
    <row r="432" ht="22.5" customHeight="1">
      <c r="A432" s="167">
        <v>46055.92199074074</v>
      </c>
      <c r="B432" s="144" t="s">
        <v>508</v>
      </c>
      <c r="C432" s="15">
        <v>75.27</v>
      </c>
      <c r="D432" s="15">
        <v>0.35</v>
      </c>
      <c r="E432" s="146">
        <v>0.95</v>
      </c>
      <c r="F432" s="15">
        <v>0.95</v>
      </c>
      <c r="G432" s="15">
        <v>0.19038935</v>
      </c>
      <c r="H432" s="15">
        <v>-0.02955002</v>
      </c>
      <c r="I432" s="15">
        <v>0.02889587</v>
      </c>
      <c r="J432" s="15">
        <v>0.07821897</v>
      </c>
      <c r="K432" s="15">
        <v>68.84</v>
      </c>
    </row>
    <row r="433" ht="22.5" customHeight="1">
      <c r="A433" s="167">
        <v>46055.922002314815</v>
      </c>
      <c r="B433" s="144" t="s">
        <v>509</v>
      </c>
      <c r="C433" s="15">
        <v>75.27</v>
      </c>
      <c r="D433" s="15">
        <v>0.35</v>
      </c>
      <c r="E433" s="146">
        <v>2.0</v>
      </c>
      <c r="F433" s="15">
        <v>2.0</v>
      </c>
      <c r="G433" s="15">
        <v>0.34770434</v>
      </c>
      <c r="H433" s="15">
        <v>-0.04069233</v>
      </c>
      <c r="I433" s="15">
        <v>0.03929469</v>
      </c>
      <c r="J433" s="15">
        <v>0.09853373</v>
      </c>
      <c r="K433" s="15">
        <v>488.21</v>
      </c>
    </row>
    <row r="434" ht="22.5" customHeight="1">
      <c r="A434" s="167">
        <v>46055.92203703704</v>
      </c>
      <c r="B434" s="144" t="s">
        <v>531</v>
      </c>
      <c r="C434" s="15">
        <v>87.67</v>
      </c>
      <c r="D434" s="15">
        <v>0.39</v>
      </c>
      <c r="E434" s="146">
        <v>0.675</v>
      </c>
      <c r="F434" s="15">
        <v>0.675</v>
      </c>
      <c r="G434" s="15">
        <v>-0.14240283</v>
      </c>
      <c r="H434" s="15">
        <v>-0.02809845</v>
      </c>
      <c r="I434" s="15">
        <v>0.01889586</v>
      </c>
      <c r="J434" s="15">
        <v>0.0751719</v>
      </c>
      <c r="K434" s="15">
        <v>59.45</v>
      </c>
    </row>
    <row r="435" ht="22.5" customHeight="1">
      <c r="A435" s="167">
        <v>46055.92204861111</v>
      </c>
      <c r="B435" s="144" t="s">
        <v>532</v>
      </c>
      <c r="C435" s="15">
        <v>87.67</v>
      </c>
      <c r="D435" s="15">
        <v>0.36</v>
      </c>
      <c r="E435" s="146">
        <v>1.35</v>
      </c>
      <c r="F435" s="15">
        <v>1.35</v>
      </c>
      <c r="G435" s="15">
        <v>-0.20453449</v>
      </c>
      <c r="H435" s="15">
        <v>-0.03247358</v>
      </c>
      <c r="I435" s="15">
        <v>0.02566136</v>
      </c>
      <c r="J435" s="15">
        <v>0.09006217</v>
      </c>
      <c r="K435" s="15">
        <v>494.91</v>
      </c>
    </row>
    <row r="436" ht="22.5" customHeight="1">
      <c r="A436" s="167">
        <v>46055.92208333333</v>
      </c>
      <c r="B436" s="144" t="s">
        <v>533</v>
      </c>
      <c r="C436" s="15">
        <v>82.86</v>
      </c>
      <c r="D436" s="15">
        <v>0.18</v>
      </c>
      <c r="E436" s="146">
        <v>0.15</v>
      </c>
      <c r="F436" s="15">
        <v>0.15</v>
      </c>
      <c r="G436" s="15">
        <v>0.09882852</v>
      </c>
      <c r="H436" s="15">
        <v>-0.01704135</v>
      </c>
      <c r="I436" s="15">
        <v>0.05234826</v>
      </c>
      <c r="J436" s="15">
        <v>0.03449545</v>
      </c>
      <c r="K436" s="15">
        <v>9.85</v>
      </c>
    </row>
    <row r="437" ht="22.5" customHeight="1">
      <c r="A437" s="167">
        <v>46055.922106481485</v>
      </c>
      <c r="B437" s="144" t="s">
        <v>539</v>
      </c>
      <c r="C437" s="15">
        <v>174.03</v>
      </c>
      <c r="D437" s="15">
        <v>0.26</v>
      </c>
      <c r="E437" s="146">
        <v>0.27</v>
      </c>
      <c r="F437" s="15">
        <v>0.27</v>
      </c>
      <c r="G437" s="15">
        <v>0.06225308</v>
      </c>
      <c r="H437" s="15">
        <v>-0.03701233</v>
      </c>
      <c r="I437" s="15">
        <v>0.01269235</v>
      </c>
      <c r="J437" s="15">
        <v>0.04660085</v>
      </c>
      <c r="K437" s="15">
        <v>19.71</v>
      </c>
    </row>
    <row r="438" ht="22.5" customHeight="1">
      <c r="A438" s="167">
        <v>46055.92212962963</v>
      </c>
      <c r="B438" s="144" t="s">
        <v>500</v>
      </c>
      <c r="C438" s="15">
        <v>92.27</v>
      </c>
      <c r="D438" s="15">
        <v>0.3</v>
      </c>
      <c r="E438" s="146">
        <v>0.3</v>
      </c>
      <c r="F438" s="15">
        <v>0.3</v>
      </c>
      <c r="G438" s="15">
        <v>-0.10942037</v>
      </c>
      <c r="H438" s="15">
        <v>-0.03073607</v>
      </c>
      <c r="I438" s="15">
        <v>0.03087842</v>
      </c>
      <c r="J438" s="15">
        <v>0.04129228</v>
      </c>
      <c r="K438" s="15">
        <v>21.99</v>
      </c>
    </row>
    <row r="439" ht="22.5" customHeight="1">
      <c r="A439" s="167">
        <v>46055.92215277778</v>
      </c>
      <c r="B439" s="144" t="s">
        <v>512</v>
      </c>
      <c r="C439" s="15">
        <v>48.81</v>
      </c>
      <c r="D439" s="15">
        <v>0.64</v>
      </c>
      <c r="E439" s="146">
        <v>0.34</v>
      </c>
      <c r="F439" s="15">
        <v>0.34</v>
      </c>
      <c r="G439" s="15">
        <v>-0.0706156</v>
      </c>
      <c r="H439" s="15">
        <v>-0.01597661</v>
      </c>
      <c r="I439" s="15">
        <v>0.01218362</v>
      </c>
      <c r="J439" s="15">
        <v>0.02452278</v>
      </c>
      <c r="K439" s="15">
        <v>21.44</v>
      </c>
    </row>
    <row r="440" ht="22.5" customHeight="1">
      <c r="A440" s="167">
        <v>46055.922164351854</v>
      </c>
      <c r="B440" s="144" t="s">
        <v>477</v>
      </c>
      <c r="C440" s="15">
        <v>697.62</v>
      </c>
      <c r="D440" s="15">
        <v>0.09</v>
      </c>
      <c r="E440" s="146">
        <v>0.6</v>
      </c>
      <c r="F440" s="15">
        <v>0.6</v>
      </c>
      <c r="G440" s="15">
        <v>0.0762753</v>
      </c>
      <c r="H440" s="15">
        <v>-0.06443701</v>
      </c>
      <c r="I440" s="15">
        <v>0.00976729</v>
      </c>
      <c r="J440" s="15">
        <v>0.22192413</v>
      </c>
      <c r="K440" s="15">
        <v>1.51</v>
      </c>
    </row>
    <row r="441" ht="22.5" customHeight="1">
      <c r="A441" s="167">
        <v>46055.92217592592</v>
      </c>
      <c r="B441" s="144" t="s">
        <v>542</v>
      </c>
      <c r="C441" s="15">
        <v>697.62</v>
      </c>
      <c r="D441" s="15">
        <v>0.19</v>
      </c>
      <c r="E441" s="146">
        <v>6.76</v>
      </c>
      <c r="F441" s="15">
        <v>6.76</v>
      </c>
      <c r="G441" s="15">
        <v>-0.28630366</v>
      </c>
      <c r="H441" s="15">
        <v>-0.15337366</v>
      </c>
      <c r="I441" s="15">
        <v>0.0071218</v>
      </c>
      <c r="J441" s="15">
        <v>0.84069297</v>
      </c>
      <c r="K441" s="15">
        <v>5065.49</v>
      </c>
    </row>
    <row r="442" ht="22.5" customHeight="1">
      <c r="A442" s="167">
        <v>46055.9221875</v>
      </c>
      <c r="B442" s="144" t="s">
        <v>513</v>
      </c>
      <c r="C442" s="15">
        <v>48.81</v>
      </c>
      <c r="D442" s="15">
        <v>0.59</v>
      </c>
      <c r="E442" s="146">
        <v>3.73</v>
      </c>
      <c r="F442" s="15">
        <v>3.73</v>
      </c>
      <c r="G442" s="15">
        <v>0.5059956</v>
      </c>
      <c r="H442" s="15">
        <v>-0.04717651</v>
      </c>
      <c r="I442" s="15">
        <v>0.03883376</v>
      </c>
      <c r="J442" s="15">
        <v>0.06934339</v>
      </c>
      <c r="K442" s="15">
        <v>626.63</v>
      </c>
    </row>
    <row r="443" ht="22.5" customHeight="1">
      <c r="A443" s="167">
        <v>46055.92219907408</v>
      </c>
      <c r="B443" s="144" t="s">
        <v>514</v>
      </c>
      <c r="C443" s="15">
        <v>48.81</v>
      </c>
      <c r="D443" s="15">
        <v>0.62</v>
      </c>
      <c r="E443" s="146">
        <v>2.19</v>
      </c>
      <c r="F443" s="15">
        <v>2.19</v>
      </c>
      <c r="G443" s="15">
        <v>0.34088864</v>
      </c>
      <c r="H443" s="15">
        <v>-0.04462898</v>
      </c>
      <c r="I443" s="15">
        <v>0.03423883</v>
      </c>
      <c r="J443" s="15">
        <v>0.06510615</v>
      </c>
      <c r="K443" s="15">
        <v>180.82</v>
      </c>
    </row>
    <row r="444" ht="22.5" customHeight="1">
      <c r="A444" s="167">
        <v>46055.92223379629</v>
      </c>
      <c r="B444" s="144" t="s">
        <v>520</v>
      </c>
      <c r="C444" s="15">
        <v>12.59</v>
      </c>
      <c r="D444" s="15">
        <v>1.55</v>
      </c>
      <c r="E444" s="146">
        <v>0.25</v>
      </c>
      <c r="F444" s="15">
        <v>0.25</v>
      </c>
      <c r="G444" s="15">
        <v>0.09701106</v>
      </c>
      <c r="H444" s="15">
        <v>-0.01309331</v>
      </c>
      <c r="I444" s="15">
        <v>0.02476931</v>
      </c>
      <c r="J444" s="15">
        <v>0.00868092</v>
      </c>
      <c r="K444" s="15">
        <v>15.54</v>
      </c>
    </row>
    <row r="445" ht="22.5" customHeight="1">
      <c r="A445" s="167">
        <v>46055.92224537037</v>
      </c>
      <c r="B445" s="144" t="s">
        <v>521</v>
      </c>
      <c r="C445" s="15">
        <v>12.59</v>
      </c>
      <c r="D445" s="15">
        <v>1.41</v>
      </c>
      <c r="E445" s="146">
        <v>0.35</v>
      </c>
      <c r="F445" s="15">
        <v>0.35</v>
      </c>
      <c r="G445" s="15">
        <v>0.131404</v>
      </c>
      <c r="H445" s="15">
        <v>-0.01476728</v>
      </c>
      <c r="I445" s="15">
        <v>0.03396309</v>
      </c>
      <c r="J445" s="15">
        <v>0.01057056</v>
      </c>
      <c r="K445" s="15">
        <v>248.58</v>
      </c>
    </row>
    <row r="446" ht="22.5" customHeight="1">
      <c r="A446" s="167">
        <v>46055.922268518516</v>
      </c>
      <c r="B446" s="144" t="s">
        <v>537</v>
      </c>
      <c r="C446" s="15">
        <v>665.24</v>
      </c>
      <c r="D446" s="15">
        <v>1.42</v>
      </c>
      <c r="E446" s="146">
        <v>0.75</v>
      </c>
      <c r="F446" s="15">
        <v>0.75</v>
      </c>
      <c r="G446" s="15">
        <v>-0.00393872</v>
      </c>
      <c r="H446" s="15">
        <v>-0.04250567</v>
      </c>
      <c r="I446" s="15">
        <v>3.474E-5</v>
      </c>
      <c r="J446" s="15">
        <v>0.03384641</v>
      </c>
      <c r="K446" s="15">
        <v>6253.92</v>
      </c>
    </row>
    <row r="447" ht="22.5" customHeight="1">
      <c r="A447" s="167">
        <v>46055.92228009259</v>
      </c>
      <c r="B447" s="144" t="s">
        <v>546</v>
      </c>
      <c r="C447" s="15">
        <v>427.13</v>
      </c>
      <c r="D447" s="15">
        <v>0.36</v>
      </c>
      <c r="E447" s="146">
        <v>2.45</v>
      </c>
      <c r="F447" s="15">
        <v>2.45</v>
      </c>
      <c r="G447" s="15">
        <v>0.10435955</v>
      </c>
      <c r="H447" s="15">
        <v>-0.11349226</v>
      </c>
      <c r="I447" s="15">
        <v>0.00329264</v>
      </c>
      <c r="J447" s="15">
        <v>0.29809684</v>
      </c>
      <c r="K447" s="15">
        <v>23.95</v>
      </c>
    </row>
    <row r="448" ht="22.5" customHeight="1">
      <c r="A448" s="167">
        <v>46055.92229166667</v>
      </c>
      <c r="B448" s="144" t="s">
        <v>538</v>
      </c>
      <c r="C448" s="15">
        <v>665.24</v>
      </c>
      <c r="D448" s="15">
        <v>1.27</v>
      </c>
      <c r="E448" s="146">
        <v>3.1</v>
      </c>
      <c r="F448" s="15">
        <v>3.1</v>
      </c>
      <c r="G448" s="15">
        <v>-0.02211769</v>
      </c>
      <c r="H448" s="15">
        <v>-0.1706343</v>
      </c>
      <c r="I448" s="15">
        <v>1.7609E-4</v>
      </c>
      <c r="J448" s="15">
        <v>0.14145782</v>
      </c>
      <c r="K448" s="15">
        <v>1673.09</v>
      </c>
    </row>
    <row r="449" ht="22.5" customHeight="1">
      <c r="A449" s="167">
        <v>46055.922314814816</v>
      </c>
      <c r="B449" s="144" t="s">
        <v>484</v>
      </c>
      <c r="C449" s="15">
        <v>10.07</v>
      </c>
      <c r="D449" s="15">
        <v>1.37</v>
      </c>
      <c r="E449" s="146">
        <v>1.4</v>
      </c>
      <c r="F449" s="15">
        <v>1.33</v>
      </c>
      <c r="G449" s="15">
        <v>0.57210781</v>
      </c>
      <c r="H449" s="15">
        <v>-0.03414971</v>
      </c>
      <c r="I449" s="15">
        <v>0.12855453</v>
      </c>
      <c r="J449" s="15">
        <v>0.00875283</v>
      </c>
      <c r="K449" s="15">
        <v>97.54</v>
      </c>
    </row>
    <row r="450" ht="22.5" customHeight="1">
      <c r="A450" s="167">
        <v>46055.92234953704</v>
      </c>
      <c r="B450" s="144" t="s">
        <v>519</v>
      </c>
      <c r="C450" s="15">
        <v>72.44</v>
      </c>
      <c r="D450" s="15">
        <v>0.76</v>
      </c>
      <c r="E450" s="146">
        <v>10.25</v>
      </c>
      <c r="F450" s="15">
        <v>5.69</v>
      </c>
      <c r="G450" s="15">
        <v>-0.53378518</v>
      </c>
      <c r="H450" s="15">
        <v>-0.08062375</v>
      </c>
      <c r="I450" s="15">
        <v>0.02056456</v>
      </c>
      <c r="J450" s="15">
        <v>0.10034597</v>
      </c>
      <c r="K450" s="15">
        <v>952.46</v>
      </c>
    </row>
    <row r="451" ht="22.5" customHeight="1">
      <c r="A451" s="167">
        <v>46055.922372685185</v>
      </c>
      <c r="B451" s="144" t="s">
        <v>483</v>
      </c>
      <c r="C451" s="15">
        <v>7.79</v>
      </c>
      <c r="D451" s="15">
        <v>0.99</v>
      </c>
      <c r="E451" s="146">
        <v>0.61</v>
      </c>
      <c r="F451" s="15">
        <v>0.61</v>
      </c>
      <c r="G451" s="15">
        <v>0.49678688</v>
      </c>
      <c r="H451" s="15">
        <v>-0.01933988</v>
      </c>
      <c r="I451" s="15">
        <v>0.2343837</v>
      </c>
      <c r="J451" s="15">
        <v>0.00692892</v>
      </c>
      <c r="K451" s="15">
        <v>40.58</v>
      </c>
    </row>
    <row r="452" ht="22.5" customHeight="1">
      <c r="A452" s="167">
        <v>46055.92239583333</v>
      </c>
      <c r="B452" s="144" t="s">
        <v>497</v>
      </c>
      <c r="C452" s="15">
        <v>31.15</v>
      </c>
      <c r="D452" s="15">
        <v>0.51</v>
      </c>
      <c r="E452" s="146">
        <v>0.15</v>
      </c>
      <c r="F452" s="15">
        <v>0.15</v>
      </c>
      <c r="G452" s="15">
        <v>-0.11721039</v>
      </c>
      <c r="H452" s="15">
        <v>-0.01713324</v>
      </c>
      <c r="I452" s="15">
        <v>0.05405675</v>
      </c>
      <c r="J452" s="15">
        <v>0.01472899</v>
      </c>
      <c r="K452" s="15">
        <v>12.66</v>
      </c>
    </row>
    <row r="453" ht="22.5" customHeight="1">
      <c r="A453" s="167">
        <v>46055.922430555554</v>
      </c>
      <c r="B453" s="144" t="s">
        <v>530</v>
      </c>
      <c r="C453" s="15">
        <v>86.33</v>
      </c>
      <c r="D453" s="15">
        <v>0.26</v>
      </c>
      <c r="E453" s="146">
        <v>0.08</v>
      </c>
      <c r="F453" s="15">
        <v>0.08</v>
      </c>
      <c r="G453" s="15">
        <v>0.05283707</v>
      </c>
      <c r="H453" s="15">
        <v>-0.01523011</v>
      </c>
      <c r="I453" s="15">
        <v>0.02192974</v>
      </c>
      <c r="J453" s="15">
        <v>0.01990489</v>
      </c>
      <c r="K453" s="15">
        <v>5.86</v>
      </c>
    </row>
    <row r="454" ht="22.5" customHeight="1">
      <c r="A454" s="167">
        <v>46055.92246527778</v>
      </c>
      <c r="B454" s="144" t="s">
        <v>510</v>
      </c>
      <c r="C454" s="15">
        <v>39.23</v>
      </c>
      <c r="D454" s="15">
        <v>0.29</v>
      </c>
      <c r="E454" s="146">
        <v>0.325</v>
      </c>
      <c r="F454" s="15">
        <v>0.325</v>
      </c>
      <c r="G454" s="15">
        <v>-0.22976787</v>
      </c>
      <c r="H454" s="15">
        <v>-0.0169088</v>
      </c>
      <c r="I454" s="15">
        <v>0.12327889</v>
      </c>
      <c r="J454" s="15">
        <v>0.02807446</v>
      </c>
      <c r="K454" s="15">
        <v>23.93</v>
      </c>
    </row>
    <row r="455" ht="22.5" customHeight="1">
      <c r="A455" s="167">
        <v>46055.922488425924</v>
      </c>
      <c r="B455" s="144" t="s">
        <v>498</v>
      </c>
      <c r="C455" s="15">
        <v>60.53</v>
      </c>
      <c r="D455" s="15">
        <v>0.13</v>
      </c>
      <c r="E455" s="146">
        <v>0.15</v>
      </c>
      <c r="F455" s="15">
        <v>0.15</v>
      </c>
      <c r="G455" s="15">
        <v>0.16050068</v>
      </c>
      <c r="H455" s="15">
        <v>-0.01329433</v>
      </c>
      <c r="I455" s="15">
        <v>0.135749</v>
      </c>
      <c r="J455" s="15">
        <v>0.03180052</v>
      </c>
      <c r="K455" s="15">
        <v>16.18</v>
      </c>
    </row>
    <row r="456" ht="22.5" customHeight="1">
      <c r="A456" s="167">
        <v>46055.92252314815</v>
      </c>
      <c r="B456" s="144" t="s">
        <v>505</v>
      </c>
      <c r="C456" s="15">
        <v>69.59</v>
      </c>
      <c r="D456" s="15">
        <v>0.76</v>
      </c>
      <c r="E456" s="146">
        <v>1.15</v>
      </c>
      <c r="F456" s="15">
        <v>1.15</v>
      </c>
      <c r="G456" s="15">
        <v>-0.16608336</v>
      </c>
      <c r="H456" s="15">
        <v>-0.08064783</v>
      </c>
      <c r="I456" s="15">
        <v>0.02118079</v>
      </c>
      <c r="J456" s="15">
        <v>0.03769795</v>
      </c>
      <c r="K456" s="15">
        <v>89.97</v>
      </c>
    </row>
    <row r="457" ht="22.5" customHeight="1">
      <c r="A457" s="167">
        <v>46055.922534722224</v>
      </c>
      <c r="B457" s="144" t="s">
        <v>506</v>
      </c>
      <c r="C457" s="15">
        <v>69.59</v>
      </c>
      <c r="D457" s="15">
        <v>0.8</v>
      </c>
      <c r="E457" s="146">
        <v>2.53</v>
      </c>
      <c r="F457" s="15">
        <v>2.53</v>
      </c>
      <c r="G457" s="15">
        <v>-0.31467716</v>
      </c>
      <c r="H457" s="15">
        <v>-0.12053441</v>
      </c>
      <c r="I457" s="15">
        <v>0.02884399</v>
      </c>
      <c r="J457" s="15">
        <v>0.05657388</v>
      </c>
      <c r="K457" s="15">
        <v>507.84</v>
      </c>
    </row>
    <row r="458" ht="22.5" customHeight="1">
      <c r="A458" s="167">
        <v>46055.92255787037</v>
      </c>
      <c r="B458" s="144" t="s">
        <v>480</v>
      </c>
      <c r="C458" s="15">
        <v>55.1</v>
      </c>
      <c r="D458" s="15">
        <v>0.43</v>
      </c>
      <c r="E458" s="146">
        <v>0.58</v>
      </c>
      <c r="F458" s="15">
        <v>0.58</v>
      </c>
      <c r="G458" s="15">
        <v>0.20794515</v>
      </c>
      <c r="H458" s="15">
        <v>-0.04348754</v>
      </c>
      <c r="I458" s="15">
        <v>0.05420033</v>
      </c>
      <c r="J458" s="15">
        <v>0.03458606</v>
      </c>
      <c r="K458" s="15">
        <v>2.96</v>
      </c>
    </row>
    <row r="459" ht="22.5" customHeight="1">
      <c r="A459" s="167">
        <v>46055.92256944445</v>
      </c>
      <c r="B459" s="144" t="s">
        <v>481</v>
      </c>
      <c r="C459" s="15">
        <v>55.1</v>
      </c>
      <c r="D459" s="15">
        <v>0.4</v>
      </c>
      <c r="E459" s="146">
        <v>0.17</v>
      </c>
      <c r="F459" s="15">
        <v>0.17</v>
      </c>
      <c r="G459" s="15">
        <v>0.07693208</v>
      </c>
      <c r="H459" s="15">
        <v>-0.02027295</v>
      </c>
      <c r="I459" s="15">
        <v>0.02924693</v>
      </c>
      <c r="J459" s="15">
        <v>0.01744528</v>
      </c>
      <c r="K459" s="15">
        <v>0.56</v>
      </c>
    </row>
    <row r="460" ht="22.5" customHeight="1">
      <c r="A460" s="167">
        <v>46055.922581018516</v>
      </c>
      <c r="B460" s="144" t="s">
        <v>482</v>
      </c>
      <c r="C460" s="15">
        <v>55.1</v>
      </c>
      <c r="D460" s="15">
        <v>0.69</v>
      </c>
      <c r="E460" s="146">
        <v>0.78</v>
      </c>
      <c r="F460" s="15">
        <v>0.78</v>
      </c>
      <c r="G460" s="15">
        <v>-0.16128021</v>
      </c>
      <c r="H460" s="15">
        <v>-0.0566238</v>
      </c>
      <c r="I460" s="15">
        <v>0.02896997</v>
      </c>
      <c r="J460" s="15">
        <v>0.02998475</v>
      </c>
      <c r="K460" s="15">
        <v>707.91</v>
      </c>
    </row>
    <row r="461" ht="22.5" customHeight="1">
      <c r="A461" s="167">
        <v>46055.92319444445</v>
      </c>
      <c r="B461" s="144" t="s">
        <v>529</v>
      </c>
      <c r="C461" s="15">
        <v>10.04</v>
      </c>
      <c r="D461" s="15">
        <v>0.71</v>
      </c>
      <c r="E461" s="146">
        <v>0.0</v>
      </c>
      <c r="F461" s="15">
        <v>0.0</v>
      </c>
      <c r="G461" s="15">
        <v>0.05229521</v>
      </c>
      <c r="H461" s="15">
        <v>-0.00514815</v>
      </c>
      <c r="I461" s="15">
        <v>0.05647662</v>
      </c>
      <c r="J461" s="15">
        <v>0.00271979</v>
      </c>
      <c r="K461" s="15">
        <v>1.19</v>
      </c>
    </row>
    <row r="462" ht="22.5" customHeight="1">
      <c r="A462" s="167">
        <v>46055.92321759259</v>
      </c>
      <c r="B462" s="144" t="s">
        <v>528</v>
      </c>
      <c r="C462" s="15">
        <v>87.56</v>
      </c>
      <c r="D462" s="15">
        <v>0.24</v>
      </c>
      <c r="E462" s="146">
        <v>0.1</v>
      </c>
      <c r="F462" s="15">
        <v>0.1</v>
      </c>
      <c r="G462" s="15">
        <v>-0.04857613</v>
      </c>
      <c r="H462" s="15">
        <v>-0.01196238</v>
      </c>
      <c r="I462" s="15">
        <v>0.01917315</v>
      </c>
      <c r="J462" s="15">
        <v>0.02447748</v>
      </c>
      <c r="K462" s="15">
        <v>7.01</v>
      </c>
    </row>
    <row r="463" ht="22.5" customHeight="1">
      <c r="A463" s="167">
        <v>46055.92322916666</v>
      </c>
      <c r="B463" s="144" t="s">
        <v>478</v>
      </c>
      <c r="C463" s="15">
        <v>697.62</v>
      </c>
      <c r="D463" s="15">
        <v>0.1</v>
      </c>
      <c r="E463" s="146">
        <v>1.02</v>
      </c>
      <c r="F463" s="15">
        <v>1.02</v>
      </c>
      <c r="G463" s="15">
        <v>0.13594587</v>
      </c>
      <c r="H463" s="15">
        <v>0.02592168</v>
      </c>
      <c r="I463" s="15">
        <v>0.014306</v>
      </c>
      <c r="J463" s="15">
        <v>0.35773035</v>
      </c>
      <c r="K463" s="15">
        <v>3.97</v>
      </c>
    </row>
    <row r="464" ht="22.5" customHeight="1">
      <c r="A464" s="167">
        <v>46055.92325231482</v>
      </c>
      <c r="B464" s="144" t="s">
        <v>518</v>
      </c>
      <c r="C464" s="15">
        <v>10.94</v>
      </c>
      <c r="D464" s="15">
        <v>0.26</v>
      </c>
      <c r="E464" s="146">
        <v>0.13</v>
      </c>
      <c r="F464" s="15">
        <v>0.13</v>
      </c>
      <c r="G464" s="15">
        <v>0.19386147</v>
      </c>
      <c r="H464" s="15">
        <v>-0.00377373</v>
      </c>
      <c r="I464" s="15">
        <v>0.23359285</v>
      </c>
      <c r="J464" s="15">
        <v>0.01158365</v>
      </c>
      <c r="K464" s="15">
        <v>9.4</v>
      </c>
    </row>
    <row r="465" ht="22.5" customHeight="1">
      <c r="A465" s="167">
        <v>46056.9378125</v>
      </c>
      <c r="B465" s="144" t="s">
        <v>495</v>
      </c>
      <c r="C465" s="15">
        <v>268.45</v>
      </c>
      <c r="D465" s="15">
        <v>0.54</v>
      </c>
      <c r="E465" s="146">
        <v>6.0</v>
      </c>
      <c r="F465" s="15">
        <v>6.0</v>
      </c>
      <c r="G465" s="15">
        <v>-0.1631892</v>
      </c>
      <c r="H465" s="15">
        <v>-0.12814544</v>
      </c>
      <c r="I465" s="15">
        <v>0.00485547</v>
      </c>
      <c r="J465" s="15">
        <v>0.22939514</v>
      </c>
      <c r="K465" s="15">
        <v>440.08</v>
      </c>
    </row>
    <row r="466" ht="22.5" customHeight="1">
      <c r="A466" s="167">
        <v>46056.93782407408</v>
      </c>
      <c r="B466" s="144" t="s">
        <v>496</v>
      </c>
      <c r="C466" s="15">
        <v>268.45</v>
      </c>
      <c r="D466" s="15">
        <v>0.54</v>
      </c>
      <c r="E466" s="146">
        <v>8.7</v>
      </c>
      <c r="F466" s="15">
        <v>8.7</v>
      </c>
      <c r="G466" s="15">
        <v>-0.24084312</v>
      </c>
      <c r="H466" s="15">
        <v>-0.16928835</v>
      </c>
      <c r="I466" s="15">
        <v>0.00618891</v>
      </c>
      <c r="J466" s="15">
        <v>0.30725179</v>
      </c>
      <c r="K466" s="15">
        <v>1796.25</v>
      </c>
    </row>
    <row r="467" ht="22.5" customHeight="1">
      <c r="A467" s="167">
        <v>46056.93784722222</v>
      </c>
      <c r="B467" s="144" t="s">
        <v>543</v>
      </c>
      <c r="C467" s="15">
        <v>691.74</v>
      </c>
      <c r="D467" s="15">
        <v>0.21</v>
      </c>
      <c r="E467" s="146">
        <v>4.95</v>
      </c>
      <c r="F467" s="15">
        <v>4.95</v>
      </c>
      <c r="G467" s="15">
        <v>-0.17725662</v>
      </c>
      <c r="H467" s="15">
        <v>-0.13186949</v>
      </c>
      <c r="I467" s="15">
        <v>0.00513789</v>
      </c>
      <c r="J467" s="15">
        <v>0.62940716</v>
      </c>
      <c r="K467" s="15">
        <v>4788.2</v>
      </c>
    </row>
    <row r="468" ht="22.5" customHeight="1">
      <c r="A468" s="167">
        <v>46056.93787037037</v>
      </c>
      <c r="B468" s="144" t="s">
        <v>544</v>
      </c>
      <c r="C468" s="15">
        <v>691.74</v>
      </c>
      <c r="D468" s="15">
        <v>0.18</v>
      </c>
      <c r="E468" s="146">
        <v>7.0</v>
      </c>
      <c r="F468" s="15">
        <v>7.0</v>
      </c>
      <c r="G468" s="15">
        <v>-0.27933695</v>
      </c>
      <c r="H468" s="15">
        <v>-0.14002654</v>
      </c>
      <c r="I468" s="15">
        <v>0.00773255</v>
      </c>
      <c r="J468" s="15">
        <v>0.8143539</v>
      </c>
      <c r="K468" s="15">
        <v>5006.49</v>
      </c>
    </row>
    <row r="469" ht="22.5" customHeight="1">
      <c r="A469" s="167">
        <v>46056.937939814816</v>
      </c>
      <c r="B469" s="144" t="s">
        <v>476</v>
      </c>
      <c r="C469" s="15">
        <v>691.74</v>
      </c>
      <c r="D469" s="15">
        <v>0.2</v>
      </c>
      <c r="E469" s="146">
        <v>4.25</v>
      </c>
      <c r="F469" s="15">
        <v>4.25</v>
      </c>
      <c r="G469" s="15">
        <v>-0.21295104</v>
      </c>
      <c r="H469" s="15">
        <v>-0.23231396</v>
      </c>
      <c r="I469" s="15">
        <v>0.00997111</v>
      </c>
      <c r="J469" s="15">
        <v>0.43300331</v>
      </c>
      <c r="K469" s="15">
        <v>5098.86</v>
      </c>
    </row>
    <row r="470" ht="22.5" customHeight="1">
      <c r="A470" s="167">
        <v>46056.93796296296</v>
      </c>
      <c r="B470" s="144" t="s">
        <v>535</v>
      </c>
      <c r="C470" s="15">
        <v>691.7</v>
      </c>
      <c r="D470" s="15">
        <v>0.34</v>
      </c>
      <c r="E470" s="146">
        <v>5.55</v>
      </c>
      <c r="F470" s="15">
        <v>5.55</v>
      </c>
      <c r="G470" s="15">
        <v>-0.12609479</v>
      </c>
      <c r="H470" s="15">
        <v>-0.18137142</v>
      </c>
      <c r="I470" s="15">
        <v>0.00251379</v>
      </c>
      <c r="J470" s="15">
        <v>0.47500436</v>
      </c>
      <c r="K470" s="15">
        <v>1349.48</v>
      </c>
    </row>
    <row r="471" ht="22.5" customHeight="1">
      <c r="A471" s="167">
        <v>46056.93798611111</v>
      </c>
      <c r="B471" s="144" t="s">
        <v>515</v>
      </c>
      <c r="C471" s="15">
        <v>15.28</v>
      </c>
      <c r="D471" s="15">
        <v>0.37</v>
      </c>
      <c r="E471" s="146">
        <v>0.21</v>
      </c>
      <c r="F471" s="15">
        <v>0.21</v>
      </c>
      <c r="G471" s="15">
        <v>0.2330696</v>
      </c>
      <c r="H471" s="15">
        <v>-0.00710121</v>
      </c>
      <c r="I471" s="15">
        <v>0.15613636</v>
      </c>
      <c r="J471" s="15">
        <v>0.01547817</v>
      </c>
      <c r="K471" s="15">
        <v>18.79</v>
      </c>
    </row>
    <row r="472" ht="22.5" customHeight="1">
      <c r="A472" s="167">
        <v>46056.937997685185</v>
      </c>
      <c r="B472" s="144" t="s">
        <v>517</v>
      </c>
      <c r="C472" s="15">
        <v>15.28</v>
      </c>
      <c r="D472" s="15">
        <v>0.44</v>
      </c>
      <c r="E472" s="146">
        <v>0.05</v>
      </c>
      <c r="F472" s="15">
        <v>0.05</v>
      </c>
      <c r="G472" s="15">
        <v>-0.04783578</v>
      </c>
      <c r="H472" s="15">
        <v>-0.00254739</v>
      </c>
      <c r="I472" s="15">
        <v>0.04210722</v>
      </c>
      <c r="J472" s="15">
        <v>0.00581439</v>
      </c>
      <c r="K472" s="15">
        <v>4.25</v>
      </c>
    </row>
    <row r="473" ht="22.5" customHeight="1">
      <c r="A473" s="167">
        <v>46056.93803240741</v>
      </c>
      <c r="B473" s="144" t="s">
        <v>536</v>
      </c>
      <c r="C473" s="15">
        <v>26.83</v>
      </c>
      <c r="D473" s="15">
        <v>0.23</v>
      </c>
      <c r="E473" s="146">
        <v>0.86</v>
      </c>
      <c r="F473" s="15">
        <v>0.86</v>
      </c>
      <c r="G473" s="15">
        <v>0.50868595</v>
      </c>
      <c r="H473" s="15">
        <v>-0.01097714</v>
      </c>
      <c r="I473" s="15">
        <v>0.18672008</v>
      </c>
      <c r="J473" s="15">
        <v>0.03756528</v>
      </c>
      <c r="K473" s="15">
        <v>64.13</v>
      </c>
    </row>
    <row r="474" ht="22.5" customHeight="1">
      <c r="A474" s="167">
        <v>46056.938055555554</v>
      </c>
      <c r="B474" s="144" t="s">
        <v>526</v>
      </c>
      <c r="C474" s="15">
        <v>225.21</v>
      </c>
      <c r="D474" s="15">
        <v>0.32</v>
      </c>
      <c r="E474" s="146">
        <v>4.95</v>
      </c>
      <c r="F474" s="15">
        <v>4.95</v>
      </c>
      <c r="G474" s="15">
        <v>0.32183251</v>
      </c>
      <c r="H474" s="15">
        <v>-0.10888917</v>
      </c>
      <c r="I474" s="15">
        <v>0.01423238</v>
      </c>
      <c r="J474" s="15">
        <v>0.29364067</v>
      </c>
      <c r="K474" s="15">
        <v>1578.16</v>
      </c>
    </row>
    <row r="475" ht="22.5" customHeight="1">
      <c r="A475" s="167">
        <v>46056.9380787037</v>
      </c>
      <c r="B475" s="144" t="s">
        <v>527</v>
      </c>
      <c r="C475" s="15">
        <v>225.21</v>
      </c>
      <c r="D475" s="15">
        <v>0.34</v>
      </c>
      <c r="E475" s="146">
        <v>2.57</v>
      </c>
      <c r="F475" s="15">
        <v>2.57</v>
      </c>
      <c r="G475" s="15">
        <v>0.21886714</v>
      </c>
      <c r="H475" s="15">
        <v>-0.093066</v>
      </c>
      <c r="I475" s="15">
        <v>0.01108398</v>
      </c>
      <c r="J475" s="15">
        <v>0.22907361</v>
      </c>
      <c r="K475" s="15">
        <v>199.64</v>
      </c>
    </row>
    <row r="476" ht="22.5" customHeight="1">
      <c r="A476" s="167">
        <v>46056.938101851854</v>
      </c>
      <c r="B476" s="144" t="s">
        <v>511</v>
      </c>
      <c r="C476" s="15">
        <v>33.87</v>
      </c>
      <c r="D476" s="15">
        <v>0.39</v>
      </c>
      <c r="E476" s="146">
        <v>0.22</v>
      </c>
      <c r="F476" s="15">
        <v>0.22</v>
      </c>
      <c r="G476" s="15">
        <v>0.1237121</v>
      </c>
      <c r="H476" s="15">
        <v>-0.01088783</v>
      </c>
      <c r="I476" s="15">
        <v>0.04479557</v>
      </c>
      <c r="J476" s="15">
        <v>0.023014</v>
      </c>
      <c r="K476" s="15">
        <v>22.47</v>
      </c>
    </row>
    <row r="477" ht="22.5" customHeight="1">
      <c r="A477" s="167">
        <v>46056.93813657408</v>
      </c>
      <c r="B477" s="144" t="s">
        <v>552</v>
      </c>
      <c r="C477" s="15">
        <v>61.46</v>
      </c>
      <c r="D477" s="15">
        <v>0.16</v>
      </c>
      <c r="E477" s="146">
        <v>0.31</v>
      </c>
      <c r="F477" s="15">
        <v>0.31</v>
      </c>
      <c r="G477" s="15">
        <v>0.16604036</v>
      </c>
      <c r="H477" s="15">
        <v>-0.01061879</v>
      </c>
      <c r="I477" s="15">
        <v>0.07390754</v>
      </c>
      <c r="J477" s="15">
        <v>0.05286164</v>
      </c>
      <c r="K477" s="15">
        <v>25.66</v>
      </c>
    </row>
    <row r="478" ht="22.5" customHeight="1">
      <c r="A478" s="167">
        <v>46056.938159722224</v>
      </c>
      <c r="B478" s="144" t="s">
        <v>547</v>
      </c>
      <c r="C478" s="15">
        <v>31.94</v>
      </c>
      <c r="D478" s="15">
        <v>0.42</v>
      </c>
      <c r="E478" s="146">
        <v>0.18</v>
      </c>
      <c r="F478" s="15">
        <v>0.18</v>
      </c>
      <c r="G478" s="15">
        <v>0.07509839</v>
      </c>
      <c r="H478" s="15">
        <v>-0.00770916</v>
      </c>
      <c r="I478" s="15">
        <v>0.03000846</v>
      </c>
      <c r="J478" s="15">
        <v>0.01693424</v>
      </c>
      <c r="K478" s="15">
        <v>14.87</v>
      </c>
    </row>
    <row r="479" ht="22.5" customHeight="1">
      <c r="A479" s="167">
        <v>46056.93818287037</v>
      </c>
      <c r="B479" s="144" t="s">
        <v>523</v>
      </c>
      <c r="C479" s="15">
        <v>5995.35</v>
      </c>
      <c r="D479" s="15">
        <v>0.13</v>
      </c>
      <c r="E479" s="146">
        <v>20.5</v>
      </c>
      <c r="F479" s="15">
        <v>20.5</v>
      </c>
      <c r="G479" s="15">
        <v>0.15659409</v>
      </c>
      <c r="H479" s="15">
        <v>-0.79130395</v>
      </c>
      <c r="I479" s="15">
        <v>8.544E-4</v>
      </c>
      <c r="J479" s="15">
        <v>5.02293421</v>
      </c>
      <c r="K479" s="15">
        <v>8.09</v>
      </c>
    </row>
    <row r="480" ht="22.5" customHeight="1">
      <c r="A480" s="167">
        <v>46056.938206018516</v>
      </c>
      <c r="B480" s="144" t="s">
        <v>549</v>
      </c>
      <c r="C480" s="15">
        <v>454.29</v>
      </c>
      <c r="D480" s="15">
        <v>0.36</v>
      </c>
      <c r="E480" s="146">
        <v>5.88</v>
      </c>
      <c r="F480" s="15">
        <v>5.88</v>
      </c>
      <c r="G480" s="15">
        <v>-0.17373047</v>
      </c>
      <c r="H480" s="15">
        <v>-0.15572294</v>
      </c>
      <c r="I480" s="15">
        <v>0.00450712</v>
      </c>
      <c r="J480" s="15">
        <v>0.39130158</v>
      </c>
      <c r="K480" s="15">
        <v>58.01</v>
      </c>
    </row>
    <row r="481" ht="22.5" customHeight="1">
      <c r="A481" s="167">
        <v>46056.93824074074</v>
      </c>
      <c r="B481" s="144" t="s">
        <v>501</v>
      </c>
      <c r="C481" s="15">
        <v>262.78</v>
      </c>
      <c r="D481" s="15">
        <v>0.26</v>
      </c>
      <c r="E481" s="146">
        <v>1.29</v>
      </c>
      <c r="F481" s="15">
        <v>1.29</v>
      </c>
      <c r="G481" s="15">
        <v>-0.16475787</v>
      </c>
      <c r="H481" s="15">
        <v>-0.10158703</v>
      </c>
      <c r="I481" s="15">
        <v>0.01715587</v>
      </c>
      <c r="J481" s="15">
        <v>0.14292328</v>
      </c>
      <c r="K481" s="15">
        <v>1870.6</v>
      </c>
    </row>
    <row r="482" ht="22.5" customHeight="1">
      <c r="A482" s="167">
        <v>46056.938263888886</v>
      </c>
      <c r="B482" s="144" t="s">
        <v>548</v>
      </c>
      <c r="C482" s="15">
        <v>21.76</v>
      </c>
      <c r="D482" s="15">
        <v>0.63</v>
      </c>
      <c r="E482" s="146">
        <v>0.24</v>
      </c>
      <c r="F482" s="15">
        <v>0.24</v>
      </c>
      <c r="G482" s="15">
        <v>-0.13844135</v>
      </c>
      <c r="H482" s="15">
        <v>-0.01886302</v>
      </c>
      <c r="I482" s="15">
        <v>0.07587378</v>
      </c>
      <c r="J482" s="15">
        <v>0.01124066</v>
      </c>
      <c r="K482" s="15">
        <v>17.66</v>
      </c>
    </row>
    <row r="483" ht="22.5" customHeight="1">
      <c r="A483" s="167">
        <v>46056.93827546296</v>
      </c>
      <c r="B483" s="144" t="s">
        <v>524</v>
      </c>
      <c r="C483" s="15">
        <v>5995.35</v>
      </c>
      <c r="D483" s="15">
        <v>0.14</v>
      </c>
      <c r="E483" s="146">
        <v>26.1</v>
      </c>
      <c r="F483" s="15">
        <v>26.1</v>
      </c>
      <c r="G483" s="15">
        <v>0.18016857</v>
      </c>
      <c r="H483" s="15">
        <v>-0.87569236</v>
      </c>
      <c r="I483" s="15">
        <v>9.2644E-4</v>
      </c>
      <c r="J483" s="15">
        <v>5.49724392</v>
      </c>
      <c r="K483" s="15">
        <v>9.92</v>
      </c>
    </row>
    <row r="484" ht="22.5" customHeight="1">
      <c r="A484" s="167">
        <v>46056.93828703704</v>
      </c>
      <c r="B484" s="144" t="s">
        <v>525</v>
      </c>
      <c r="C484" s="15">
        <v>5995.35</v>
      </c>
      <c r="D484" s="15">
        <v>0.2</v>
      </c>
      <c r="E484" s="146">
        <v>41.7</v>
      </c>
      <c r="F484" s="15">
        <v>41.7</v>
      </c>
      <c r="G484" s="15">
        <v>-0.1695413</v>
      </c>
      <c r="H484" s="15">
        <v>-1.15765598</v>
      </c>
      <c r="I484" s="15">
        <v>5.9739E-4</v>
      </c>
      <c r="J484" s="15">
        <v>5.28914924</v>
      </c>
      <c r="K484" s="15">
        <v>3698.4</v>
      </c>
    </row>
    <row r="485" ht="22.5" customHeight="1">
      <c r="A485" s="167">
        <v>46056.93832175926</v>
      </c>
      <c r="B485" s="144" t="s">
        <v>508</v>
      </c>
      <c r="C485" s="15">
        <v>74.93</v>
      </c>
      <c r="D485" s="15">
        <v>0.38</v>
      </c>
      <c r="E485" s="146">
        <v>0.95</v>
      </c>
      <c r="F485" s="15">
        <v>0.95</v>
      </c>
      <c r="G485" s="15">
        <v>0.19510264</v>
      </c>
      <c r="H485" s="15">
        <v>-0.03189951</v>
      </c>
      <c r="I485" s="15">
        <v>0.02805442</v>
      </c>
      <c r="J485" s="15">
        <v>0.07695541</v>
      </c>
      <c r="K485" s="15">
        <v>64.73</v>
      </c>
    </row>
    <row r="486" ht="22.5" customHeight="1">
      <c r="A486" s="167">
        <v>46056.93833333333</v>
      </c>
      <c r="B486" s="144" t="s">
        <v>509</v>
      </c>
      <c r="C486" s="15">
        <v>74.93</v>
      </c>
      <c r="D486" s="15">
        <v>0.37</v>
      </c>
      <c r="E486" s="146">
        <v>2.03</v>
      </c>
      <c r="F486" s="15">
        <v>2.03</v>
      </c>
      <c r="G486" s="15">
        <v>0.3447719</v>
      </c>
      <c r="H486" s="15">
        <v>-0.0429743</v>
      </c>
      <c r="I486" s="15">
        <v>0.0376284</v>
      </c>
      <c r="J486" s="15">
        <v>0.09715724</v>
      </c>
      <c r="K486" s="15">
        <v>480.93</v>
      </c>
    </row>
    <row r="487" ht="22.5" customHeight="1">
      <c r="A487" s="167">
        <v>46056.93835648148</v>
      </c>
      <c r="B487" s="144" t="s">
        <v>531</v>
      </c>
      <c r="C487" s="15">
        <v>87.53</v>
      </c>
      <c r="D487" s="15">
        <v>0.39</v>
      </c>
      <c r="E487" s="146">
        <v>0.7</v>
      </c>
      <c r="F487" s="15">
        <v>0.7</v>
      </c>
      <c r="G487" s="15">
        <v>-0.10986273</v>
      </c>
      <c r="H487" s="15">
        <v>-0.02404741</v>
      </c>
      <c r="I487" s="15">
        <v>0.01571579</v>
      </c>
      <c r="J487" s="15">
        <v>0.05929918</v>
      </c>
      <c r="K487" s="15">
        <v>58.96</v>
      </c>
    </row>
    <row r="488" ht="22.5" customHeight="1">
      <c r="A488" s="167">
        <v>46056.938368055555</v>
      </c>
      <c r="B488" s="144" t="s">
        <v>532</v>
      </c>
      <c r="C488" s="15">
        <v>87.53</v>
      </c>
      <c r="D488" s="15">
        <v>0.36</v>
      </c>
      <c r="E488" s="146">
        <v>1.2</v>
      </c>
      <c r="F488" s="15">
        <v>1.2</v>
      </c>
      <c r="G488" s="15">
        <v>-0.20962258</v>
      </c>
      <c r="H488" s="15">
        <v>-0.03347066</v>
      </c>
      <c r="I488" s="15">
        <v>0.02621236</v>
      </c>
      <c r="J488" s="15">
        <v>0.08908442</v>
      </c>
      <c r="K488" s="15">
        <v>498.39</v>
      </c>
    </row>
    <row r="489" ht="22.5" customHeight="1">
      <c r="A489" s="167">
        <v>46056.93840277778</v>
      </c>
      <c r="B489" s="144" t="s">
        <v>533</v>
      </c>
      <c r="C489" s="15">
        <v>84.62</v>
      </c>
      <c r="D489" s="15">
        <v>0.2</v>
      </c>
      <c r="E489" s="146">
        <v>0.46</v>
      </c>
      <c r="F489" s="15">
        <v>0.46</v>
      </c>
      <c r="G489" s="15">
        <v>0.23456454</v>
      </c>
      <c r="H489" s="15">
        <v>-0.03477961</v>
      </c>
      <c r="I489" s="15">
        <v>0.08612361</v>
      </c>
      <c r="J489" s="15">
        <v>0.05996287</v>
      </c>
      <c r="K489" s="15">
        <v>32.17</v>
      </c>
    </row>
    <row r="490" ht="22.5" customHeight="1">
      <c r="A490" s="167">
        <v>46056.938425925924</v>
      </c>
      <c r="B490" s="144" t="s">
        <v>539</v>
      </c>
      <c r="C490" s="15">
        <v>178.04</v>
      </c>
      <c r="D490" s="15">
        <v>0.28</v>
      </c>
      <c r="E490" s="146">
        <v>0.73</v>
      </c>
      <c r="F490" s="15">
        <v>0.73</v>
      </c>
      <c r="G490" s="15">
        <v>0.13883314</v>
      </c>
      <c r="H490" s="15">
        <v>-0.0763832</v>
      </c>
      <c r="I490" s="15">
        <v>0.02165285</v>
      </c>
      <c r="J490" s="15">
        <v>0.08172139</v>
      </c>
      <c r="K490" s="15">
        <v>48.31</v>
      </c>
    </row>
    <row r="491" ht="22.5" customHeight="1">
      <c r="A491" s="167">
        <v>46056.93844907408</v>
      </c>
      <c r="B491" s="144" t="s">
        <v>500</v>
      </c>
      <c r="C491" s="15">
        <v>92.31</v>
      </c>
      <c r="D491" s="15">
        <v>0.33</v>
      </c>
      <c r="E491" s="146">
        <v>0.38</v>
      </c>
      <c r="F491" s="15">
        <v>0.38</v>
      </c>
      <c r="G491" s="15">
        <v>-0.1220394</v>
      </c>
      <c r="H491" s="15">
        <v>-0.0373001</v>
      </c>
      <c r="I491" s="15">
        <v>0.03146363</v>
      </c>
      <c r="J491" s="15">
        <v>0.04034028</v>
      </c>
      <c r="K491" s="15">
        <v>24.13</v>
      </c>
    </row>
    <row r="492" ht="22.5" customHeight="1">
      <c r="A492" s="167">
        <v>46056.93848379629</v>
      </c>
      <c r="B492" s="144" t="s">
        <v>512</v>
      </c>
      <c r="C492" s="15">
        <v>49.25</v>
      </c>
      <c r="D492" s="15">
        <v>0.66</v>
      </c>
      <c r="E492" s="146">
        <v>0.43</v>
      </c>
      <c r="F492" s="15">
        <v>0.43</v>
      </c>
      <c r="G492" s="15">
        <v>-0.06677301</v>
      </c>
      <c r="H492" s="15">
        <v>-0.01596957</v>
      </c>
      <c r="I492" s="15">
        <v>0.01147212</v>
      </c>
      <c r="J492" s="15">
        <v>0.02436232</v>
      </c>
      <c r="K492" s="15">
        <v>26.77</v>
      </c>
    </row>
    <row r="493" ht="22.5" customHeight="1">
      <c r="A493" s="167">
        <v>46056.93849537037</v>
      </c>
      <c r="B493" s="144" t="s">
        <v>477</v>
      </c>
      <c r="C493" s="15">
        <v>691.74</v>
      </c>
      <c r="D493" s="15">
        <v>0.1</v>
      </c>
      <c r="E493" s="146">
        <v>0.23</v>
      </c>
      <c r="F493" s="15">
        <v>0.23</v>
      </c>
      <c r="G493" s="15">
        <v>0.03466596</v>
      </c>
      <c r="H493" s="15">
        <v>-0.03640109</v>
      </c>
      <c r="I493" s="15">
        <v>0.00513324</v>
      </c>
      <c r="J493" s="15">
        <v>0.11422036</v>
      </c>
      <c r="K493" s="15">
        <v>0.98</v>
      </c>
    </row>
    <row r="494" ht="22.5" customHeight="1">
      <c r="A494" s="167">
        <v>46056.93850694445</v>
      </c>
      <c r="B494" s="144" t="s">
        <v>542</v>
      </c>
      <c r="C494" s="15">
        <v>691.74</v>
      </c>
      <c r="D494" s="15">
        <v>0.18</v>
      </c>
      <c r="E494" s="146">
        <v>9.65</v>
      </c>
      <c r="F494" s="15">
        <v>9.65</v>
      </c>
      <c r="G494" s="15">
        <v>-0.31890879</v>
      </c>
      <c r="H494" s="15">
        <v>-0.14344866</v>
      </c>
      <c r="I494" s="15">
        <v>0.00837935</v>
      </c>
      <c r="J494" s="15">
        <v>0.8646541</v>
      </c>
      <c r="K494" s="15">
        <v>5049.14</v>
      </c>
    </row>
    <row r="495" ht="22.5" customHeight="1">
      <c r="A495" s="167">
        <v>46056.93851851852</v>
      </c>
      <c r="B495" s="144" t="s">
        <v>513</v>
      </c>
      <c r="C495" s="15">
        <v>49.25</v>
      </c>
      <c r="D495" s="15">
        <v>0.63</v>
      </c>
      <c r="E495" s="146">
        <v>4.15</v>
      </c>
      <c r="F495" s="15">
        <v>4.15</v>
      </c>
      <c r="G495" s="15">
        <v>0.52613395</v>
      </c>
      <c r="H495" s="15">
        <v>-0.05118392</v>
      </c>
      <c r="I495" s="15">
        <v>0.03640045</v>
      </c>
      <c r="J495" s="15">
        <v>0.06875789</v>
      </c>
      <c r="K495" s="15">
        <v>648.41</v>
      </c>
    </row>
    <row r="496" ht="22.5" customHeight="1">
      <c r="A496" s="167">
        <v>46056.93853009259</v>
      </c>
      <c r="B496" s="144" t="s">
        <v>514</v>
      </c>
      <c r="C496" s="15">
        <v>49.25</v>
      </c>
      <c r="D496" s="15">
        <v>0.64</v>
      </c>
      <c r="E496" s="146">
        <v>2.43</v>
      </c>
      <c r="F496" s="15">
        <v>2.43</v>
      </c>
      <c r="G496" s="15">
        <v>0.36079763</v>
      </c>
      <c r="H496" s="15">
        <v>-0.0479863</v>
      </c>
      <c r="I496" s="15">
        <v>0.03386903</v>
      </c>
      <c r="J496" s="15">
        <v>0.06455069</v>
      </c>
      <c r="K496" s="15">
        <v>189.01</v>
      </c>
    </row>
    <row r="497" ht="22.5" customHeight="1">
      <c r="A497" s="167">
        <v>46056.93855324074</v>
      </c>
      <c r="B497" s="144" t="s">
        <v>520</v>
      </c>
      <c r="C497" s="15">
        <v>15.14</v>
      </c>
      <c r="D497" s="15">
        <v>1.45</v>
      </c>
      <c r="E497" s="146">
        <v>0.54</v>
      </c>
      <c r="F497" s="15">
        <v>0.54</v>
      </c>
      <c r="G497" s="15">
        <v>0.14076619</v>
      </c>
      <c r="H497" s="15">
        <v>-0.01941166</v>
      </c>
      <c r="I497" s="15">
        <v>0.02891383</v>
      </c>
      <c r="J497" s="15">
        <v>0.01254228</v>
      </c>
      <c r="K497" s="15">
        <v>42.23</v>
      </c>
    </row>
    <row r="498" ht="22.5" customHeight="1">
      <c r="A498" s="167">
        <v>46056.938576388886</v>
      </c>
      <c r="B498" s="144" t="s">
        <v>521</v>
      </c>
      <c r="C498" s="15">
        <v>15.14</v>
      </c>
      <c r="D498" s="15">
        <v>1.42</v>
      </c>
      <c r="E498" s="146">
        <v>0.85</v>
      </c>
      <c r="F498" s="15">
        <v>0.85</v>
      </c>
      <c r="G498" s="15">
        <v>0.22738206</v>
      </c>
      <c r="H498" s="15">
        <v>-0.02587947</v>
      </c>
      <c r="I498" s="15">
        <v>0.04004677</v>
      </c>
      <c r="J498" s="15">
        <v>0.01705489</v>
      </c>
      <c r="K498" s="15">
        <v>361.38</v>
      </c>
    </row>
    <row r="499" ht="22.5" customHeight="1">
      <c r="A499" s="167">
        <v>46056.93859953704</v>
      </c>
      <c r="B499" s="144" t="s">
        <v>537</v>
      </c>
      <c r="C499" s="15">
        <v>695.51</v>
      </c>
      <c r="D499" s="15">
        <v>1.5</v>
      </c>
      <c r="E499" s="146">
        <v>0.57</v>
      </c>
      <c r="F499" s="15">
        <v>0.57</v>
      </c>
      <c r="G499" s="15">
        <v>-0.00398428</v>
      </c>
      <c r="H499" s="15">
        <v>-0.04778477</v>
      </c>
      <c r="I499" s="15">
        <v>3.221E-5</v>
      </c>
      <c r="J499" s="15">
        <v>0.03417433</v>
      </c>
      <c r="K499" s="15">
        <v>5753.56</v>
      </c>
    </row>
    <row r="500" ht="22.5" customHeight="1">
      <c r="A500" s="167">
        <v>46056.93861111111</v>
      </c>
      <c r="B500" s="144" t="s">
        <v>546</v>
      </c>
      <c r="C500" s="15">
        <v>454.29</v>
      </c>
      <c r="D500" s="15">
        <v>0.37</v>
      </c>
      <c r="E500" s="146">
        <v>7.1</v>
      </c>
      <c r="F500" s="15">
        <v>7.1</v>
      </c>
      <c r="G500" s="15">
        <v>0.22583063</v>
      </c>
      <c r="H500" s="15">
        <v>-0.21164504</v>
      </c>
      <c r="I500" s="15">
        <v>0.00503302</v>
      </c>
      <c r="J500" s="15">
        <v>0.46319982</v>
      </c>
      <c r="K500" s="15">
        <v>560.25</v>
      </c>
    </row>
    <row r="501" ht="22.5" customHeight="1">
      <c r="A501" s="167">
        <v>46056.938622685186</v>
      </c>
      <c r="B501" s="144" t="s">
        <v>538</v>
      </c>
      <c r="C501" s="15">
        <v>695.51</v>
      </c>
      <c r="D501" s="15">
        <v>1.31</v>
      </c>
      <c r="E501" s="146">
        <v>3.03</v>
      </c>
      <c r="F501" s="15">
        <v>3.03</v>
      </c>
      <c r="G501" s="15">
        <v>-0.02176981</v>
      </c>
      <c r="H501" s="15">
        <v>-0.19391293</v>
      </c>
      <c r="I501" s="15">
        <v>1.7471E-4</v>
      </c>
      <c r="J501" s="15">
        <v>0.14146934</v>
      </c>
      <c r="K501" s="15">
        <v>1704.45</v>
      </c>
    </row>
    <row r="502" ht="22.5" customHeight="1">
      <c r="A502" s="167">
        <v>46056.93864583333</v>
      </c>
      <c r="B502" s="144" t="s">
        <v>484</v>
      </c>
      <c r="C502" s="15">
        <v>11.15</v>
      </c>
      <c r="D502" s="15">
        <v>1.86</v>
      </c>
      <c r="E502" s="146">
        <v>1.39</v>
      </c>
      <c r="F502" s="15">
        <v>0.24</v>
      </c>
      <c r="G502" s="15">
        <v>0.68253993</v>
      </c>
      <c r="H502" s="15">
        <v>-0.04756074</v>
      </c>
      <c r="I502" s="15">
        <v>0.08009686</v>
      </c>
      <c r="J502" s="15">
        <v>0.00850911</v>
      </c>
      <c r="K502" s="15">
        <v>155.6</v>
      </c>
    </row>
    <row r="503" ht="22.5" customHeight="1">
      <c r="A503" s="167">
        <v>46056.938680555555</v>
      </c>
      <c r="B503" s="144" t="s">
        <v>519</v>
      </c>
      <c r="C503" s="15">
        <v>76.96</v>
      </c>
      <c r="D503" s="15">
        <v>0.85</v>
      </c>
      <c r="E503" s="146">
        <v>8.85</v>
      </c>
      <c r="F503" s="15">
        <v>8.81</v>
      </c>
      <c r="G503" s="15">
        <v>-0.53312222</v>
      </c>
      <c r="H503" s="15">
        <v>-0.07912106</v>
      </c>
      <c r="I503" s="15">
        <v>0.02065284</v>
      </c>
      <c r="J503" s="15">
        <v>0.10042386</v>
      </c>
      <c r="K503" s="15">
        <v>914.04</v>
      </c>
    </row>
    <row r="504" ht="22.5" customHeight="1">
      <c r="A504" s="167">
        <v>46056.9387037037</v>
      </c>
      <c r="B504" s="144" t="s">
        <v>483</v>
      </c>
      <c r="C504" s="15">
        <v>7.74</v>
      </c>
      <c r="D504" s="15">
        <v>0.88</v>
      </c>
      <c r="E504" s="146">
        <v>0.49</v>
      </c>
      <c r="F504" s="15">
        <v>0.49</v>
      </c>
      <c r="G504" s="15">
        <v>0.47831452</v>
      </c>
      <c r="H504" s="15">
        <v>-0.01620335</v>
      </c>
      <c r="I504" s="15">
        <v>0.28609869</v>
      </c>
      <c r="J504" s="15">
        <v>0.0069478</v>
      </c>
      <c r="K504" s="15">
        <v>37.36</v>
      </c>
    </row>
    <row r="505" ht="22.5" customHeight="1">
      <c r="A505" s="167">
        <v>46056.938726851855</v>
      </c>
      <c r="B505" s="144" t="s">
        <v>497</v>
      </c>
      <c r="C505" s="15">
        <v>30.11</v>
      </c>
      <c r="D505" s="15">
        <v>0.5</v>
      </c>
      <c r="E505" s="146">
        <v>0.225</v>
      </c>
      <c r="F505" s="15">
        <v>0.225</v>
      </c>
      <c r="G505" s="15">
        <v>-0.088845</v>
      </c>
      <c r="H505" s="15">
        <v>-0.01502903</v>
      </c>
      <c r="I505" s="15">
        <v>0.04612874</v>
      </c>
      <c r="J505" s="15">
        <v>0.01077266</v>
      </c>
      <c r="K505" s="15">
        <v>21.63</v>
      </c>
    </row>
    <row r="506" ht="22.5" customHeight="1">
      <c r="A506" s="167">
        <v>46056.93876157407</v>
      </c>
      <c r="B506" s="144" t="s">
        <v>530</v>
      </c>
      <c r="C506" s="15">
        <v>88.82</v>
      </c>
      <c r="D506" s="15">
        <v>0.23</v>
      </c>
      <c r="E506" s="146">
        <v>0.22</v>
      </c>
      <c r="F506" s="15">
        <v>0.22</v>
      </c>
      <c r="G506" s="15">
        <v>0.04528298</v>
      </c>
      <c r="H506" s="15">
        <v>-0.01406497</v>
      </c>
      <c r="I506" s="15">
        <v>0.02031658</v>
      </c>
      <c r="J506" s="15">
        <v>0.02000811</v>
      </c>
      <c r="K506" s="15">
        <v>15.77</v>
      </c>
    </row>
    <row r="507" ht="22.5" customHeight="1">
      <c r="A507" s="167">
        <v>46056.938784722224</v>
      </c>
      <c r="B507" s="144" t="s">
        <v>505</v>
      </c>
      <c r="C507" s="15">
        <v>68.11</v>
      </c>
      <c r="D507" s="15">
        <v>0.79</v>
      </c>
      <c r="E507" s="146">
        <v>1.4</v>
      </c>
      <c r="F507" s="15">
        <v>1.4</v>
      </c>
      <c r="G507" s="15">
        <v>-0.17112778</v>
      </c>
      <c r="H507" s="15">
        <v>-0.08172591</v>
      </c>
      <c r="I507" s="15">
        <v>0.02113179</v>
      </c>
      <c r="J507" s="15">
        <v>0.03771786</v>
      </c>
      <c r="K507" s="15">
        <v>122.59</v>
      </c>
    </row>
    <row r="508" ht="22.5" customHeight="1">
      <c r="A508" s="167">
        <v>46056.938796296294</v>
      </c>
      <c r="B508" s="144" t="s">
        <v>506</v>
      </c>
      <c r="C508" s="15">
        <v>68.11</v>
      </c>
      <c r="D508" s="15">
        <v>0.76</v>
      </c>
      <c r="E508" s="146">
        <v>3.01</v>
      </c>
      <c r="F508" s="15">
        <v>3.01</v>
      </c>
      <c r="G508" s="15">
        <v>-0.35363304</v>
      </c>
      <c r="H508" s="15">
        <v>-0.12051785</v>
      </c>
      <c r="I508" s="15">
        <v>0.03325584</v>
      </c>
      <c r="J508" s="15">
        <v>0.05446275</v>
      </c>
      <c r="K508" s="15">
        <v>538.9</v>
      </c>
    </row>
    <row r="509" ht="22.5" customHeight="1">
      <c r="A509" s="167">
        <v>46056.938888888886</v>
      </c>
      <c r="B509" s="144" t="s">
        <v>480</v>
      </c>
      <c r="C509" s="15">
        <v>52.52</v>
      </c>
      <c r="D509" s="15">
        <v>0.46</v>
      </c>
      <c r="E509" s="146">
        <v>0.25</v>
      </c>
      <c r="F509" s="15">
        <v>0.25</v>
      </c>
      <c r="G509" s="15">
        <v>0.10208308</v>
      </c>
      <c r="H509" s="15">
        <v>-0.02805553</v>
      </c>
      <c r="I509" s="15">
        <v>0.03410216</v>
      </c>
      <c r="J509" s="15">
        <v>0.02122878</v>
      </c>
      <c r="K509" s="15">
        <v>1.01</v>
      </c>
    </row>
    <row r="510" ht="22.5" customHeight="1">
      <c r="A510" s="167">
        <v>46056.93890046296</v>
      </c>
      <c r="B510" s="144" t="s">
        <v>481</v>
      </c>
      <c r="C510" s="15">
        <v>52.52</v>
      </c>
      <c r="D510" s="15">
        <v>0.51</v>
      </c>
      <c r="E510" s="146">
        <v>0.08</v>
      </c>
      <c r="F510" s="15">
        <v>0.08</v>
      </c>
      <c r="G510" s="15">
        <v>0.08201876</v>
      </c>
      <c r="H510" s="15">
        <v>-0.02087959</v>
      </c>
      <c r="I510" s="15">
        <v>0.02983777</v>
      </c>
      <c r="J510" s="15">
        <v>0.01740511</v>
      </c>
      <c r="K510" s="15">
        <v>0.22</v>
      </c>
    </row>
    <row r="511" ht="22.5" customHeight="1">
      <c r="A511" s="167">
        <v>46056.93891203704</v>
      </c>
      <c r="B511" s="144" t="s">
        <v>482</v>
      </c>
      <c r="C511" s="15">
        <v>52.52</v>
      </c>
      <c r="D511" s="15">
        <v>0.72</v>
      </c>
      <c r="E511" s="146">
        <v>1.38</v>
      </c>
      <c r="F511" s="15">
        <v>1.38</v>
      </c>
      <c r="G511" s="15">
        <v>-0.25092535</v>
      </c>
      <c r="H511" s="15">
        <v>-0.07507925</v>
      </c>
      <c r="I511" s="15">
        <v>0.03946574</v>
      </c>
      <c r="J511" s="15">
        <v>0.03780359</v>
      </c>
      <c r="K511" s="15">
        <v>681.07</v>
      </c>
    </row>
    <row r="512" ht="22.5" customHeight="1">
      <c r="A512" s="167">
        <v>46056.93951388889</v>
      </c>
      <c r="B512" s="144" t="s">
        <v>529</v>
      </c>
      <c r="C512" s="15">
        <v>9.85</v>
      </c>
      <c r="D512" s="15">
        <v>0.96</v>
      </c>
      <c r="E512" s="146">
        <v>0.0</v>
      </c>
      <c r="F512" s="15">
        <v>0.0</v>
      </c>
      <c r="G512" s="15">
        <v>0.02137487</v>
      </c>
      <c r="H512" s="15">
        <v>-0.0023662</v>
      </c>
      <c r="I512" s="15">
        <v>0.03221836</v>
      </c>
      <c r="J512" s="15">
        <v>0.00116652</v>
      </c>
      <c r="K512" s="15">
        <v>0.59</v>
      </c>
    </row>
    <row r="513" ht="22.5" customHeight="1">
      <c r="A513" s="167">
        <v>46056.94012731482</v>
      </c>
      <c r="B513" s="144" t="s">
        <v>528</v>
      </c>
      <c r="C513" s="15">
        <v>88.63</v>
      </c>
      <c r="D513" s="15">
        <v>0.25</v>
      </c>
      <c r="E513" s="146">
        <v>0.0</v>
      </c>
      <c r="F513" s="15">
        <v>0.0</v>
      </c>
      <c r="G513" s="15">
        <v>-0.04248535</v>
      </c>
      <c r="H513" s="15">
        <v>-0.01080219</v>
      </c>
      <c r="I513" s="15">
        <v>0.01922568</v>
      </c>
      <c r="J513" s="15">
        <v>0.01742126</v>
      </c>
      <c r="K513" s="15">
        <v>4.79</v>
      </c>
    </row>
    <row r="514" ht="22.5" customHeight="1">
      <c r="A514" s="167">
        <v>46056.94013888889</v>
      </c>
      <c r="B514" s="144" t="s">
        <v>551</v>
      </c>
      <c r="C514" s="15">
        <v>691.7</v>
      </c>
      <c r="D514" s="15">
        <v>0.31</v>
      </c>
      <c r="E514" s="146">
        <v>1.41</v>
      </c>
      <c r="F514" s="15">
        <v>1.41</v>
      </c>
      <c r="G514" s="15">
        <v>0.06602816</v>
      </c>
      <c r="H514" s="15">
        <v>-0.09868975</v>
      </c>
      <c r="I514" s="15">
        <v>0.00174537</v>
      </c>
      <c r="J514" s="15">
        <v>0.37824528</v>
      </c>
      <c r="K514" s="15">
        <v>19.25</v>
      </c>
    </row>
    <row r="515" ht="22.5" customHeight="1">
      <c r="A515" s="167">
        <v>46056.940150462964</v>
      </c>
      <c r="B515" s="144" t="s">
        <v>478</v>
      </c>
      <c r="C515" s="15">
        <v>691.74</v>
      </c>
      <c r="D515" s="15">
        <v>0.11</v>
      </c>
      <c r="E515" s="146">
        <v>0.45</v>
      </c>
      <c r="F515" s="15">
        <v>0.45</v>
      </c>
      <c r="G515" s="15">
        <v>0.06982178</v>
      </c>
      <c r="H515" s="15">
        <v>-0.01583643</v>
      </c>
      <c r="I515" s="15">
        <v>0.00855063</v>
      </c>
      <c r="J515" s="15">
        <v>0.22014344</v>
      </c>
      <c r="K515" s="15">
        <v>1.88</v>
      </c>
    </row>
    <row r="516" ht="22.5" customHeight="1">
      <c r="A516" s="167">
        <v>46056.94017361111</v>
      </c>
      <c r="B516" s="144" t="s">
        <v>518</v>
      </c>
      <c r="C516" s="15">
        <v>11.11</v>
      </c>
      <c r="D516" s="15">
        <v>0.28</v>
      </c>
      <c r="E516" s="146">
        <v>0.15</v>
      </c>
      <c r="F516" s="15">
        <v>0.15</v>
      </c>
      <c r="G516" s="15">
        <v>0.18561672</v>
      </c>
      <c r="H516" s="15">
        <v>-0.00338641</v>
      </c>
      <c r="I516" s="15">
        <v>0.26180908</v>
      </c>
      <c r="J516" s="15">
        <v>0.01135826</v>
      </c>
      <c r="K516" s="15">
        <v>10.97</v>
      </c>
    </row>
    <row r="517" ht="22.5" customHeight="1">
      <c r="A517" s="167">
        <v>46056.940254629626</v>
      </c>
      <c r="B517" s="144" t="s">
        <v>550</v>
      </c>
      <c r="C517" s="15">
        <v>8.89</v>
      </c>
      <c r="D517" s="15">
        <v>0.39</v>
      </c>
      <c r="E517" s="146">
        <v>0.1</v>
      </c>
      <c r="F517" s="15">
        <v>0.1</v>
      </c>
      <c r="G517" s="15">
        <v>0.19794393</v>
      </c>
      <c r="H517" s="15">
        <v>-0.00390757</v>
      </c>
      <c r="I517" s="15">
        <v>0.2399065</v>
      </c>
      <c r="J517" s="15">
        <v>0.00916091</v>
      </c>
      <c r="K517" s="15">
        <v>11.49</v>
      </c>
    </row>
    <row r="518" ht="22.5" customHeight="1">
      <c r="A518" s="167">
        <v>46058.97555555555</v>
      </c>
      <c r="B518" s="144" t="s">
        <v>543</v>
      </c>
      <c r="C518" s="15">
        <v>680.0</v>
      </c>
      <c r="D518" s="15">
        <v>-1.0</v>
      </c>
      <c r="E518" s="146">
        <v>8.5</v>
      </c>
      <c r="F518" s="15">
        <v>8.5</v>
      </c>
      <c r="G518" s="15">
        <v>0.0</v>
      </c>
      <c r="H518" s="15">
        <v>-2.0</v>
      </c>
      <c r="I518" s="15">
        <v>0.0</v>
      </c>
      <c r="J518" s="15">
        <v>-2.0</v>
      </c>
      <c r="K518" s="15">
        <v>4522.46</v>
      </c>
    </row>
    <row r="519" ht="22.5" customHeight="1">
      <c r="A519" s="167">
        <v>46058.97574074074</v>
      </c>
      <c r="B519" s="144" t="s">
        <v>544</v>
      </c>
      <c r="C519" s="15">
        <v>680.0</v>
      </c>
      <c r="D519" s="15">
        <v>-1.0</v>
      </c>
      <c r="E519" s="146">
        <v>12.1</v>
      </c>
      <c r="F519" s="15">
        <v>12.1</v>
      </c>
      <c r="G519" s="15">
        <v>0.0</v>
      </c>
      <c r="H519" s="15">
        <v>-2.0</v>
      </c>
      <c r="I519" s="15">
        <v>0.0</v>
      </c>
      <c r="J519" s="15">
        <v>-2.0</v>
      </c>
      <c r="K519" s="15">
        <v>4811.51</v>
      </c>
    </row>
    <row r="520" ht="22.5" customHeight="1">
      <c r="A520" s="167">
        <v>46058.9759375</v>
      </c>
      <c r="B520" s="144" t="s">
        <v>556</v>
      </c>
      <c r="C520" s="15">
        <v>255.83</v>
      </c>
      <c r="D520" s="15">
        <v>-1.0</v>
      </c>
      <c r="E520" s="146">
        <v>3.03</v>
      </c>
      <c r="F520" s="15">
        <v>3.03</v>
      </c>
      <c r="G520" s="15">
        <v>0.0</v>
      </c>
      <c r="H520" s="15">
        <v>-2.0</v>
      </c>
      <c r="I520" s="15">
        <v>0.0</v>
      </c>
      <c r="J520" s="15">
        <v>-2.0</v>
      </c>
      <c r="K520" s="15">
        <v>19.21</v>
      </c>
    </row>
    <row r="521" ht="22.5" customHeight="1">
      <c r="A521" s="167">
        <v>46058.976122685184</v>
      </c>
      <c r="B521" s="144" t="s">
        <v>557</v>
      </c>
      <c r="C521" s="15">
        <v>255.83</v>
      </c>
      <c r="D521" s="15">
        <v>-1.0</v>
      </c>
      <c r="E521" s="146">
        <v>3.56</v>
      </c>
      <c r="F521" s="15">
        <v>3.56</v>
      </c>
      <c r="G521" s="15">
        <v>0.0</v>
      </c>
      <c r="H521" s="15">
        <v>-2.0</v>
      </c>
      <c r="I521" s="15">
        <v>0.0</v>
      </c>
      <c r="J521" s="15">
        <v>-2.0</v>
      </c>
      <c r="K521" s="15">
        <v>1584.63</v>
      </c>
    </row>
    <row r="522" ht="22.5" customHeight="1">
      <c r="A522" s="167">
        <v>46058.97630787037</v>
      </c>
      <c r="B522" s="144" t="s">
        <v>476</v>
      </c>
      <c r="C522" s="15">
        <v>680.0</v>
      </c>
      <c r="D522" s="15">
        <v>-1.0</v>
      </c>
      <c r="E522" s="146">
        <v>7.5</v>
      </c>
      <c r="F522" s="15">
        <v>7.5</v>
      </c>
      <c r="G522" s="15">
        <v>0.0</v>
      </c>
      <c r="H522" s="15">
        <v>-2.0</v>
      </c>
      <c r="I522" s="15">
        <v>0.0</v>
      </c>
      <c r="J522" s="15">
        <v>-2.0</v>
      </c>
      <c r="K522" s="15">
        <v>4953.15</v>
      </c>
    </row>
    <row r="523" ht="22.5" customHeight="1">
      <c r="A523" s="167">
        <v>46058.97634259259</v>
      </c>
      <c r="B523" s="144" t="s">
        <v>535</v>
      </c>
      <c r="C523" s="15">
        <v>670.21</v>
      </c>
      <c r="D523" s="15">
        <v>0.38</v>
      </c>
      <c r="E523" s="146">
        <v>10.55</v>
      </c>
      <c r="F523" s="15">
        <v>10.55</v>
      </c>
      <c r="G523" s="15">
        <v>-0.20546557</v>
      </c>
      <c r="H523" s="15">
        <v>-0.27052043</v>
      </c>
      <c r="I523" s="15">
        <v>0.00331296</v>
      </c>
      <c r="J523" s="15">
        <v>0.66470645</v>
      </c>
      <c r="K523" s="15">
        <v>2998.75</v>
      </c>
    </row>
    <row r="524" ht="22.5" customHeight="1">
      <c r="A524" s="167">
        <v>46058.97636574074</v>
      </c>
      <c r="B524" s="144" t="s">
        <v>515</v>
      </c>
      <c r="C524" s="15">
        <v>14.9</v>
      </c>
      <c r="D524" s="15">
        <v>0.37</v>
      </c>
      <c r="E524" s="146">
        <v>0.16</v>
      </c>
      <c r="F524" s="15">
        <v>0.16</v>
      </c>
      <c r="G524" s="15">
        <v>0.17667848</v>
      </c>
      <c r="H524" s="15">
        <v>-0.00608602</v>
      </c>
      <c r="I524" s="15">
        <v>0.13614956</v>
      </c>
      <c r="J524" s="15">
        <v>0.01229532</v>
      </c>
      <c r="K524" s="15">
        <v>13.09</v>
      </c>
    </row>
    <row r="525" ht="22.5" customHeight="1">
      <c r="A525" s="167">
        <v>46058.976377314815</v>
      </c>
      <c r="B525" s="144" t="s">
        <v>517</v>
      </c>
      <c r="C525" s="15">
        <v>14.9</v>
      </c>
      <c r="D525" s="15">
        <v>0.42</v>
      </c>
      <c r="E525" s="146">
        <v>0.05</v>
      </c>
      <c r="F525" s="15">
        <v>0.05</v>
      </c>
      <c r="G525" s="15">
        <v>-0.04427456</v>
      </c>
      <c r="H525" s="15">
        <v>-0.00236245</v>
      </c>
      <c r="I525" s="15">
        <v>0.04237605</v>
      </c>
      <c r="J525" s="15">
        <v>0.00571378</v>
      </c>
      <c r="K525" s="15">
        <v>4.26</v>
      </c>
    </row>
    <row r="526" ht="22.5" customHeight="1">
      <c r="A526" s="167">
        <v>46058.97641203704</v>
      </c>
      <c r="B526" s="144" t="s">
        <v>536</v>
      </c>
      <c r="C526" s="15">
        <v>27.31</v>
      </c>
      <c r="D526" s="15">
        <v>0.23</v>
      </c>
      <c r="E526" s="146">
        <v>1.04</v>
      </c>
      <c r="F526" s="15">
        <v>0.73</v>
      </c>
      <c r="G526" s="15">
        <v>0.59229046</v>
      </c>
      <c r="H526" s="15">
        <v>-0.01163634</v>
      </c>
      <c r="I526" s="15">
        <v>0.1779147</v>
      </c>
      <c r="J526" s="15">
        <v>0.03656457</v>
      </c>
      <c r="K526" s="15">
        <v>92.62</v>
      </c>
    </row>
    <row r="527" ht="22.5" customHeight="1">
      <c r="A527" s="167">
        <v>46058.976435185185</v>
      </c>
      <c r="B527" s="144" t="s">
        <v>526</v>
      </c>
      <c r="C527" s="15">
        <v>223.98</v>
      </c>
      <c r="D527" s="15">
        <v>0.35</v>
      </c>
      <c r="E527" s="146">
        <v>5.0</v>
      </c>
      <c r="F527" s="15">
        <v>5.0</v>
      </c>
      <c r="G527" s="15">
        <v>0.31530417</v>
      </c>
      <c r="H527" s="15">
        <v>-0.11919073</v>
      </c>
      <c r="I527" s="15">
        <v>0.01330492</v>
      </c>
      <c r="J527" s="15">
        <v>0.2854773</v>
      </c>
      <c r="K527" s="15">
        <v>1649.27</v>
      </c>
    </row>
    <row r="528" ht="22.5" customHeight="1">
      <c r="A528" s="167">
        <v>46058.97644675926</v>
      </c>
      <c r="B528" s="144" t="s">
        <v>527</v>
      </c>
      <c r="C528" s="15">
        <v>223.98</v>
      </c>
      <c r="D528" s="15">
        <v>0.36</v>
      </c>
      <c r="E528" s="146">
        <v>3.1</v>
      </c>
      <c r="F528" s="15">
        <v>3.1</v>
      </c>
      <c r="G528" s="15">
        <v>0.21366651</v>
      </c>
      <c r="H528" s="15">
        <v>-0.09888086</v>
      </c>
      <c r="I528" s="15">
        <v>0.01056457</v>
      </c>
      <c r="J528" s="15">
        <v>0.22262013</v>
      </c>
      <c r="K528" s="15">
        <v>226.13</v>
      </c>
    </row>
    <row r="529" ht="22.5" customHeight="1">
      <c r="A529" s="167">
        <v>46058.976481481484</v>
      </c>
      <c r="B529" s="144" t="s">
        <v>511</v>
      </c>
      <c r="C529" s="15">
        <v>33.84</v>
      </c>
      <c r="D529" s="15">
        <v>0.39</v>
      </c>
      <c r="E529" s="146">
        <v>0.29</v>
      </c>
      <c r="F529" s="15">
        <v>0.29</v>
      </c>
      <c r="G529" s="15">
        <v>0.11713941</v>
      </c>
      <c r="H529" s="15">
        <v>-0.01073106</v>
      </c>
      <c r="I529" s="15">
        <v>0.04389136</v>
      </c>
      <c r="J529" s="15">
        <v>0.0224613</v>
      </c>
      <c r="K529" s="15">
        <v>20.98</v>
      </c>
    </row>
    <row r="530" ht="22.5" customHeight="1">
      <c r="A530" s="167">
        <v>46058.97650462963</v>
      </c>
      <c r="B530" s="144" t="s">
        <v>552</v>
      </c>
      <c r="C530" s="15">
        <v>63.36</v>
      </c>
      <c r="D530" s="15">
        <v>0.18</v>
      </c>
      <c r="E530" s="146">
        <v>0.88</v>
      </c>
      <c r="F530" s="15">
        <v>0.88</v>
      </c>
      <c r="G530" s="15">
        <v>0.35873047</v>
      </c>
      <c r="H530" s="15">
        <v>-0.02003861</v>
      </c>
      <c r="I530" s="15">
        <v>0.09593359</v>
      </c>
      <c r="J530" s="15">
        <v>0.07981919</v>
      </c>
      <c r="K530" s="15">
        <v>62.63</v>
      </c>
    </row>
    <row r="531" ht="22.5" customHeight="1">
      <c r="A531" s="167">
        <v>46058.976539351854</v>
      </c>
      <c r="B531" s="144" t="s">
        <v>547</v>
      </c>
      <c r="C531" s="15">
        <v>31.45</v>
      </c>
      <c r="D531" s="15">
        <v>0.44</v>
      </c>
      <c r="E531" s="146">
        <v>0.15</v>
      </c>
      <c r="F531" s="15">
        <v>0.15</v>
      </c>
      <c r="G531" s="15">
        <v>0.06252494</v>
      </c>
      <c r="H531" s="15">
        <v>-0.00696377</v>
      </c>
      <c r="I531" s="15">
        <v>0.02623727</v>
      </c>
      <c r="J531" s="15">
        <v>0.01209167</v>
      </c>
      <c r="K531" s="15">
        <v>12.72</v>
      </c>
    </row>
    <row r="532" ht="22.5" customHeight="1">
      <c r="A532" s="167">
        <v>46058.9765625</v>
      </c>
      <c r="B532" s="144" t="s">
        <v>523</v>
      </c>
      <c r="C532" s="15">
        <v>5925.7</v>
      </c>
      <c r="D532" s="15">
        <v>0.14</v>
      </c>
      <c r="E532" s="146">
        <v>13.8</v>
      </c>
      <c r="F532" s="15">
        <v>13.8</v>
      </c>
      <c r="G532" s="15">
        <v>0.1053037</v>
      </c>
      <c r="H532" s="15">
        <v>-0.62451699</v>
      </c>
      <c r="I532" s="15">
        <v>6.502E-4</v>
      </c>
      <c r="J532" s="15">
        <v>3.68254738</v>
      </c>
      <c r="K532" s="15">
        <v>8.19</v>
      </c>
    </row>
    <row r="533" ht="22.5" customHeight="1">
      <c r="A533" s="167">
        <v>46058.97675925926</v>
      </c>
      <c r="B533" s="144" t="s">
        <v>549</v>
      </c>
      <c r="C533" s="15">
        <v>441.88</v>
      </c>
      <c r="D533" s="15">
        <v>-1.0</v>
      </c>
      <c r="E533" s="146">
        <v>6.2</v>
      </c>
      <c r="F533" s="15">
        <v>6.2</v>
      </c>
      <c r="G533" s="15" t="s">
        <v>688</v>
      </c>
      <c r="H533" s="15">
        <v>-2.0</v>
      </c>
      <c r="I533" s="15" t="s">
        <v>688</v>
      </c>
      <c r="J533" s="15">
        <v>-2.0</v>
      </c>
      <c r="K533" s="15">
        <v>586.92</v>
      </c>
    </row>
    <row r="534" ht="22.5" customHeight="1">
      <c r="A534" s="167">
        <v>46058.97694444445</v>
      </c>
      <c r="B534" s="144" t="s">
        <v>501</v>
      </c>
      <c r="C534" s="15">
        <v>255.83</v>
      </c>
      <c r="D534" s="15">
        <v>-1.0</v>
      </c>
      <c r="E534" s="146">
        <v>3.18</v>
      </c>
      <c r="F534" s="15">
        <v>3.18</v>
      </c>
      <c r="G534" s="15" t="s">
        <v>688</v>
      </c>
      <c r="H534" s="15">
        <v>-2.0</v>
      </c>
      <c r="I534" s="15" t="s">
        <v>688</v>
      </c>
      <c r="J534" s="15">
        <v>-2.0</v>
      </c>
      <c r="K534" s="15">
        <v>1793.73</v>
      </c>
    </row>
    <row r="535" ht="22.5" customHeight="1">
      <c r="A535" s="167">
        <v>46058.97697916667</v>
      </c>
      <c r="B535" s="144" t="s">
        <v>548</v>
      </c>
      <c r="C535" s="15">
        <v>19.46</v>
      </c>
      <c r="D535" s="15">
        <v>0.69</v>
      </c>
      <c r="E535" s="146">
        <v>0.85</v>
      </c>
      <c r="F535" s="15">
        <v>0.85</v>
      </c>
      <c r="G535" s="15">
        <v>-0.23819407</v>
      </c>
      <c r="H535" s="15">
        <v>-0.02668244</v>
      </c>
      <c r="I535" s="15">
        <v>0.10767032</v>
      </c>
      <c r="J535" s="15">
        <v>0.01287722</v>
      </c>
      <c r="K535" s="15">
        <v>95.92</v>
      </c>
    </row>
    <row r="536" ht="22.5" customHeight="1">
      <c r="A536" s="167">
        <v>46058.97699074074</v>
      </c>
      <c r="B536" s="144" t="s">
        <v>524</v>
      </c>
      <c r="C536" s="15">
        <v>5925.7</v>
      </c>
      <c r="D536" s="15">
        <v>0.14</v>
      </c>
      <c r="E536" s="146">
        <v>17.25</v>
      </c>
      <c r="F536" s="15">
        <v>17.25</v>
      </c>
      <c r="G536" s="15">
        <v>0.18706541</v>
      </c>
      <c r="H536" s="15">
        <v>-0.9791233</v>
      </c>
      <c r="I536" s="15">
        <v>9.4843E-4</v>
      </c>
      <c r="J536" s="15">
        <v>5.7477498</v>
      </c>
      <c r="K536" s="15">
        <v>9.51</v>
      </c>
    </row>
    <row r="537" ht="22.5" customHeight="1">
      <c r="A537" s="167">
        <v>46058.977002314816</v>
      </c>
      <c r="B537" s="144" t="s">
        <v>525</v>
      </c>
      <c r="C537" s="15">
        <v>5925.7</v>
      </c>
      <c r="D537" s="15">
        <v>0.22</v>
      </c>
      <c r="E537" s="146">
        <v>67.4</v>
      </c>
      <c r="F537" s="15">
        <v>67.4</v>
      </c>
      <c r="G537" s="15">
        <v>-0.17019659</v>
      </c>
      <c r="H537" s="15">
        <v>-1.19209305</v>
      </c>
      <c r="I537" s="15">
        <v>5.8586E-4</v>
      </c>
      <c r="J537" s="15">
        <v>5.36580287</v>
      </c>
      <c r="K537" s="15">
        <v>3756.83</v>
      </c>
    </row>
    <row r="538" ht="22.5" customHeight="1">
      <c r="A538" s="167">
        <v>46058.97702546296</v>
      </c>
      <c r="B538" s="144" t="s">
        <v>531</v>
      </c>
      <c r="C538" s="15">
        <v>88.91</v>
      </c>
      <c r="D538" s="15">
        <v>0.43</v>
      </c>
      <c r="E538" s="146">
        <v>0.7</v>
      </c>
      <c r="F538" s="15">
        <v>0.7</v>
      </c>
      <c r="G538" s="15">
        <v>-0.06698551</v>
      </c>
      <c r="H538" s="15">
        <v>-0.01943105</v>
      </c>
      <c r="I538" s="15">
        <v>0.01016511</v>
      </c>
      <c r="J538" s="15">
        <v>0.04670243</v>
      </c>
      <c r="K538" s="15">
        <v>51.26</v>
      </c>
    </row>
    <row r="539" ht="22.5" customHeight="1">
      <c r="A539" s="167">
        <v>46058.97703703704</v>
      </c>
      <c r="B539" s="144" t="s">
        <v>532</v>
      </c>
      <c r="C539" s="15">
        <v>88.91</v>
      </c>
      <c r="D539" s="15">
        <v>0.39</v>
      </c>
      <c r="E539" s="146">
        <v>1.3</v>
      </c>
      <c r="F539" s="15">
        <v>1.3</v>
      </c>
      <c r="G539" s="15">
        <v>-0.13277298</v>
      </c>
      <c r="H539" s="15">
        <v>-0.02539009</v>
      </c>
      <c r="I539" s="15">
        <v>0.0182724</v>
      </c>
      <c r="J539" s="15">
        <v>0.07117988</v>
      </c>
      <c r="K539" s="15">
        <v>493.02</v>
      </c>
    </row>
    <row r="540" ht="22.5" customHeight="1">
      <c r="A540" s="167">
        <v>46058.977060185185</v>
      </c>
      <c r="B540" s="144" t="s">
        <v>553</v>
      </c>
      <c r="C540" s="15">
        <v>47.64</v>
      </c>
      <c r="D540" s="15">
        <v>0.82</v>
      </c>
      <c r="E540" s="146">
        <v>2.75</v>
      </c>
      <c r="F540" s="15">
        <v>2.75</v>
      </c>
      <c r="G540" s="15">
        <v>-0.22326835</v>
      </c>
      <c r="H540" s="15">
        <v>-0.04347955</v>
      </c>
      <c r="I540" s="15">
        <v>0.02172853</v>
      </c>
      <c r="J540" s="15">
        <v>0.05161888</v>
      </c>
      <c r="K540" s="15">
        <v>575.66</v>
      </c>
    </row>
    <row r="541" ht="22.5" customHeight="1">
      <c r="A541" s="167">
        <v>46058.97707175926</v>
      </c>
      <c r="B541" s="144" t="s">
        <v>554</v>
      </c>
      <c r="C541" s="15">
        <v>47.64</v>
      </c>
      <c r="D541" s="15">
        <v>0.58</v>
      </c>
      <c r="E541" s="146">
        <v>1.0</v>
      </c>
      <c r="F541" s="15">
        <v>1.0</v>
      </c>
      <c r="G541" s="15">
        <v>0.26582104</v>
      </c>
      <c r="H541" s="15">
        <v>-0.03898043</v>
      </c>
      <c r="I541" s="15">
        <v>0.03401046</v>
      </c>
      <c r="J541" s="15">
        <v>0.05871374</v>
      </c>
      <c r="K541" s="15">
        <v>4.13</v>
      </c>
    </row>
    <row r="542" ht="22.5" customHeight="1">
      <c r="A542" s="167">
        <v>46058.97813657407</v>
      </c>
      <c r="B542" s="144" t="s">
        <v>555</v>
      </c>
      <c r="C542" s="15">
        <v>47.64</v>
      </c>
      <c r="D542" s="15">
        <v>-1.0</v>
      </c>
      <c r="E542" s="146">
        <v>0.58</v>
      </c>
      <c r="F542" s="15">
        <v>0.58</v>
      </c>
      <c r="G542" s="15" t="s">
        <v>688</v>
      </c>
      <c r="H542" s="15" t="s">
        <v>688</v>
      </c>
      <c r="I542" s="15" t="s">
        <v>688</v>
      </c>
      <c r="J542" s="15" t="s">
        <v>688</v>
      </c>
      <c r="K542" s="15">
        <v>2.57</v>
      </c>
    </row>
    <row r="543" ht="22.5" customHeight="1">
      <c r="A543" s="167">
        <v>46058.97822916666</v>
      </c>
      <c r="B543" s="144" t="s">
        <v>533</v>
      </c>
      <c r="C543" s="15">
        <v>84.62</v>
      </c>
      <c r="D543" s="15">
        <v>0.19</v>
      </c>
      <c r="E543" s="146">
        <v>0.45</v>
      </c>
      <c r="F543" s="15">
        <v>0.45</v>
      </c>
      <c r="G543" s="15">
        <v>0.20947664</v>
      </c>
      <c r="H543" s="15">
        <v>-0.03346666</v>
      </c>
      <c r="I543" s="15">
        <v>0.08839952</v>
      </c>
      <c r="J543" s="15">
        <v>0.04802797</v>
      </c>
      <c r="K543" s="15">
        <v>39.74</v>
      </c>
    </row>
    <row r="544" ht="22.5" customHeight="1">
      <c r="A544" s="167">
        <v>46058.97825231482</v>
      </c>
      <c r="B544" s="144" t="s">
        <v>539</v>
      </c>
      <c r="C544" s="15">
        <v>179.23</v>
      </c>
      <c r="D544" s="15">
        <v>0.28</v>
      </c>
      <c r="E544" s="146">
        <v>0.82</v>
      </c>
      <c r="F544" s="15">
        <v>0.82</v>
      </c>
      <c r="G544" s="15">
        <v>0.20553529</v>
      </c>
      <c r="H544" s="15">
        <v>-0.11117984</v>
      </c>
      <c r="I544" s="15">
        <v>0.02880088</v>
      </c>
      <c r="J544" s="15">
        <v>0.11075148</v>
      </c>
      <c r="K544" s="15">
        <v>62.39</v>
      </c>
    </row>
    <row r="545" ht="22.5" customHeight="1">
      <c r="A545" s="167">
        <v>46058.97834490741</v>
      </c>
      <c r="B545" s="144" t="s">
        <v>500</v>
      </c>
      <c r="C545" s="15">
        <v>92.01</v>
      </c>
      <c r="D545" s="15">
        <v>0.35</v>
      </c>
      <c r="E545" s="146">
        <v>0.48</v>
      </c>
      <c r="F545" s="15">
        <v>0.48</v>
      </c>
      <c r="G545" s="15">
        <v>-0.13600284</v>
      </c>
      <c r="H545" s="15">
        <v>-0.04650107</v>
      </c>
      <c r="I545" s="15">
        <v>0.03360162</v>
      </c>
      <c r="J545" s="15">
        <v>0.03805206</v>
      </c>
      <c r="K545" s="15">
        <v>36.96</v>
      </c>
    </row>
    <row r="546" ht="22.5" customHeight="1">
      <c r="A546" s="167">
        <v>46058.978368055556</v>
      </c>
      <c r="B546" s="144" t="s">
        <v>512</v>
      </c>
      <c r="C546" s="15">
        <v>48.24</v>
      </c>
      <c r="D546" s="15">
        <v>0.69</v>
      </c>
      <c r="E546" s="146">
        <v>0.51</v>
      </c>
      <c r="F546" s="15">
        <v>0.51</v>
      </c>
      <c r="G546" s="15">
        <v>-0.08053661</v>
      </c>
      <c r="H546" s="15">
        <v>-0.01835096</v>
      </c>
      <c r="I546" s="15">
        <v>0.01299468</v>
      </c>
      <c r="J546" s="15">
        <v>0.02403617</v>
      </c>
      <c r="K546" s="15">
        <v>47.11</v>
      </c>
    </row>
    <row r="547" ht="22.5" customHeight="1">
      <c r="A547" s="167">
        <v>46058.97837962963</v>
      </c>
      <c r="B547" s="144" t="s">
        <v>542</v>
      </c>
      <c r="C547" s="15">
        <v>680.0</v>
      </c>
      <c r="D547" s="15">
        <v>0.19</v>
      </c>
      <c r="E547" s="146">
        <v>14.1</v>
      </c>
      <c r="F547" s="15">
        <v>14.1</v>
      </c>
      <c r="G547" s="15">
        <v>-0.3444799</v>
      </c>
      <c r="H547" s="15">
        <v>-0.9681419</v>
      </c>
      <c r="I547" s="15">
        <v>0.00859961</v>
      </c>
      <c r="J547" s="15">
        <v>0.88144943</v>
      </c>
      <c r="K547" s="15">
        <v>5030.11</v>
      </c>
    </row>
    <row r="548" ht="22.5" customHeight="1">
      <c r="A548" s="167">
        <v>46058.9783912037</v>
      </c>
      <c r="B548" s="144" t="s">
        <v>513</v>
      </c>
      <c r="C548" s="15">
        <v>48.24</v>
      </c>
      <c r="D548" s="15">
        <v>0.65</v>
      </c>
      <c r="E548" s="146">
        <v>3.59</v>
      </c>
      <c r="F548" s="15">
        <v>3.59</v>
      </c>
      <c r="G548" s="15">
        <v>0.50219142</v>
      </c>
      <c r="H548" s="15">
        <v>-0.05167158</v>
      </c>
      <c r="I548" s="15">
        <v>0.03718873</v>
      </c>
      <c r="J548" s="15">
        <v>0.06766477</v>
      </c>
      <c r="K548" s="15">
        <v>521.88</v>
      </c>
    </row>
    <row r="549" ht="22.5" customHeight="1">
      <c r="A549" s="167">
        <v>46058.97840277778</v>
      </c>
      <c r="B549" s="144" t="s">
        <v>514</v>
      </c>
      <c r="C549" s="15">
        <v>48.24</v>
      </c>
      <c r="D549" s="15">
        <v>0.66</v>
      </c>
      <c r="E549" s="146">
        <v>2.1</v>
      </c>
      <c r="F549" s="15">
        <v>2.1</v>
      </c>
      <c r="G549" s="15">
        <v>0.34392998</v>
      </c>
      <c r="H549" s="15">
        <v>-0.04919419</v>
      </c>
      <c r="I549" s="15">
        <v>0.03335984</v>
      </c>
      <c r="J549" s="15">
        <v>0.06351592</v>
      </c>
      <c r="K549" s="15">
        <v>150.05</v>
      </c>
    </row>
    <row r="550" ht="22.5" customHeight="1">
      <c r="A550" s="167">
        <v>46058.9790162037</v>
      </c>
      <c r="B550" s="144" t="s">
        <v>521</v>
      </c>
      <c r="C550" s="15">
        <v>10.66</v>
      </c>
      <c r="D550" s="15">
        <v>-1.0</v>
      </c>
      <c r="E550" s="146">
        <v>0.16</v>
      </c>
      <c r="F550" s="15">
        <v>0.16</v>
      </c>
      <c r="G550" s="15" t="s">
        <v>688</v>
      </c>
      <c r="H550" s="15" t="s">
        <v>688</v>
      </c>
      <c r="I550" s="15" t="s">
        <v>688</v>
      </c>
      <c r="J550" s="15" t="s">
        <v>688</v>
      </c>
      <c r="K550" s="15">
        <v>11.94</v>
      </c>
    </row>
    <row r="551" ht="22.5" customHeight="1">
      <c r="A551" s="167">
        <v>46058.97903935185</v>
      </c>
      <c r="B551" s="144" t="s">
        <v>537</v>
      </c>
      <c r="C551" s="15">
        <v>576.2</v>
      </c>
      <c r="D551" s="15">
        <v>1.44</v>
      </c>
      <c r="E551" s="146">
        <v>0.9</v>
      </c>
      <c r="F551" s="15">
        <v>0.9</v>
      </c>
      <c r="G551" s="15">
        <v>-0.0079636</v>
      </c>
      <c r="H551" s="15">
        <v>-0.07170892</v>
      </c>
      <c r="I551" s="15">
        <v>7.679E-5</v>
      </c>
      <c r="J551" s="15">
        <v>0.04782197</v>
      </c>
      <c r="K551" s="15">
        <v>3185.47</v>
      </c>
    </row>
    <row r="552" ht="22.5" customHeight="1">
      <c r="A552" s="167">
        <v>46058.979050925926</v>
      </c>
      <c r="B552" s="144" t="s">
        <v>546</v>
      </c>
      <c r="C552" s="15">
        <v>441.88</v>
      </c>
      <c r="D552" s="15">
        <v>0.34</v>
      </c>
      <c r="E552" s="146">
        <v>3.15</v>
      </c>
      <c r="F552" s="15">
        <v>3.15</v>
      </c>
      <c r="G552" s="15">
        <v>0.12572055</v>
      </c>
      <c r="H552" s="15">
        <v>-0.1289928</v>
      </c>
      <c r="I552" s="15">
        <v>0.00406981</v>
      </c>
      <c r="J552" s="15">
        <v>0.29199775</v>
      </c>
      <c r="K552" s="15">
        <v>53.87</v>
      </c>
    </row>
    <row r="553" ht="22.5" customHeight="1">
      <c r="A553" s="167">
        <v>46058.9790625</v>
      </c>
      <c r="B553" s="144" t="s">
        <v>538</v>
      </c>
      <c r="C553" s="15">
        <v>576.2</v>
      </c>
      <c r="D553" s="15">
        <v>1.28</v>
      </c>
      <c r="E553" s="146">
        <v>5.2</v>
      </c>
      <c r="F553" s="15">
        <v>5.2</v>
      </c>
      <c r="G553" s="15">
        <v>-0.04316032</v>
      </c>
      <c r="H553" s="15">
        <v>-0.26819047</v>
      </c>
      <c r="I553" s="15">
        <v>3.6169E-4</v>
      </c>
      <c r="J553" s="15">
        <v>0.17656231</v>
      </c>
      <c r="K553" s="15">
        <v>2571.55</v>
      </c>
    </row>
    <row r="554" ht="22.5" customHeight="1">
      <c r="A554" s="167">
        <v>46058.979097222225</v>
      </c>
      <c r="B554" s="144" t="s">
        <v>519</v>
      </c>
      <c r="C554" s="15">
        <v>66.69</v>
      </c>
      <c r="D554" s="15">
        <v>0.9</v>
      </c>
      <c r="E554" s="146">
        <v>14.69</v>
      </c>
      <c r="F554" s="15">
        <v>4.38</v>
      </c>
      <c r="G554" s="15">
        <v>-0.61672063</v>
      </c>
      <c r="H554" s="15">
        <v>-0.08716166</v>
      </c>
      <c r="I554" s="15">
        <v>0.01876041</v>
      </c>
      <c r="J554" s="15">
        <v>0.08591081</v>
      </c>
      <c r="K554" s="15">
        <v>933.51</v>
      </c>
    </row>
    <row r="555" ht="22.5" customHeight="1">
      <c r="A555" s="167">
        <v>46058.97912037037</v>
      </c>
      <c r="B555" s="144" t="s">
        <v>483</v>
      </c>
      <c r="C555" s="15">
        <v>7.0</v>
      </c>
      <c r="D555" s="15">
        <v>1.18</v>
      </c>
      <c r="E555" s="146">
        <v>0.3</v>
      </c>
      <c r="F555" s="15">
        <v>0.3</v>
      </c>
      <c r="G555" s="15">
        <v>0.33153584</v>
      </c>
      <c r="H555" s="15">
        <v>-0.02054058</v>
      </c>
      <c r="I555" s="15">
        <v>0.21853136</v>
      </c>
      <c r="J555" s="15">
        <v>0.00532103</v>
      </c>
      <c r="K555" s="15">
        <v>23.31</v>
      </c>
    </row>
    <row r="556" ht="22.5" customHeight="1">
      <c r="A556" s="167">
        <v>46058.97914351852</v>
      </c>
      <c r="B556" s="144" t="s">
        <v>497</v>
      </c>
      <c r="C556" s="15">
        <v>29.79</v>
      </c>
      <c r="D556" s="15">
        <v>0.51</v>
      </c>
      <c r="E556" s="146">
        <v>0.225</v>
      </c>
      <c r="F556" s="15">
        <v>0.225</v>
      </c>
      <c r="G556" s="15">
        <v>-0.07991688</v>
      </c>
      <c r="H556" s="15">
        <v>-0.01647834</v>
      </c>
      <c r="I556" s="15">
        <v>0.04392778</v>
      </c>
      <c r="J556" s="15">
        <v>0.01017267</v>
      </c>
      <c r="K556" s="15">
        <v>21.68</v>
      </c>
    </row>
    <row r="557" ht="22.5" customHeight="1">
      <c r="A557" s="167">
        <v>46058.97917824074</v>
      </c>
      <c r="B557" s="144" t="s">
        <v>530</v>
      </c>
      <c r="C557" s="15">
        <v>89.21</v>
      </c>
      <c r="D557" s="15">
        <v>0.25</v>
      </c>
      <c r="E557" s="146">
        <v>0.2</v>
      </c>
      <c r="F557" s="15">
        <v>0.2</v>
      </c>
      <c r="G557" s="15">
        <v>0.1172817</v>
      </c>
      <c r="H557" s="15">
        <v>-0.03093815</v>
      </c>
      <c r="I557" s="15">
        <v>0.04379583</v>
      </c>
      <c r="J557" s="15">
        <v>0.03381914</v>
      </c>
      <c r="K557" s="15">
        <v>21.41</v>
      </c>
    </row>
    <row r="558" ht="22.5" customHeight="1">
      <c r="A558" s="167">
        <v>46058.97920138889</v>
      </c>
      <c r="B558" s="144" t="s">
        <v>505</v>
      </c>
      <c r="C558" s="15">
        <v>66.34</v>
      </c>
      <c r="D558" s="15">
        <v>0.81</v>
      </c>
      <c r="E558" s="146">
        <v>1.65</v>
      </c>
      <c r="F558" s="15">
        <v>1.65</v>
      </c>
      <c r="G558" s="15">
        <v>-0.23870594</v>
      </c>
      <c r="H558" s="15">
        <v>-0.11122445</v>
      </c>
      <c r="I558" s="15">
        <v>0.02880197</v>
      </c>
      <c r="J558" s="15">
        <v>0.03958944</v>
      </c>
      <c r="K558" s="15">
        <v>141.12</v>
      </c>
    </row>
    <row r="559" ht="22.5" customHeight="1">
      <c r="A559" s="167">
        <v>46058.979212962964</v>
      </c>
      <c r="B559" s="144" t="s">
        <v>506</v>
      </c>
      <c r="C559" s="15">
        <v>66.34</v>
      </c>
      <c r="D559" s="15">
        <v>0.8</v>
      </c>
      <c r="E559" s="146">
        <v>3.61</v>
      </c>
      <c r="F559" s="15">
        <v>3.61</v>
      </c>
      <c r="G559" s="15">
        <v>-0.41349163</v>
      </c>
      <c r="H559" s="15">
        <v>-0.13684235</v>
      </c>
      <c r="I559" s="15">
        <v>0.03657241</v>
      </c>
      <c r="J559" s="15">
        <v>0.05258993</v>
      </c>
      <c r="K559" s="15">
        <v>536.09</v>
      </c>
    </row>
    <row r="560" ht="22.5" customHeight="1">
      <c r="A560" s="167">
        <v>46058.97922453703</v>
      </c>
      <c r="B560" s="144" t="s">
        <v>480</v>
      </c>
      <c r="C560" s="15">
        <v>47.64</v>
      </c>
      <c r="D560" s="15">
        <v>0.61</v>
      </c>
      <c r="E560" s="146">
        <v>0.07</v>
      </c>
      <c r="F560" s="15">
        <v>0.07</v>
      </c>
      <c r="G560" s="15">
        <v>0.03493127</v>
      </c>
      <c r="H560" s="15">
        <v>-0.01525255</v>
      </c>
      <c r="I560" s="15">
        <v>0.01320576</v>
      </c>
      <c r="J560" s="15">
        <v>0.0071977</v>
      </c>
      <c r="K560" s="15">
        <v>0.08</v>
      </c>
    </row>
    <row r="561" ht="22.5" customHeight="1">
      <c r="A561" s="167">
        <v>46058.97923611111</v>
      </c>
      <c r="B561" s="144" t="s">
        <v>482</v>
      </c>
      <c r="C561" s="15">
        <v>47.64</v>
      </c>
      <c r="D561" s="15">
        <v>0.83</v>
      </c>
      <c r="E561" s="146">
        <v>3.3</v>
      </c>
      <c r="F561" s="15">
        <v>2.94</v>
      </c>
      <c r="G561" s="15">
        <v>-0.48199027</v>
      </c>
      <c r="H561" s="15">
        <v>-0.10403473</v>
      </c>
      <c r="I561" s="15">
        <v>0.05038677</v>
      </c>
      <c r="J561" s="15">
        <v>0.03833646</v>
      </c>
      <c r="K561" s="15">
        <v>623.26</v>
      </c>
    </row>
    <row r="562" ht="22.5" customHeight="1">
      <c r="A562" s="167">
        <v>46058.979849537034</v>
      </c>
      <c r="B562" s="144" t="s">
        <v>529</v>
      </c>
      <c r="C562" s="15">
        <v>9.97</v>
      </c>
      <c r="D562" s="15">
        <v>0.9</v>
      </c>
      <c r="E562" s="146">
        <v>0.0</v>
      </c>
      <c r="F562" s="15">
        <v>0.0</v>
      </c>
      <c r="G562" s="15">
        <v>0.00681543</v>
      </c>
      <c r="H562" s="15">
        <v>-8.2077E-4</v>
      </c>
      <c r="I562" s="15">
        <v>0.01404415</v>
      </c>
      <c r="J562" s="15">
        <v>4.3172E-4</v>
      </c>
      <c r="K562" s="15">
        <v>0.22</v>
      </c>
    </row>
    <row r="563" ht="22.5" customHeight="1">
      <c r="A563" s="167">
        <v>46058.98045138889</v>
      </c>
      <c r="B563" s="144" t="s">
        <v>528</v>
      </c>
      <c r="C563" s="15">
        <v>92.85</v>
      </c>
      <c r="D563" s="15">
        <v>0.29</v>
      </c>
      <c r="E563" s="146">
        <v>0.0</v>
      </c>
      <c r="F563" s="15">
        <v>0.0</v>
      </c>
      <c r="G563" s="15">
        <v>-0.02103684</v>
      </c>
      <c r="H563" s="15">
        <v>-0.00890139</v>
      </c>
      <c r="I563" s="15">
        <v>0.00868321</v>
      </c>
      <c r="J563" s="15">
        <v>0.01099284</v>
      </c>
      <c r="K563" s="15">
        <v>1.28</v>
      </c>
    </row>
    <row r="564" ht="22.5" customHeight="1">
      <c r="A564" s="167">
        <v>46058.980462962965</v>
      </c>
      <c r="B564" s="144" t="s">
        <v>558</v>
      </c>
      <c r="C564" s="15">
        <v>255.83</v>
      </c>
      <c r="D564" s="15">
        <v>0.22</v>
      </c>
      <c r="E564" s="146">
        <v>2.26</v>
      </c>
      <c r="F564" s="15">
        <v>2.26</v>
      </c>
      <c r="G564" s="15">
        <v>0.22122528</v>
      </c>
      <c r="H564" s="15">
        <v>-0.07281093</v>
      </c>
      <c r="I564" s="15">
        <v>0.01581853</v>
      </c>
      <c r="J564" s="15">
        <v>0.26163097</v>
      </c>
      <c r="K564" s="15">
        <v>22.62</v>
      </c>
    </row>
    <row r="565" ht="22.5" customHeight="1">
      <c r="A565" s="167">
        <v>46058.980474537035</v>
      </c>
      <c r="B565" s="144" t="s">
        <v>551</v>
      </c>
      <c r="C565" s="15">
        <v>670.21</v>
      </c>
      <c r="D565" s="15">
        <v>0.34</v>
      </c>
      <c r="E565" s="146">
        <v>1.47</v>
      </c>
      <c r="F565" s="15">
        <v>1.47</v>
      </c>
      <c r="G565" s="15">
        <v>0.03743248</v>
      </c>
      <c r="H565" s="15">
        <v>-0.07769234</v>
      </c>
      <c r="I565" s="15">
        <v>0.00103591</v>
      </c>
      <c r="J565" s="15">
        <v>0.17897263</v>
      </c>
      <c r="K565" s="15">
        <v>30.69</v>
      </c>
    </row>
    <row r="566" ht="22.5" customHeight="1">
      <c r="A566" s="167">
        <v>46058.98048611111</v>
      </c>
      <c r="B566" s="144" t="s">
        <v>478</v>
      </c>
      <c r="C566" s="15">
        <v>680.0</v>
      </c>
      <c r="D566" s="15">
        <v>0.14</v>
      </c>
      <c r="E566" s="146">
        <v>0.205</v>
      </c>
      <c r="F566" s="15">
        <v>0.205</v>
      </c>
      <c r="G566" s="15">
        <v>0.05421813</v>
      </c>
      <c r="H566" s="15">
        <v>-0.07082686</v>
      </c>
      <c r="I566" s="15">
        <v>0.00678916</v>
      </c>
      <c r="J566" s="15">
        <v>0.1765957</v>
      </c>
      <c r="K566" s="15">
        <v>0.12</v>
      </c>
    </row>
    <row r="567" ht="22.5" customHeight="1">
      <c r="A567" s="167">
        <v>46058.980520833335</v>
      </c>
      <c r="B567" s="144" t="s">
        <v>518</v>
      </c>
      <c r="C567" s="15">
        <v>10.94</v>
      </c>
      <c r="D567" s="15">
        <v>0.31</v>
      </c>
      <c r="E567" s="146">
        <v>0.14</v>
      </c>
      <c r="F567" s="15">
        <v>0.14</v>
      </c>
      <c r="G567" s="15">
        <v>0.24403517</v>
      </c>
      <c r="H567" s="15">
        <v>-0.00473092</v>
      </c>
      <c r="I567" s="15">
        <v>0.27331763</v>
      </c>
      <c r="J567" s="15">
        <v>0.01290145</v>
      </c>
      <c r="K567" s="15">
        <v>10.97</v>
      </c>
    </row>
    <row r="568" ht="22.5" customHeight="1">
      <c r="A568" s="167">
        <v>46058.98054398148</v>
      </c>
      <c r="B568" s="144" t="s">
        <v>550</v>
      </c>
      <c r="C568" s="15">
        <v>9.0</v>
      </c>
      <c r="D568" s="15">
        <v>0.36</v>
      </c>
      <c r="E568" s="146">
        <v>0.12</v>
      </c>
      <c r="F568" s="15">
        <v>0.12</v>
      </c>
      <c r="G568" s="15">
        <v>0.2257016</v>
      </c>
      <c r="H568" s="15">
        <v>-0.00411868</v>
      </c>
      <c r="I568" s="15">
        <v>0.27112505</v>
      </c>
      <c r="J568" s="15">
        <v>0.00891176</v>
      </c>
      <c r="K568" s="15">
        <v>7.23</v>
      </c>
    </row>
    <row r="569" ht="22.5" customHeight="1">
      <c r="A569" s="167">
        <v>46059.945</v>
      </c>
      <c r="B569" s="144" t="s">
        <v>543</v>
      </c>
      <c r="C569" s="15">
        <v>693.03</v>
      </c>
      <c r="D569" s="15">
        <v>0.21</v>
      </c>
      <c r="E569" s="146">
        <v>4.41</v>
      </c>
      <c r="F569" s="15">
        <v>4.41</v>
      </c>
      <c r="G569" s="15">
        <v>-0.16408298</v>
      </c>
      <c r="H569" s="15">
        <v>-0.1304572</v>
      </c>
      <c r="I569" s="15">
        <v>0.00507423</v>
      </c>
      <c r="J569" s="15">
        <v>0.57959602</v>
      </c>
      <c r="K569" s="15">
        <v>1944.65</v>
      </c>
    </row>
    <row r="570" ht="22.5" customHeight="1">
      <c r="A570" s="167">
        <v>46059.94501157408</v>
      </c>
      <c r="B570" s="144" t="s">
        <v>544</v>
      </c>
      <c r="C570" s="15">
        <v>693.03</v>
      </c>
      <c r="D570" s="15">
        <v>0.18</v>
      </c>
      <c r="E570" s="146">
        <v>7.38</v>
      </c>
      <c r="F570" s="15">
        <v>7.38</v>
      </c>
      <c r="G570" s="15">
        <v>-0.26815831</v>
      </c>
      <c r="H570" s="15">
        <v>-0.14535701</v>
      </c>
      <c r="I570" s="15">
        <v>0.00774785</v>
      </c>
      <c r="J570" s="15">
        <v>0.77215679</v>
      </c>
      <c r="K570" s="15">
        <v>1944.37</v>
      </c>
    </row>
    <row r="571" ht="22.5" customHeight="1">
      <c r="A571" s="167">
        <v>46059.94510416667</v>
      </c>
      <c r="B571" s="144" t="s">
        <v>556</v>
      </c>
      <c r="C571" s="15">
        <v>265.02</v>
      </c>
      <c r="D571" s="15">
        <v>0.22</v>
      </c>
      <c r="E571" s="146">
        <v>5.66</v>
      </c>
      <c r="F571" s="15">
        <v>5.66</v>
      </c>
      <c r="G571" s="15">
        <v>0.43123164</v>
      </c>
      <c r="H571" s="15">
        <v>-0.10485916</v>
      </c>
      <c r="I571" s="15">
        <v>0.02050451</v>
      </c>
      <c r="J571" s="15">
        <v>0.35233183</v>
      </c>
      <c r="K571" s="15">
        <v>43.2</v>
      </c>
    </row>
    <row r="572" ht="22.5" customHeight="1">
      <c r="A572" s="167">
        <v>46059.94511574074</v>
      </c>
      <c r="B572" s="144" t="s">
        <v>557</v>
      </c>
      <c r="C572" s="15">
        <v>265.02</v>
      </c>
      <c r="D572" s="15">
        <v>0.27</v>
      </c>
      <c r="E572" s="146">
        <v>1.64</v>
      </c>
      <c r="F572" s="15">
        <v>1.64</v>
      </c>
      <c r="G572" s="15">
        <v>-0.13051189</v>
      </c>
      <c r="H572" s="15">
        <v>-0.0581763</v>
      </c>
      <c r="I572" s="15">
        <v>0.00871537</v>
      </c>
      <c r="J572" s="15">
        <v>0.18937545</v>
      </c>
      <c r="K572" s="15">
        <v>1707.5</v>
      </c>
    </row>
    <row r="573" ht="22.5" customHeight="1">
      <c r="A573" s="167">
        <v>46059.94515046296</v>
      </c>
      <c r="B573" s="144" t="s">
        <v>559</v>
      </c>
      <c r="C573" s="15">
        <v>661.46</v>
      </c>
      <c r="D573" s="15">
        <v>0.31</v>
      </c>
      <c r="E573" s="146">
        <v>14.55</v>
      </c>
      <c r="F573" s="15">
        <v>14.55</v>
      </c>
      <c r="G573" s="15">
        <v>0.32810816</v>
      </c>
      <c r="H573" s="15">
        <v>-0.32580822</v>
      </c>
      <c r="I573" s="15">
        <v>0.00518159</v>
      </c>
      <c r="J573" s="15">
        <v>0.82925495</v>
      </c>
      <c r="K573" s="15">
        <v>930.75</v>
      </c>
    </row>
    <row r="574" ht="22.5" customHeight="1">
      <c r="A574" s="167">
        <v>46059.94516203704</v>
      </c>
      <c r="B574" s="144" t="s">
        <v>535</v>
      </c>
      <c r="C574" s="15">
        <v>661.46</v>
      </c>
      <c r="D574" s="15">
        <v>0.36</v>
      </c>
      <c r="E574" s="146">
        <v>10.35</v>
      </c>
      <c r="F574" s="15">
        <v>10.35</v>
      </c>
      <c r="G574" s="15">
        <v>-0.2244802</v>
      </c>
      <c r="H574" s="15">
        <v>-0.26964402</v>
      </c>
      <c r="I574" s="15">
        <v>0.00376047</v>
      </c>
      <c r="J574" s="15">
        <v>0.65436254</v>
      </c>
      <c r="K574" s="15">
        <v>78.98</v>
      </c>
    </row>
    <row r="575" ht="22.5" customHeight="1">
      <c r="A575" s="167">
        <v>46059.94519675926</v>
      </c>
      <c r="B575" s="144" t="s">
        <v>515</v>
      </c>
      <c r="C575" s="15">
        <v>14.87</v>
      </c>
      <c r="D575" s="15">
        <v>0.33</v>
      </c>
      <c r="E575" s="146">
        <v>0.11</v>
      </c>
      <c r="F575" s="15">
        <v>0.11</v>
      </c>
      <c r="G575" s="15">
        <v>0.13746682</v>
      </c>
      <c r="H575" s="15">
        <v>-0.00466043</v>
      </c>
      <c r="I575" s="15">
        <v>0.1309127</v>
      </c>
      <c r="J575" s="15">
        <v>0.01226904</v>
      </c>
      <c r="K575" s="15">
        <v>11.23</v>
      </c>
    </row>
    <row r="576" ht="22.5" customHeight="1">
      <c r="A576" s="167">
        <v>46059.94527777778</v>
      </c>
      <c r="B576" s="144" t="s">
        <v>517</v>
      </c>
      <c r="C576" s="15">
        <v>14.87</v>
      </c>
      <c r="D576" s="15">
        <v>0.41</v>
      </c>
      <c r="E576" s="146">
        <v>0.04</v>
      </c>
      <c r="F576" s="15">
        <v>0.04</v>
      </c>
      <c r="G576" s="15">
        <v>-0.05328554</v>
      </c>
      <c r="H576" s="15">
        <v>-0.00265961</v>
      </c>
      <c r="I576" s="15">
        <v>0.05087794</v>
      </c>
      <c r="J576" s="15">
        <v>0.00562117</v>
      </c>
      <c r="K576" s="15">
        <v>3.91</v>
      </c>
    </row>
    <row r="577" ht="22.5" customHeight="1">
      <c r="A577" s="167">
        <v>46059.94530092592</v>
      </c>
      <c r="B577" s="144" t="s">
        <v>536</v>
      </c>
      <c r="C577" s="15">
        <v>27.13</v>
      </c>
      <c r="D577" s="15">
        <v>0.22</v>
      </c>
      <c r="E577" s="146">
        <v>0.95</v>
      </c>
      <c r="F577" s="15">
        <v>0.82</v>
      </c>
      <c r="G577" s="15">
        <v>0.56387405</v>
      </c>
      <c r="H577" s="15">
        <v>-0.01104121</v>
      </c>
      <c r="I577" s="15">
        <v>0.19769286</v>
      </c>
      <c r="J577" s="15">
        <v>0.03618043</v>
      </c>
      <c r="K577" s="15">
        <v>39.09</v>
      </c>
    </row>
    <row r="578" ht="22.5" customHeight="1">
      <c r="A578" s="167">
        <v>46059.9453125</v>
      </c>
      <c r="B578" s="144" t="s">
        <v>561</v>
      </c>
      <c r="C578" s="15">
        <v>27.13</v>
      </c>
      <c r="D578" s="15">
        <v>0.22</v>
      </c>
      <c r="E578" s="146">
        <v>0.68</v>
      </c>
      <c r="F578" s="15">
        <v>0.68</v>
      </c>
      <c r="G578" s="15">
        <v>-0.44318764</v>
      </c>
      <c r="H578" s="15">
        <v>-0.00816448</v>
      </c>
      <c r="I578" s="15">
        <v>0.20485587</v>
      </c>
      <c r="J578" s="15">
        <v>0.03616053</v>
      </c>
      <c r="K578" s="15">
        <v>22.37</v>
      </c>
    </row>
    <row r="579" ht="22.5" customHeight="1">
      <c r="A579" s="167">
        <v>46059.94534722222</v>
      </c>
      <c r="B579" s="144" t="s">
        <v>526</v>
      </c>
      <c r="C579" s="15">
        <v>221.44</v>
      </c>
      <c r="D579" s="15">
        <v>0.32</v>
      </c>
      <c r="E579" s="146">
        <v>3.6</v>
      </c>
      <c r="F579" s="15">
        <v>3.6</v>
      </c>
      <c r="G579" s="15">
        <v>0.25836735</v>
      </c>
      <c r="H579" s="15">
        <v>-0.09845649</v>
      </c>
      <c r="I579" s="15">
        <v>0.01356657</v>
      </c>
      <c r="J579" s="15">
        <v>0.25122256</v>
      </c>
      <c r="K579" s="15">
        <v>1626.4</v>
      </c>
    </row>
    <row r="580" ht="22.5" customHeight="1">
      <c r="A580" s="167">
        <v>46059.9453587963</v>
      </c>
      <c r="B580" s="144" t="s">
        <v>527</v>
      </c>
      <c r="C580" s="15">
        <v>221.44</v>
      </c>
      <c r="D580" s="15">
        <v>0.31</v>
      </c>
      <c r="E580" s="146">
        <v>2.2</v>
      </c>
      <c r="F580" s="15">
        <v>2.2</v>
      </c>
      <c r="G580" s="15">
        <v>0.14856889</v>
      </c>
      <c r="H580" s="15">
        <v>-0.068777</v>
      </c>
      <c r="I580" s="15">
        <v>0.00984219</v>
      </c>
      <c r="J580" s="15">
        <v>0.1818384</v>
      </c>
      <c r="K580" s="15">
        <v>161.64</v>
      </c>
    </row>
    <row r="581" ht="22.5" customHeight="1">
      <c r="A581" s="167">
        <v>46059.945381944446</v>
      </c>
      <c r="B581" s="144" t="s">
        <v>511</v>
      </c>
      <c r="C581" s="15">
        <v>34.98</v>
      </c>
      <c r="D581" s="15">
        <v>0.38</v>
      </c>
      <c r="E581" s="146">
        <v>0.38</v>
      </c>
      <c r="F581" s="15">
        <v>0.38</v>
      </c>
      <c r="G581" s="15">
        <v>0.16651504</v>
      </c>
      <c r="H581" s="15">
        <v>-0.014159</v>
      </c>
      <c r="I581" s="15">
        <v>0.05533078</v>
      </c>
      <c r="J581" s="15">
        <v>0.02853866</v>
      </c>
      <c r="K581" s="15">
        <v>33.44</v>
      </c>
    </row>
    <row r="582" ht="22.5" customHeight="1">
      <c r="A582" s="167">
        <v>46059.94540509259</v>
      </c>
      <c r="B582" s="144" t="s">
        <v>552</v>
      </c>
      <c r="C582" s="15">
        <v>63.23</v>
      </c>
      <c r="D582" s="15">
        <v>0.17</v>
      </c>
      <c r="E582" s="146">
        <v>0.72</v>
      </c>
      <c r="F582" s="15">
        <v>0.72</v>
      </c>
      <c r="G582" s="15">
        <v>0.32572941</v>
      </c>
      <c r="H582" s="15">
        <v>-0.01773924</v>
      </c>
      <c r="I582" s="15">
        <v>0.10385753</v>
      </c>
      <c r="J582" s="15">
        <v>0.07958741</v>
      </c>
      <c r="K582" s="15">
        <v>62.58</v>
      </c>
    </row>
    <row r="583" ht="22.5" customHeight="1">
      <c r="A583" s="167">
        <v>46059.945439814815</v>
      </c>
      <c r="B583" s="144" t="s">
        <v>547</v>
      </c>
      <c r="C583" s="15">
        <v>33.99</v>
      </c>
      <c r="D583" s="15">
        <v>0.42</v>
      </c>
      <c r="E583" s="146">
        <v>0.39</v>
      </c>
      <c r="F583" s="15">
        <v>0.39</v>
      </c>
      <c r="G583" s="15">
        <v>0.14090929</v>
      </c>
      <c r="H583" s="15">
        <v>-0.01339278</v>
      </c>
      <c r="I583" s="15">
        <v>0.04658573</v>
      </c>
      <c r="J583" s="15">
        <v>0.02810127</v>
      </c>
      <c r="K583" s="15">
        <v>31.15</v>
      </c>
    </row>
    <row r="584" ht="22.5" customHeight="1">
      <c r="A584" s="167">
        <v>46059.94546296296</v>
      </c>
      <c r="B584" s="144" t="s">
        <v>523</v>
      </c>
      <c r="C584" s="15">
        <v>5998.4</v>
      </c>
      <c r="D584" s="15">
        <v>0.13</v>
      </c>
      <c r="E584" s="146">
        <v>21.0</v>
      </c>
      <c r="F584" s="15">
        <v>21.0</v>
      </c>
      <c r="G584" s="15">
        <v>0.14830694</v>
      </c>
      <c r="H584" s="15">
        <v>-0.78838847</v>
      </c>
      <c r="I584" s="15">
        <v>8.5407E-4</v>
      </c>
      <c r="J584" s="15">
        <v>4.67975155</v>
      </c>
      <c r="K584" s="15">
        <v>8.68</v>
      </c>
    </row>
    <row r="585" ht="22.5" customHeight="1">
      <c r="A585" s="167">
        <v>46059.94548611111</v>
      </c>
      <c r="B585" s="144" t="s">
        <v>549</v>
      </c>
      <c r="C585" s="15">
        <v>455.46</v>
      </c>
      <c r="D585" s="15">
        <v>0.31</v>
      </c>
      <c r="E585" s="146">
        <v>3.68</v>
      </c>
      <c r="F585" s="15">
        <v>3.68</v>
      </c>
      <c r="G585" s="15">
        <v>-0.14244118</v>
      </c>
      <c r="H585" s="15">
        <v>-0.12375074</v>
      </c>
      <c r="I585" s="15">
        <v>0.00467669</v>
      </c>
      <c r="J585" s="15">
        <v>0.37305932</v>
      </c>
      <c r="K585" s="15">
        <v>37.59</v>
      </c>
    </row>
    <row r="586" ht="22.5" customHeight="1">
      <c r="A586" s="167">
        <v>46059.94550925926</v>
      </c>
      <c r="B586" s="144" t="s">
        <v>548</v>
      </c>
      <c r="C586" s="15">
        <v>20.86</v>
      </c>
      <c r="D586" s="15">
        <v>0.65</v>
      </c>
      <c r="E586" s="146">
        <v>0.35</v>
      </c>
      <c r="F586" s="15">
        <v>0.35</v>
      </c>
      <c r="G586" s="15">
        <v>-0.20829908</v>
      </c>
      <c r="H586" s="15">
        <v>-0.02685462</v>
      </c>
      <c r="I586" s="15">
        <v>0.10833987</v>
      </c>
      <c r="J586" s="15">
        <v>0.01205222</v>
      </c>
      <c r="K586" s="15">
        <v>29.02</v>
      </c>
    </row>
    <row r="587" ht="22.5" customHeight="1">
      <c r="A587" s="167">
        <v>46059.94552083333</v>
      </c>
      <c r="B587" s="144" t="s">
        <v>524</v>
      </c>
      <c r="C587" s="15">
        <v>5998.4</v>
      </c>
      <c r="D587" s="15">
        <v>0.14</v>
      </c>
      <c r="E587" s="146">
        <v>21.9</v>
      </c>
      <c r="F587" s="15">
        <v>21.9</v>
      </c>
      <c r="G587" s="15">
        <v>0.17700247</v>
      </c>
      <c r="H587" s="15">
        <v>-0.91212504</v>
      </c>
      <c r="I587" s="15">
        <v>9.3065E-4</v>
      </c>
      <c r="J587" s="15">
        <v>5.25089631</v>
      </c>
      <c r="K587" s="15">
        <v>6.91</v>
      </c>
    </row>
    <row r="588" ht="22.5" customHeight="1">
      <c r="A588" s="167">
        <v>46059.945543981485</v>
      </c>
      <c r="B588" s="144" t="s">
        <v>525</v>
      </c>
      <c r="C588" s="15">
        <v>5998.4</v>
      </c>
      <c r="D588" s="15">
        <v>0.21</v>
      </c>
      <c r="E588" s="146">
        <v>42.0</v>
      </c>
      <c r="F588" s="15">
        <v>42.0</v>
      </c>
      <c r="G588" s="15">
        <v>-0.17227601</v>
      </c>
      <c r="H588" s="15">
        <v>-1.27609191</v>
      </c>
      <c r="I588" s="15">
        <v>5.9456E-4</v>
      </c>
      <c r="J588" s="15">
        <v>5.16142642</v>
      </c>
      <c r="K588" s="15">
        <v>3762.96</v>
      </c>
    </row>
    <row r="589" ht="22.5" customHeight="1">
      <c r="A589" s="167">
        <v>46059.94556712963</v>
      </c>
      <c r="B589" s="144" t="s">
        <v>532</v>
      </c>
      <c r="C589" s="15">
        <v>91.45</v>
      </c>
      <c r="D589" s="15">
        <v>0.39</v>
      </c>
      <c r="E589" s="146">
        <v>0.85</v>
      </c>
      <c r="F589" s="15">
        <v>0.85</v>
      </c>
      <c r="G589" s="15">
        <v>-0.18721339</v>
      </c>
      <c r="H589" s="15">
        <v>-0.03785166</v>
      </c>
      <c r="I589" s="15">
        <v>0.02304722</v>
      </c>
      <c r="J589" s="15">
        <v>0.0876633</v>
      </c>
      <c r="K589" s="15">
        <v>466.06</v>
      </c>
    </row>
    <row r="590" ht="22.5" customHeight="1">
      <c r="A590" s="167">
        <v>46059.9455787037</v>
      </c>
      <c r="B590" s="144" t="s">
        <v>562</v>
      </c>
      <c r="C590" s="15">
        <v>91.45</v>
      </c>
      <c r="D590" s="15">
        <v>0.35</v>
      </c>
      <c r="E590" s="146">
        <v>1.7</v>
      </c>
      <c r="F590" s="15">
        <v>1.7</v>
      </c>
      <c r="G590" s="15">
        <v>-0.32468449</v>
      </c>
      <c r="H590" s="15">
        <v>-0.04433761</v>
      </c>
      <c r="I590" s="15">
        <v>0.03304429</v>
      </c>
      <c r="J590" s="15">
        <v>0.11202219</v>
      </c>
      <c r="K590" s="15">
        <v>229.57</v>
      </c>
    </row>
    <row r="591" ht="22.5" customHeight="1">
      <c r="A591" s="167">
        <v>46059.945601851854</v>
      </c>
      <c r="B591" s="144" t="s">
        <v>553</v>
      </c>
      <c r="C591" s="15">
        <v>50.59</v>
      </c>
      <c r="D591" s="15">
        <v>0.76</v>
      </c>
      <c r="E591" s="146">
        <v>1.58</v>
      </c>
      <c r="F591" s="15">
        <v>1.58</v>
      </c>
      <c r="G591" s="15">
        <v>-0.19316464</v>
      </c>
      <c r="H591" s="15">
        <v>-0.04153379</v>
      </c>
      <c r="I591" s="15">
        <v>0.02111138</v>
      </c>
      <c r="J591" s="15">
        <v>0.04776446</v>
      </c>
      <c r="K591" s="15">
        <v>603.83</v>
      </c>
    </row>
    <row r="592" ht="22.5" customHeight="1">
      <c r="A592" s="167">
        <v>46059.94561342592</v>
      </c>
      <c r="B592" s="144" t="s">
        <v>554</v>
      </c>
      <c r="C592" s="15">
        <v>50.59</v>
      </c>
      <c r="D592" s="15">
        <v>0.52</v>
      </c>
      <c r="E592" s="146">
        <v>1.42</v>
      </c>
      <c r="F592" s="15">
        <v>1.42</v>
      </c>
      <c r="G592" s="15">
        <v>0.26831502</v>
      </c>
      <c r="H592" s="15">
        <v>-0.03627568</v>
      </c>
      <c r="I592" s="15">
        <v>0.03729716</v>
      </c>
      <c r="J592" s="15">
        <v>0.05794167</v>
      </c>
      <c r="K592" s="15">
        <v>7.74</v>
      </c>
    </row>
    <row r="593" ht="22.5" customHeight="1">
      <c r="A593" s="167">
        <v>46059.945625</v>
      </c>
      <c r="B593" s="144" t="s">
        <v>555</v>
      </c>
      <c r="C593" s="15">
        <v>50.59</v>
      </c>
      <c r="D593" s="15">
        <v>0.5</v>
      </c>
      <c r="E593" s="146">
        <v>0.81</v>
      </c>
      <c r="F593" s="15">
        <v>0.81</v>
      </c>
      <c r="G593" s="15">
        <v>0.18530788</v>
      </c>
      <c r="H593" s="15">
        <v>-0.02857967</v>
      </c>
      <c r="I593" s="15">
        <v>0.03122045</v>
      </c>
      <c r="J593" s="15">
        <v>0.04936922</v>
      </c>
      <c r="K593" s="15">
        <v>5.72</v>
      </c>
    </row>
    <row r="594" ht="22.5" customHeight="1">
      <c r="A594" s="167">
        <v>46059.94565972222</v>
      </c>
      <c r="B594" s="144" t="s">
        <v>533</v>
      </c>
      <c r="C594" s="15">
        <v>86.53</v>
      </c>
      <c r="D594" s="15">
        <v>0.18</v>
      </c>
      <c r="E594" s="146">
        <v>0.9</v>
      </c>
      <c r="F594" s="15">
        <v>0.9</v>
      </c>
      <c r="G594" s="15">
        <v>0.39464611</v>
      </c>
      <c r="H594" s="15">
        <v>-0.04497564</v>
      </c>
      <c r="I594" s="15">
        <v>0.12941649</v>
      </c>
      <c r="J594" s="15">
        <v>0.06589241</v>
      </c>
      <c r="K594" s="15">
        <v>75.31</v>
      </c>
    </row>
    <row r="595" ht="22.5" customHeight="1">
      <c r="A595" s="167">
        <v>46059.94568287037</v>
      </c>
      <c r="B595" s="144" t="s">
        <v>539</v>
      </c>
      <c r="C595" s="15">
        <v>180.86</v>
      </c>
      <c r="D595" s="15">
        <v>0.26</v>
      </c>
      <c r="E595" s="146">
        <v>0.7</v>
      </c>
      <c r="F595" s="15">
        <v>0.7</v>
      </c>
      <c r="G595" s="15">
        <v>0.15521527</v>
      </c>
      <c r="H595" s="15">
        <v>-0.08662283</v>
      </c>
      <c r="I595" s="15">
        <v>0.02771429</v>
      </c>
      <c r="J595" s="15">
        <v>0.08815444</v>
      </c>
      <c r="K595" s="15">
        <v>53.45</v>
      </c>
    </row>
    <row r="596" ht="22.5" customHeight="1">
      <c r="A596" s="167">
        <v>46059.945706018516</v>
      </c>
      <c r="B596" s="144" t="s">
        <v>500</v>
      </c>
      <c r="C596" s="15">
        <v>93.97</v>
      </c>
      <c r="D596" s="15">
        <v>0.35</v>
      </c>
      <c r="E596" s="146">
        <v>0.17</v>
      </c>
      <c r="F596" s="15">
        <v>0.17</v>
      </c>
      <c r="G596" s="15">
        <v>-0.06556414</v>
      </c>
      <c r="H596" s="15">
        <v>-0.02893765</v>
      </c>
      <c r="I596" s="15">
        <v>0.01979879</v>
      </c>
      <c r="J596" s="15">
        <v>0.02189992</v>
      </c>
      <c r="K596" s="15">
        <v>16.16</v>
      </c>
    </row>
    <row r="597" ht="22.5" customHeight="1">
      <c r="A597" s="167">
        <v>46059.94574074074</v>
      </c>
      <c r="B597" s="144" t="s">
        <v>512</v>
      </c>
      <c r="C597" s="15">
        <v>50.59</v>
      </c>
      <c r="D597" s="15">
        <v>0.7</v>
      </c>
      <c r="E597" s="146">
        <v>0.34</v>
      </c>
      <c r="F597" s="15">
        <v>0.34</v>
      </c>
      <c r="G597" s="15">
        <v>-0.05834112</v>
      </c>
      <c r="H597" s="15">
        <v>-0.01646367</v>
      </c>
      <c r="I597" s="15">
        <v>0.00971675</v>
      </c>
      <c r="J597" s="15">
        <v>0.0180735</v>
      </c>
      <c r="K597" s="15">
        <v>26.26</v>
      </c>
    </row>
    <row r="598" ht="22.5" customHeight="1">
      <c r="A598" s="167">
        <v>46059.945752314816</v>
      </c>
      <c r="B598" s="144" t="s">
        <v>542</v>
      </c>
      <c r="C598" s="15">
        <v>693.03</v>
      </c>
      <c r="D598" s="15">
        <v>0.17</v>
      </c>
      <c r="E598" s="146">
        <v>8.25</v>
      </c>
      <c r="F598" s="15">
        <v>8.25</v>
      </c>
      <c r="G598" s="15">
        <v>-0.30264919</v>
      </c>
      <c r="H598" s="15">
        <v>-0.14511189</v>
      </c>
      <c r="I598" s="15">
        <v>0.00856432</v>
      </c>
      <c r="J598" s="15">
        <v>0.81799854</v>
      </c>
      <c r="K598" s="15">
        <v>5038.91</v>
      </c>
    </row>
    <row r="599" ht="22.5" customHeight="1">
      <c r="A599" s="167">
        <v>46059.945763888885</v>
      </c>
      <c r="B599" s="144" t="s">
        <v>513</v>
      </c>
      <c r="C599" s="15">
        <v>50.59</v>
      </c>
      <c r="D599" s="15">
        <v>0.63</v>
      </c>
      <c r="E599" s="146">
        <v>4.7</v>
      </c>
      <c r="F599" s="15">
        <v>4.11</v>
      </c>
      <c r="G599" s="15">
        <v>0.57215071</v>
      </c>
      <c r="H599" s="15">
        <v>-0.05333128</v>
      </c>
      <c r="I599" s="15">
        <v>0.03655455</v>
      </c>
      <c r="J599" s="15">
        <v>0.06717522</v>
      </c>
      <c r="K599" s="15">
        <v>615.12</v>
      </c>
    </row>
    <row r="600" ht="22.5" customHeight="1">
      <c r="A600" s="167">
        <v>46059.94577546296</v>
      </c>
      <c r="B600" s="144" t="s">
        <v>514</v>
      </c>
      <c r="C600" s="15">
        <v>50.59</v>
      </c>
      <c r="D600" s="15">
        <v>0.65</v>
      </c>
      <c r="E600" s="146">
        <v>2.82</v>
      </c>
      <c r="F600" s="15">
        <v>2.82</v>
      </c>
      <c r="G600" s="15">
        <v>0.39972515</v>
      </c>
      <c r="H600" s="15">
        <v>-0.0532399</v>
      </c>
      <c r="I600" s="15">
        <v>0.0351013</v>
      </c>
      <c r="J600" s="15">
        <v>0.06830729</v>
      </c>
      <c r="K600" s="15">
        <v>235.18</v>
      </c>
    </row>
    <row r="601" ht="22.5" customHeight="1">
      <c r="A601" s="167">
        <v>46059.945810185185</v>
      </c>
      <c r="B601" s="144" t="s">
        <v>521</v>
      </c>
      <c r="C601" s="15">
        <v>11.025</v>
      </c>
      <c r="D601" s="15">
        <v>1.48</v>
      </c>
      <c r="E601" s="146">
        <v>0.17</v>
      </c>
      <c r="F601" s="15">
        <v>0.17</v>
      </c>
      <c r="G601" s="15">
        <v>0.083195</v>
      </c>
      <c r="H601" s="15">
        <v>-0.01017475</v>
      </c>
      <c r="I601" s="15">
        <v>0.02779133</v>
      </c>
      <c r="J601" s="15">
        <v>0.00517101</v>
      </c>
      <c r="K601" s="15">
        <v>15.98</v>
      </c>
    </row>
    <row r="602" ht="22.5" customHeight="1">
      <c r="A602" s="167">
        <v>46059.94583333333</v>
      </c>
      <c r="B602" s="144" t="s">
        <v>537</v>
      </c>
      <c r="C602" s="15">
        <v>597.95</v>
      </c>
      <c r="D602" s="15">
        <v>1.45</v>
      </c>
      <c r="E602" s="146">
        <v>0.7</v>
      </c>
      <c r="F602" s="15">
        <v>0.7</v>
      </c>
      <c r="G602" s="15">
        <v>-0.00629838</v>
      </c>
      <c r="H602" s="15">
        <v>-0.06189641</v>
      </c>
      <c r="I602" s="15">
        <v>6.046E-5</v>
      </c>
      <c r="J602" s="15">
        <v>0.03081552</v>
      </c>
      <c r="K602" s="15">
        <v>9817.29</v>
      </c>
    </row>
    <row r="603" ht="22.5" customHeight="1">
      <c r="A603" s="167">
        <v>46059.94584490741</v>
      </c>
      <c r="B603" s="144" t="s">
        <v>546</v>
      </c>
      <c r="C603" s="15">
        <v>455.46</v>
      </c>
      <c r="D603" s="15">
        <v>0.32</v>
      </c>
      <c r="E603" s="146">
        <v>4.15</v>
      </c>
      <c r="F603" s="15">
        <v>4.15</v>
      </c>
      <c r="G603" s="15">
        <v>0.16837962</v>
      </c>
      <c r="H603" s="15">
        <v>-0.15609847</v>
      </c>
      <c r="I603" s="15">
        <v>0.00512555</v>
      </c>
      <c r="J603" s="15">
        <v>0.37067406</v>
      </c>
      <c r="K603" s="15">
        <v>477.94</v>
      </c>
    </row>
    <row r="604" ht="22.5" customHeight="1">
      <c r="A604" s="167">
        <v>46059.945856481485</v>
      </c>
      <c r="B604" s="144" t="s">
        <v>538</v>
      </c>
      <c r="C604" s="15">
        <v>597.95</v>
      </c>
      <c r="D604" s="15">
        <v>1.26</v>
      </c>
      <c r="E604" s="146">
        <v>3.39</v>
      </c>
      <c r="F604" s="15">
        <v>3.39</v>
      </c>
      <c r="G604" s="15">
        <v>-0.03207319</v>
      </c>
      <c r="H604" s="15">
        <v>-0.21657194</v>
      </c>
      <c r="I604" s="15">
        <v>2.8386E-4</v>
      </c>
      <c r="J604" s="15">
        <v>0.12894384</v>
      </c>
      <c r="K604" s="15">
        <v>2132.56</v>
      </c>
    </row>
    <row r="605" ht="22.5" customHeight="1">
      <c r="A605" s="167">
        <v>46059.94587962963</v>
      </c>
      <c r="B605" s="144" t="s">
        <v>565</v>
      </c>
      <c r="C605" s="15">
        <v>238.38</v>
      </c>
      <c r="D605" s="15">
        <v>0.23</v>
      </c>
      <c r="E605" s="146">
        <v>1.44</v>
      </c>
      <c r="F605" s="15">
        <v>1.44</v>
      </c>
      <c r="G605" s="15">
        <v>0.14018328</v>
      </c>
      <c r="H605" s="15">
        <v>-0.05309059</v>
      </c>
      <c r="I605" s="15">
        <v>0.01205067</v>
      </c>
      <c r="J605" s="15">
        <v>0.19557843</v>
      </c>
      <c r="K605" s="15">
        <v>1425.28</v>
      </c>
    </row>
    <row r="606" ht="22.5" customHeight="1">
      <c r="A606" s="167">
        <v>46059.9458912037</v>
      </c>
      <c r="B606" s="144" t="s">
        <v>566</v>
      </c>
      <c r="C606" s="15">
        <v>238.38</v>
      </c>
      <c r="D606" s="15">
        <v>0.24</v>
      </c>
      <c r="E606" s="146">
        <v>0.62</v>
      </c>
      <c r="F606" s="15">
        <v>0.62</v>
      </c>
      <c r="G606" s="15">
        <v>0.07095825</v>
      </c>
      <c r="H606" s="15">
        <v>-0.03374442</v>
      </c>
      <c r="I606" s="15">
        <v>0.00690283</v>
      </c>
      <c r="J606" s="15">
        <v>0.12022311</v>
      </c>
      <c r="K606" s="15">
        <v>55.54</v>
      </c>
    </row>
    <row r="607" ht="22.5" customHeight="1">
      <c r="A607" s="167">
        <v>46059.945914351854</v>
      </c>
      <c r="B607" s="144" t="s">
        <v>563</v>
      </c>
      <c r="C607" s="15">
        <v>119.4</v>
      </c>
      <c r="D607" s="15">
        <v>0.88</v>
      </c>
      <c r="E607" s="146">
        <v>1.3</v>
      </c>
      <c r="F607" s="15">
        <v>1.3</v>
      </c>
      <c r="G607" s="15">
        <v>-0.12979421</v>
      </c>
      <c r="H607" s="15">
        <v>-0.15445006</v>
      </c>
      <c r="I607" s="15">
        <v>0.01032255</v>
      </c>
      <c r="J607" s="15">
        <v>0.04603207</v>
      </c>
      <c r="K607" s="15">
        <v>103.75</v>
      </c>
    </row>
    <row r="608" ht="22.5" customHeight="1">
      <c r="A608" s="167">
        <v>46059.9459375</v>
      </c>
      <c r="B608" s="144" t="s">
        <v>564</v>
      </c>
      <c r="C608" s="15">
        <v>119.4</v>
      </c>
      <c r="D608" s="15">
        <v>0.84</v>
      </c>
      <c r="E608" s="146">
        <v>2.37</v>
      </c>
      <c r="F608" s="15">
        <v>2.37</v>
      </c>
      <c r="G608" s="15">
        <v>-0.1914883</v>
      </c>
      <c r="H608" s="15">
        <v>-0.19078811</v>
      </c>
      <c r="I608" s="15">
        <v>0.01390436</v>
      </c>
      <c r="J608" s="15">
        <v>0.06778548</v>
      </c>
      <c r="K608" s="15">
        <v>1143.29</v>
      </c>
    </row>
    <row r="609" ht="22.5" customHeight="1">
      <c r="A609" s="167">
        <v>46059.94596064815</v>
      </c>
      <c r="B609" s="144" t="s">
        <v>519</v>
      </c>
      <c r="C609" s="15">
        <v>70.19</v>
      </c>
      <c r="D609" s="15">
        <v>0.9</v>
      </c>
      <c r="E609" s="146">
        <v>12.6</v>
      </c>
      <c r="F609" s="15">
        <v>5.79</v>
      </c>
      <c r="G609" s="15">
        <v>-0.56374653</v>
      </c>
      <c r="H609" s="15">
        <v>-0.09498619</v>
      </c>
      <c r="I609" s="15">
        <v>0.01879019</v>
      </c>
      <c r="J609" s="15">
        <v>0.09398778</v>
      </c>
      <c r="K609" s="15">
        <v>172.17</v>
      </c>
    </row>
    <row r="610" ht="22.5" customHeight="1">
      <c r="A610" s="167">
        <v>46059.945972222224</v>
      </c>
      <c r="B610" s="144" t="s">
        <v>560</v>
      </c>
      <c r="C610" s="15">
        <v>70.19</v>
      </c>
      <c r="D610" s="15">
        <v>1.05</v>
      </c>
      <c r="E610" s="146">
        <v>1.46</v>
      </c>
      <c r="F610" s="15">
        <v>1.46</v>
      </c>
      <c r="G610" s="15">
        <v>0.19877365</v>
      </c>
      <c r="H610" s="15">
        <v>-0.14518413</v>
      </c>
      <c r="I610" s="15">
        <v>0.01945803</v>
      </c>
      <c r="J610" s="15">
        <v>0.04024367</v>
      </c>
      <c r="K610" s="15">
        <v>182.92</v>
      </c>
    </row>
    <row r="611" ht="22.5" customHeight="1">
      <c r="A611" s="167">
        <v>46059.94599537037</v>
      </c>
      <c r="B611" s="144" t="s">
        <v>483</v>
      </c>
      <c r="C611" s="15">
        <v>7.32</v>
      </c>
      <c r="D611" s="15">
        <v>0.98</v>
      </c>
      <c r="E611" s="146">
        <v>0.39</v>
      </c>
      <c r="F611" s="15">
        <v>0.39</v>
      </c>
      <c r="G611" s="15">
        <v>0.36333046</v>
      </c>
      <c r="H611" s="15">
        <v>-0.01918576</v>
      </c>
      <c r="I611" s="15">
        <v>0.26824141</v>
      </c>
      <c r="J611" s="15">
        <v>0.00528</v>
      </c>
      <c r="K611" s="15">
        <v>31.36</v>
      </c>
    </row>
    <row r="612" ht="22.5" customHeight="1">
      <c r="A612" s="167">
        <v>46059.94603009259</v>
      </c>
      <c r="B612" s="144" t="s">
        <v>497</v>
      </c>
      <c r="C612" s="15">
        <v>31.16</v>
      </c>
      <c r="D612" s="15">
        <v>0.5</v>
      </c>
      <c r="E612" s="146">
        <v>0.3</v>
      </c>
      <c r="F612" s="15">
        <v>0.3</v>
      </c>
      <c r="G612" s="15">
        <v>-0.15502965</v>
      </c>
      <c r="H612" s="15">
        <v>-0.02543878</v>
      </c>
      <c r="I612" s="15">
        <v>0.07805687</v>
      </c>
      <c r="J612" s="15">
        <v>0.01506296</v>
      </c>
      <c r="K612" s="15">
        <v>6.66</v>
      </c>
    </row>
    <row r="613" ht="22.5" customHeight="1">
      <c r="A613" s="167">
        <v>46059.94605324074</v>
      </c>
      <c r="B613" s="144" t="s">
        <v>530</v>
      </c>
      <c r="C613" s="15">
        <v>89.47</v>
      </c>
      <c r="D613" s="15">
        <v>0.22</v>
      </c>
      <c r="E613" s="146">
        <v>0.31</v>
      </c>
      <c r="F613" s="15">
        <v>0.31</v>
      </c>
      <c r="G613" s="15">
        <v>0.08431275</v>
      </c>
      <c r="H613" s="15">
        <v>-0.02182407</v>
      </c>
      <c r="I613" s="15">
        <v>0.04107125</v>
      </c>
      <c r="J613" s="15">
        <v>0.02878335</v>
      </c>
      <c r="K613" s="15">
        <v>15.16</v>
      </c>
    </row>
    <row r="614" ht="22.5" customHeight="1">
      <c r="A614" s="167">
        <v>46059.94608796296</v>
      </c>
      <c r="B614" s="144" t="s">
        <v>505</v>
      </c>
      <c r="C614" s="15">
        <v>67.32</v>
      </c>
      <c r="D614" s="15">
        <v>0.78</v>
      </c>
      <c r="E614" s="146">
        <v>1.27</v>
      </c>
      <c r="F614" s="15">
        <v>1.27</v>
      </c>
      <c r="G614" s="15">
        <v>-0.201361</v>
      </c>
      <c r="H614" s="15">
        <v>-0.1023828</v>
      </c>
      <c r="I614" s="15">
        <v>0.02740291</v>
      </c>
      <c r="J614" s="15">
        <v>0.03847558</v>
      </c>
      <c r="K614" s="15">
        <v>114.06</v>
      </c>
    </row>
    <row r="615" ht="22.5" customHeight="1">
      <c r="A615" s="167">
        <v>46059.94609953704</v>
      </c>
      <c r="B615" s="144" t="s">
        <v>506</v>
      </c>
      <c r="C615" s="15">
        <v>67.32</v>
      </c>
      <c r="D615" s="15">
        <v>0.82</v>
      </c>
      <c r="E615" s="146">
        <v>3.2</v>
      </c>
      <c r="F615" s="15">
        <v>3.2</v>
      </c>
      <c r="G615" s="15">
        <v>-0.38000006</v>
      </c>
      <c r="H615" s="15">
        <v>-0.1451244</v>
      </c>
      <c r="I615" s="15">
        <v>0.03553447</v>
      </c>
      <c r="J615" s="15">
        <v>0.04919749</v>
      </c>
      <c r="K615" s="15">
        <v>531.24</v>
      </c>
    </row>
    <row r="616" ht="22.5" customHeight="1">
      <c r="A616" s="167">
        <v>46059.94611111111</v>
      </c>
      <c r="B616" s="144" t="s">
        <v>480</v>
      </c>
      <c r="C616" s="15">
        <v>50.59</v>
      </c>
      <c r="D616" s="15">
        <v>0.47</v>
      </c>
      <c r="E616" s="146">
        <v>0.07</v>
      </c>
      <c r="F616" s="15">
        <v>0.07</v>
      </c>
      <c r="G616" s="15">
        <v>0.03515115</v>
      </c>
      <c r="H616" s="15">
        <v>-0.01303421</v>
      </c>
      <c r="I616" s="15">
        <v>0.01676835</v>
      </c>
      <c r="J616" s="15">
        <v>0.00722284</v>
      </c>
      <c r="K616" s="15">
        <v>0.59</v>
      </c>
    </row>
    <row r="617" ht="22.5" customHeight="1">
      <c r="A617" s="167">
        <v>46059.94671296296</v>
      </c>
      <c r="B617" s="144" t="s">
        <v>529</v>
      </c>
      <c r="C617" s="15">
        <v>10.06</v>
      </c>
      <c r="D617" s="15">
        <v>0.63</v>
      </c>
      <c r="E617" s="146">
        <v>0.0</v>
      </c>
      <c r="F617" s="15">
        <v>0.0</v>
      </c>
      <c r="G617" s="15">
        <v>0.03873062</v>
      </c>
      <c r="H617" s="15">
        <v>-0.00485261</v>
      </c>
      <c r="I617" s="15">
        <v>0.04615141</v>
      </c>
      <c r="J617" s="15">
        <v>0.00157685</v>
      </c>
      <c r="K617" s="15">
        <v>1.76</v>
      </c>
    </row>
    <row r="618" ht="22.5" customHeight="1">
      <c r="A618" s="167">
        <v>46059.94732638889</v>
      </c>
      <c r="B618" s="144" t="s">
        <v>528</v>
      </c>
      <c r="C618" s="15">
        <v>95.44</v>
      </c>
      <c r="D618" s="15">
        <v>0.35</v>
      </c>
      <c r="E618" s="146">
        <v>0.0</v>
      </c>
      <c r="F618" s="15">
        <v>0.0</v>
      </c>
      <c r="G618" s="15">
        <v>-0.00510962</v>
      </c>
      <c r="H618" s="15">
        <v>-0.00271203</v>
      </c>
      <c r="I618" s="15">
        <v>0.00265502</v>
      </c>
      <c r="J618" s="15">
        <v>0.00277239</v>
      </c>
      <c r="K618" s="15">
        <v>0.15</v>
      </c>
    </row>
    <row r="619" ht="22.5" customHeight="1">
      <c r="A619" s="167">
        <v>46059.94733796296</v>
      </c>
      <c r="B619" s="144" t="s">
        <v>558</v>
      </c>
      <c r="C619" s="15">
        <v>265.02</v>
      </c>
      <c r="D619" s="15">
        <v>0.21</v>
      </c>
      <c r="E619" s="146">
        <v>4.43</v>
      </c>
      <c r="F619" s="15">
        <v>4.43</v>
      </c>
      <c r="G619" s="15">
        <v>0.36605503</v>
      </c>
      <c r="H619" s="15">
        <v>-0.09537254</v>
      </c>
      <c r="I619" s="15">
        <v>0.02046983</v>
      </c>
      <c r="J619" s="15">
        <v>0.33402063</v>
      </c>
      <c r="K619" s="15">
        <v>36.45</v>
      </c>
    </row>
    <row r="620" ht="22.5" customHeight="1">
      <c r="A620" s="167">
        <v>46059.94734953704</v>
      </c>
      <c r="B620" s="144" t="s">
        <v>478</v>
      </c>
      <c r="C620" s="15">
        <v>693.03</v>
      </c>
      <c r="D620" s="15">
        <v>0.1</v>
      </c>
      <c r="E620" s="146">
        <v>0.19</v>
      </c>
      <c r="F620" s="15">
        <v>0.19</v>
      </c>
      <c r="G620" s="15">
        <v>0.04976567</v>
      </c>
      <c r="H620" s="15">
        <v>-0.02252271</v>
      </c>
      <c r="I620" s="15">
        <v>0.00754089</v>
      </c>
      <c r="J620" s="15">
        <v>0.15784316</v>
      </c>
      <c r="K620" s="15">
        <v>2.46</v>
      </c>
    </row>
    <row r="621" ht="22.5" customHeight="1">
      <c r="A621" s="167">
        <v>46059.94737268519</v>
      </c>
      <c r="B621" s="144" t="s">
        <v>567</v>
      </c>
      <c r="C621" s="15">
        <v>68.12</v>
      </c>
      <c r="D621" s="15">
        <v>0.23</v>
      </c>
      <c r="E621" s="146">
        <v>0.32</v>
      </c>
      <c r="F621" s="15">
        <v>0.32</v>
      </c>
      <c r="G621" s="15">
        <v>0.09672583</v>
      </c>
      <c r="H621" s="15">
        <v>-0.01224582</v>
      </c>
      <c r="I621" s="15">
        <v>0.02987862</v>
      </c>
      <c r="J621" s="15">
        <v>0.0445069</v>
      </c>
      <c r="K621" s="15">
        <v>28.7</v>
      </c>
    </row>
    <row r="622" ht="22.5" customHeight="1">
      <c r="A622" s="167">
        <v>46059.94740740741</v>
      </c>
      <c r="B622" s="144" t="s">
        <v>518</v>
      </c>
      <c r="C622" s="15">
        <v>11.16</v>
      </c>
      <c r="D622" s="15">
        <v>0.26</v>
      </c>
      <c r="E622" s="146">
        <v>0.13</v>
      </c>
      <c r="F622" s="15">
        <v>0.13</v>
      </c>
      <c r="G622" s="15">
        <v>0.2262577</v>
      </c>
      <c r="H622" s="15">
        <v>-0.00374892</v>
      </c>
      <c r="I622" s="15">
        <v>0.31248116</v>
      </c>
      <c r="J622" s="15">
        <v>0.01087692</v>
      </c>
      <c r="K622" s="15">
        <v>11.21</v>
      </c>
    </row>
    <row r="623" ht="22.5" customHeight="1">
      <c r="A623" s="167">
        <v>46059.947430555556</v>
      </c>
      <c r="B623" s="144" t="s">
        <v>550</v>
      </c>
      <c r="C623" s="15">
        <v>9.61</v>
      </c>
      <c r="D623" s="15">
        <v>0.26</v>
      </c>
      <c r="E623" s="146">
        <v>0.2</v>
      </c>
      <c r="F623" s="15">
        <v>0.2</v>
      </c>
      <c r="G623" s="15">
        <v>0.36243771</v>
      </c>
      <c r="H623" s="15">
        <v>-0.00423874</v>
      </c>
      <c r="I623" s="15">
        <v>0.43668156</v>
      </c>
      <c r="J623" s="15">
        <v>0.01193712</v>
      </c>
      <c r="K623" s="15">
        <v>25.1</v>
      </c>
    </row>
    <row r="624" ht="22.5" customHeight="1">
      <c r="A624" s="167">
        <v>46059.9474537037</v>
      </c>
      <c r="B624" s="144" t="s">
        <v>568</v>
      </c>
      <c r="C624" s="15">
        <v>43.91</v>
      </c>
      <c r="D624" s="15">
        <v>0.32</v>
      </c>
      <c r="E624" s="146">
        <v>0.42</v>
      </c>
      <c r="F624" s="15">
        <v>0.42</v>
      </c>
      <c r="G624" s="15">
        <v>-0.17055866</v>
      </c>
      <c r="H624" s="15">
        <v>-0.013584</v>
      </c>
      <c r="I624" s="15">
        <v>0.05378078</v>
      </c>
      <c r="J624" s="15">
        <v>0.03649046</v>
      </c>
      <c r="K624" s="15">
        <v>33.88</v>
      </c>
    </row>
    <row r="625" ht="22.5" customHeight="1">
      <c r="A625" s="167">
        <v>46063.92402777778</v>
      </c>
      <c r="B625" s="144" t="s">
        <v>543</v>
      </c>
      <c r="C625" s="15">
        <v>694.0</v>
      </c>
      <c r="D625" s="15">
        <v>0.21</v>
      </c>
      <c r="E625" s="146">
        <v>3.67</v>
      </c>
      <c r="F625" s="15">
        <v>3.67</v>
      </c>
      <c r="G625" s="15">
        <v>-0.14336401</v>
      </c>
      <c r="H625" s="15">
        <v>-0.12679101</v>
      </c>
      <c r="I625" s="15">
        <v>0.00487</v>
      </c>
      <c r="J625" s="15">
        <v>0.50582035</v>
      </c>
      <c r="K625" s="15">
        <v>4676.56</v>
      </c>
    </row>
    <row r="626" ht="22.5" customHeight="1">
      <c r="A626" s="167">
        <v>46063.92403935185</v>
      </c>
      <c r="B626" s="144" t="s">
        <v>544</v>
      </c>
      <c r="C626" s="15">
        <v>694.0</v>
      </c>
      <c r="D626" s="15">
        <v>0.18</v>
      </c>
      <c r="E626" s="146">
        <v>6.0</v>
      </c>
      <c r="F626" s="15">
        <v>6.0</v>
      </c>
      <c r="G626" s="15">
        <v>-0.24794079</v>
      </c>
      <c r="H626" s="15">
        <v>-0.15211845</v>
      </c>
      <c r="I626" s="15">
        <v>0.00765726</v>
      </c>
      <c r="J626" s="15">
        <v>0.70752497</v>
      </c>
      <c r="K626" s="15">
        <v>4838.52</v>
      </c>
    </row>
    <row r="627" ht="22.5" customHeight="1">
      <c r="A627" s="167">
        <v>46063.9240625</v>
      </c>
      <c r="B627" s="144" t="s">
        <v>556</v>
      </c>
      <c r="C627" s="15">
        <v>266.16</v>
      </c>
      <c r="D627" s="15">
        <v>0.21</v>
      </c>
      <c r="E627" s="146">
        <v>5.88</v>
      </c>
      <c r="F627" s="15">
        <v>5.88</v>
      </c>
      <c r="G627" s="15">
        <v>0.46025141</v>
      </c>
      <c r="H627" s="15">
        <v>-0.10803939</v>
      </c>
      <c r="I627" s="15">
        <v>0.02274426</v>
      </c>
      <c r="J627" s="15">
        <v>0.33392013</v>
      </c>
      <c r="K627" s="15">
        <v>42.41</v>
      </c>
    </row>
    <row r="628" ht="22.5" customHeight="1">
      <c r="A628" s="167">
        <v>46063.92407407407</v>
      </c>
      <c r="B628" s="144" t="s">
        <v>557</v>
      </c>
      <c r="C628" s="15">
        <v>266.16</v>
      </c>
      <c r="D628" s="15">
        <v>0.27</v>
      </c>
      <c r="E628" s="146">
        <v>1.32</v>
      </c>
      <c r="F628" s="15">
        <v>1.32</v>
      </c>
      <c r="G628" s="15">
        <v>-0.10654244</v>
      </c>
      <c r="H628" s="15">
        <v>-0.05384268</v>
      </c>
      <c r="I628" s="15">
        <v>0.00783455</v>
      </c>
      <c r="J628" s="15">
        <v>0.16767641</v>
      </c>
      <c r="K628" s="15">
        <v>1702.3</v>
      </c>
    </row>
    <row r="629" ht="22.5" customHeight="1">
      <c r="A629" s="167">
        <v>46063.924108796295</v>
      </c>
      <c r="B629" s="144" t="s">
        <v>515</v>
      </c>
      <c r="C629" s="15">
        <v>15.33</v>
      </c>
      <c r="D629" s="15">
        <v>0.34</v>
      </c>
      <c r="E629" s="146">
        <v>0.18</v>
      </c>
      <c r="F629" s="15">
        <v>0.18</v>
      </c>
      <c r="G629" s="15">
        <v>0.19475318</v>
      </c>
      <c r="H629" s="15">
        <v>-0.00635675</v>
      </c>
      <c r="I629" s="15">
        <v>0.16649363</v>
      </c>
      <c r="J629" s="15">
        <v>0.01433461</v>
      </c>
      <c r="K629" s="15">
        <v>15.48</v>
      </c>
    </row>
    <row r="630" ht="22.5" customHeight="1">
      <c r="A630" s="167">
        <v>46063.92412037037</v>
      </c>
      <c r="B630" s="144" t="s">
        <v>517</v>
      </c>
      <c r="C630" s="15">
        <v>15.33</v>
      </c>
      <c r="D630" s="15">
        <v>0.41</v>
      </c>
      <c r="E630" s="146">
        <v>0.02</v>
      </c>
      <c r="F630" s="15">
        <v>0.02</v>
      </c>
      <c r="G630" s="15">
        <v>-0.02480148</v>
      </c>
      <c r="H630" s="15">
        <v>-0.0015035</v>
      </c>
      <c r="I630" s="15">
        <v>0.02878961</v>
      </c>
      <c r="J630" s="15">
        <v>0.00267701</v>
      </c>
      <c r="K630" s="15">
        <v>2.41</v>
      </c>
    </row>
    <row r="631" ht="22.5" customHeight="1">
      <c r="A631" s="167">
        <v>46063.92414351852</v>
      </c>
      <c r="B631" s="144" t="s">
        <v>536</v>
      </c>
      <c r="C631" s="15">
        <v>27.41</v>
      </c>
      <c r="D631" s="15">
        <v>0.22</v>
      </c>
      <c r="E631" s="146">
        <v>1.05</v>
      </c>
      <c r="F631" s="15">
        <v>0.64</v>
      </c>
      <c r="G631" s="15">
        <v>0.61767715</v>
      </c>
      <c r="H631" s="15">
        <v>-0.01170074</v>
      </c>
      <c r="I631" s="15">
        <v>0.19626455</v>
      </c>
      <c r="J631" s="15">
        <v>0.03385731</v>
      </c>
      <c r="K631" s="15">
        <v>57.07</v>
      </c>
    </row>
    <row r="632" ht="22.5" customHeight="1">
      <c r="A632" s="167">
        <v>46063.924155092594</v>
      </c>
      <c r="B632" s="144" t="s">
        <v>561</v>
      </c>
      <c r="C632" s="15">
        <v>27.41</v>
      </c>
      <c r="D632" s="15">
        <v>0.22</v>
      </c>
      <c r="E632" s="146">
        <v>0.54</v>
      </c>
      <c r="F632" s="15">
        <v>0.54</v>
      </c>
      <c r="G632" s="15">
        <v>-0.38691848</v>
      </c>
      <c r="H632" s="15">
        <v>-0.00875308</v>
      </c>
      <c r="I632" s="15">
        <v>0.20268838</v>
      </c>
      <c r="J632" s="15">
        <v>0.03376446</v>
      </c>
      <c r="K632" s="15">
        <v>16.51</v>
      </c>
    </row>
    <row r="633" ht="22.5" customHeight="1">
      <c r="A633" s="167">
        <v>46063.92418981482</v>
      </c>
      <c r="B633" s="144" t="s">
        <v>526</v>
      </c>
      <c r="C633" s="15">
        <v>220.92</v>
      </c>
      <c r="D633" s="15">
        <v>0.3</v>
      </c>
      <c r="E633" s="146">
        <v>2.7</v>
      </c>
      <c r="F633" s="15">
        <v>2.7</v>
      </c>
      <c r="G633" s="15">
        <v>0.22559112</v>
      </c>
      <c r="H633" s="15">
        <v>-0.0913023</v>
      </c>
      <c r="I633" s="15">
        <v>0.01392125</v>
      </c>
      <c r="J633" s="15">
        <v>0.20427716</v>
      </c>
      <c r="K633" s="15">
        <v>1545.33</v>
      </c>
    </row>
    <row r="634" ht="22.5" customHeight="1">
      <c r="A634" s="167">
        <v>46063.92420138889</v>
      </c>
      <c r="B634" s="144" t="s">
        <v>527</v>
      </c>
      <c r="C634" s="15">
        <v>220.92</v>
      </c>
      <c r="D634" s="15">
        <v>0.31</v>
      </c>
      <c r="E634" s="146">
        <v>1.32</v>
      </c>
      <c r="F634" s="15">
        <v>1.32</v>
      </c>
      <c r="G634" s="15">
        <v>0.12916161</v>
      </c>
      <c r="H634" s="15">
        <v>-0.06555039</v>
      </c>
      <c r="I634" s="15">
        <v>0.00943843</v>
      </c>
      <c r="J634" s="15">
        <v>0.15518626</v>
      </c>
      <c r="K634" s="15">
        <v>118.8</v>
      </c>
    </row>
    <row r="635" ht="22.5" customHeight="1">
      <c r="A635" s="167">
        <v>46063.92422453704</v>
      </c>
      <c r="B635" s="144" t="s">
        <v>511</v>
      </c>
      <c r="C635" s="15">
        <v>34.02</v>
      </c>
      <c r="D635" s="15">
        <v>0.4</v>
      </c>
      <c r="E635" s="146">
        <v>0.24</v>
      </c>
      <c r="F635" s="15">
        <v>0.24</v>
      </c>
      <c r="G635" s="15">
        <v>0.11737424</v>
      </c>
      <c r="H635" s="15">
        <v>-0.01187365</v>
      </c>
      <c r="I635" s="15">
        <v>0.0447767</v>
      </c>
      <c r="J635" s="15">
        <v>0.0210937</v>
      </c>
      <c r="K635" s="15">
        <v>15.74</v>
      </c>
    </row>
    <row r="636" ht="22.5" customHeight="1">
      <c r="A636" s="167">
        <v>46063.92424768519</v>
      </c>
      <c r="B636" s="144" t="s">
        <v>552</v>
      </c>
      <c r="C636" s="15">
        <v>63.9</v>
      </c>
      <c r="D636" s="15">
        <v>0.18</v>
      </c>
      <c r="E636" s="146">
        <v>0.9</v>
      </c>
      <c r="F636" s="15">
        <v>0.9</v>
      </c>
      <c r="G636" s="15">
        <v>0.39926698</v>
      </c>
      <c r="H636" s="15">
        <v>-0.02224794</v>
      </c>
      <c r="I636" s="15">
        <v>0.10519234</v>
      </c>
      <c r="J636" s="15">
        <v>0.08079655</v>
      </c>
      <c r="K636" s="15">
        <v>78.72</v>
      </c>
    </row>
    <row r="637" ht="22.5" customHeight="1">
      <c r="A637" s="167">
        <v>46063.92428240741</v>
      </c>
      <c r="B637" s="144" t="s">
        <v>547</v>
      </c>
      <c r="C637" s="15">
        <v>33.35</v>
      </c>
      <c r="D637" s="15">
        <v>0.42</v>
      </c>
      <c r="E637" s="146">
        <v>0.28</v>
      </c>
      <c r="F637" s="15">
        <v>0.28</v>
      </c>
      <c r="G637" s="15">
        <v>0.0962201</v>
      </c>
      <c r="H637" s="15">
        <v>-0.01039295</v>
      </c>
      <c r="I637" s="15">
        <v>0.03852868</v>
      </c>
      <c r="J637" s="15">
        <v>0.02092264</v>
      </c>
      <c r="K637" s="15">
        <v>23.12</v>
      </c>
    </row>
    <row r="638" ht="22.5" customHeight="1">
      <c r="A638" s="167">
        <v>46063.924305555556</v>
      </c>
      <c r="B638" s="144" t="s">
        <v>523</v>
      </c>
      <c r="C638" s="15">
        <v>6047.06</v>
      </c>
      <c r="D638" s="15">
        <v>0.13</v>
      </c>
      <c r="E638" s="146">
        <v>25.0</v>
      </c>
      <c r="F638" s="15">
        <v>25.0</v>
      </c>
      <c r="G638" s="15">
        <v>0.17262455</v>
      </c>
      <c r="H638" s="15">
        <v>-0.89887981</v>
      </c>
      <c r="I638" s="15">
        <v>0.00100776</v>
      </c>
      <c r="J638" s="15">
        <v>4.95387132</v>
      </c>
      <c r="K638" s="15">
        <v>8.16</v>
      </c>
    </row>
    <row r="639" ht="22.5" customHeight="1">
      <c r="A639" s="167">
        <v>46063.9243287037</v>
      </c>
      <c r="B639" s="144" t="s">
        <v>548</v>
      </c>
      <c r="C639" s="15">
        <v>21.18</v>
      </c>
      <c r="D639" s="15">
        <v>0.65</v>
      </c>
      <c r="E639" s="146">
        <v>0.17</v>
      </c>
      <c r="F639" s="15">
        <v>0.17</v>
      </c>
      <c r="G639" s="15">
        <v>-0.14160615</v>
      </c>
      <c r="H639" s="15">
        <v>-0.02544835</v>
      </c>
      <c r="I639" s="15">
        <v>0.09893118</v>
      </c>
      <c r="J639" s="15">
        <v>0.00824403</v>
      </c>
      <c r="K639" s="15">
        <v>15.46</v>
      </c>
    </row>
    <row r="640" ht="22.5" customHeight="1">
      <c r="A640" s="167">
        <v>46063.92434027778</v>
      </c>
      <c r="B640" s="144" t="s">
        <v>524</v>
      </c>
      <c r="C640" s="15">
        <v>6047.06</v>
      </c>
      <c r="D640" s="15">
        <v>0.13</v>
      </c>
      <c r="E640" s="146">
        <v>32.5</v>
      </c>
      <c r="F640" s="15">
        <v>32.5</v>
      </c>
      <c r="G640" s="15">
        <v>0.20018023</v>
      </c>
      <c r="H640" s="15">
        <v>-0.99628109</v>
      </c>
      <c r="I640" s="15">
        <v>0.00109458</v>
      </c>
      <c r="J640" s="15">
        <v>5.43016224</v>
      </c>
      <c r="K640" s="15">
        <v>10.25</v>
      </c>
    </row>
    <row r="641" ht="22.5" customHeight="1">
      <c r="A641" s="167">
        <v>46063.92435185185</v>
      </c>
      <c r="B641" s="144" t="s">
        <v>525</v>
      </c>
      <c r="C641" s="15">
        <v>6047.06</v>
      </c>
      <c r="D641" s="15">
        <v>0.21</v>
      </c>
      <c r="E641" s="146">
        <v>26.4</v>
      </c>
      <c r="F641" s="15">
        <v>26.4</v>
      </c>
      <c r="G641" s="15">
        <v>-0.13161417</v>
      </c>
      <c r="H641" s="15">
        <v>-1.12163001</v>
      </c>
      <c r="I641" s="15">
        <v>5.2617E-4</v>
      </c>
      <c r="J641" s="15">
        <v>4.13604949</v>
      </c>
      <c r="K641" s="15">
        <v>3694.42</v>
      </c>
    </row>
    <row r="642" ht="22.5" customHeight="1">
      <c r="A642" s="167">
        <v>46063.924375</v>
      </c>
      <c r="B642" s="144" t="s">
        <v>532</v>
      </c>
      <c r="C642" s="15">
        <v>92.4</v>
      </c>
      <c r="D642" s="15">
        <v>0.39</v>
      </c>
      <c r="E642" s="146">
        <v>0.625</v>
      </c>
      <c r="F642" s="15">
        <v>0.625</v>
      </c>
      <c r="G642" s="15">
        <v>-0.12040277</v>
      </c>
      <c r="H642" s="15">
        <v>-0.02833698</v>
      </c>
      <c r="I642" s="15">
        <v>0.01723417</v>
      </c>
      <c r="J642" s="15">
        <v>0.05876382</v>
      </c>
      <c r="K642" s="15">
        <v>417.69</v>
      </c>
    </row>
    <row r="643" ht="22.5" customHeight="1">
      <c r="A643" s="167">
        <v>46063.92438657407</v>
      </c>
      <c r="B643" s="144" t="s">
        <v>562</v>
      </c>
      <c r="C643" s="15">
        <v>92.4</v>
      </c>
      <c r="D643" s="15">
        <v>0.35</v>
      </c>
      <c r="E643" s="146">
        <v>1.2</v>
      </c>
      <c r="F643" s="15">
        <v>1.2</v>
      </c>
      <c r="G643" s="15">
        <v>-0.20433353</v>
      </c>
      <c r="H643" s="15">
        <v>-0.03714971</v>
      </c>
      <c r="I643" s="15">
        <v>0.02726161</v>
      </c>
      <c r="J643" s="15">
        <v>0.08679943</v>
      </c>
      <c r="K643" s="15">
        <v>270.15</v>
      </c>
    </row>
    <row r="644" ht="22.5" customHeight="1">
      <c r="A644" s="167">
        <v>46063.924421296295</v>
      </c>
      <c r="B644" s="144" t="s">
        <v>553</v>
      </c>
      <c r="C644" s="15">
        <v>51.02</v>
      </c>
      <c r="D644" s="15">
        <v>0.79</v>
      </c>
      <c r="E644" s="146">
        <v>1.4</v>
      </c>
      <c r="F644" s="15">
        <v>1.4</v>
      </c>
      <c r="G644" s="15">
        <v>-0.18129415</v>
      </c>
      <c r="H644" s="15">
        <v>-0.04393658</v>
      </c>
      <c r="I644" s="15">
        <v>0.02051901</v>
      </c>
      <c r="J644" s="15">
        <v>0.04566484</v>
      </c>
      <c r="K644" s="15">
        <v>611.14</v>
      </c>
    </row>
    <row r="645" ht="22.5" customHeight="1">
      <c r="A645" s="167">
        <v>46063.92443287037</v>
      </c>
      <c r="B645" s="144" t="s">
        <v>554</v>
      </c>
      <c r="C645" s="15">
        <v>51.02</v>
      </c>
      <c r="D645" s="15">
        <v>0.49</v>
      </c>
      <c r="E645" s="146">
        <v>1.16</v>
      </c>
      <c r="F645" s="15">
        <v>1.16</v>
      </c>
      <c r="G645" s="15">
        <v>0.2583241</v>
      </c>
      <c r="H645" s="15">
        <v>-0.03598068</v>
      </c>
      <c r="I645" s="15">
        <v>0.04001683</v>
      </c>
      <c r="J645" s="15">
        <v>0.05543573</v>
      </c>
      <c r="K645" s="15">
        <v>7.54</v>
      </c>
    </row>
    <row r="646" ht="22.5" customHeight="1">
      <c r="A646" s="167">
        <v>46063.92444444444</v>
      </c>
      <c r="B646" s="144" t="s">
        <v>555</v>
      </c>
      <c r="C646" s="15">
        <v>51.02</v>
      </c>
      <c r="D646" s="15">
        <v>0.47</v>
      </c>
      <c r="E646" s="146">
        <v>0.64</v>
      </c>
      <c r="F646" s="15">
        <v>0.64</v>
      </c>
      <c r="G646" s="15">
        <v>0.16463349</v>
      </c>
      <c r="H646" s="15">
        <v>-0.02598798</v>
      </c>
      <c r="I646" s="15">
        <v>0.03234671</v>
      </c>
      <c r="J646" s="15">
        <v>0.03988151</v>
      </c>
      <c r="K646" s="15">
        <v>4.45</v>
      </c>
    </row>
    <row r="647" ht="22.5" customHeight="1">
      <c r="A647" s="167">
        <v>46063.924467592595</v>
      </c>
      <c r="B647" s="144" t="s">
        <v>533</v>
      </c>
      <c r="C647" s="15">
        <v>87.62</v>
      </c>
      <c r="D647" s="15">
        <v>0.19</v>
      </c>
      <c r="E647" s="146">
        <v>1.4</v>
      </c>
      <c r="F647" s="15">
        <v>1.28</v>
      </c>
      <c r="G647" s="15">
        <v>0.53822423</v>
      </c>
      <c r="H647" s="15">
        <v>-0.0593101</v>
      </c>
      <c r="I647" s="15">
        <v>0.14702792</v>
      </c>
      <c r="J647" s="15">
        <v>0.05748782</v>
      </c>
      <c r="K647" s="15">
        <v>108.94</v>
      </c>
    </row>
    <row r="648" ht="22.5" customHeight="1">
      <c r="A648" s="167">
        <v>46063.92449074074</v>
      </c>
      <c r="B648" s="144" t="s">
        <v>539</v>
      </c>
      <c r="C648" s="15">
        <v>182.26</v>
      </c>
      <c r="D648" s="15">
        <v>0.25</v>
      </c>
      <c r="E648" s="146">
        <v>0.43</v>
      </c>
      <c r="F648" s="15">
        <v>0.43</v>
      </c>
      <c r="G648" s="15">
        <v>0.1378014</v>
      </c>
      <c r="H648" s="15">
        <v>-0.09306611</v>
      </c>
      <c r="I648" s="15">
        <v>0.03186248</v>
      </c>
      <c r="J648" s="15">
        <v>0.06228402</v>
      </c>
      <c r="K648" s="15">
        <v>36.8</v>
      </c>
    </row>
    <row r="649" ht="22.5" customHeight="1">
      <c r="A649" s="167">
        <v>46063.92451388889</v>
      </c>
      <c r="B649" s="144" t="s">
        <v>500</v>
      </c>
      <c r="C649" s="15">
        <v>91.91</v>
      </c>
      <c r="D649" s="15">
        <v>0.38</v>
      </c>
      <c r="E649" s="146">
        <v>0.42</v>
      </c>
      <c r="F649" s="15">
        <v>0.42</v>
      </c>
      <c r="G649" s="15">
        <v>-0.09936124</v>
      </c>
      <c r="H649" s="15">
        <v>-0.05019611</v>
      </c>
      <c r="I649" s="15">
        <v>0.03007156</v>
      </c>
      <c r="J649" s="15">
        <v>0.02459298</v>
      </c>
      <c r="K649" s="15">
        <v>24.82</v>
      </c>
    </row>
    <row r="650" ht="22.5" customHeight="1">
      <c r="A650" s="167">
        <v>46063.92454861111</v>
      </c>
      <c r="B650" s="144" t="s">
        <v>512</v>
      </c>
      <c r="C650" s="15">
        <v>47.13</v>
      </c>
      <c r="D650" s="15">
        <v>0.64</v>
      </c>
      <c r="E650" s="146">
        <v>0.39</v>
      </c>
      <c r="F650" s="15">
        <v>0.39</v>
      </c>
      <c r="G650" s="15">
        <v>-0.07743218</v>
      </c>
      <c r="H650" s="15">
        <v>-0.01829177</v>
      </c>
      <c r="I650" s="15">
        <v>0.0148559</v>
      </c>
      <c r="J650" s="15">
        <v>0.02202023</v>
      </c>
      <c r="K650" s="15">
        <v>32.51</v>
      </c>
    </row>
    <row r="651" ht="22.5" customHeight="1">
      <c r="A651" s="167">
        <v>46063.92461805556</v>
      </c>
      <c r="B651" s="144" t="s">
        <v>542</v>
      </c>
      <c r="C651" s="15">
        <v>694.0</v>
      </c>
      <c r="D651" s="15">
        <v>0.18</v>
      </c>
      <c r="E651" s="146">
        <v>6.85</v>
      </c>
      <c r="F651" s="15">
        <v>6.85</v>
      </c>
      <c r="G651" s="15">
        <v>-0.2812023</v>
      </c>
      <c r="H651" s="15">
        <v>-0.15324722</v>
      </c>
      <c r="I651" s="15">
        <v>0.00851539</v>
      </c>
      <c r="J651" s="15">
        <v>0.75441819</v>
      </c>
      <c r="K651" s="15">
        <v>5030.78</v>
      </c>
    </row>
    <row r="652" ht="22.5" customHeight="1">
      <c r="A652" s="167">
        <v>46063.924629629626</v>
      </c>
      <c r="B652" s="144" t="s">
        <v>513</v>
      </c>
      <c r="C652" s="15">
        <v>47.13</v>
      </c>
      <c r="D652" s="15">
        <v>0.6</v>
      </c>
      <c r="E652" s="146">
        <v>2.55</v>
      </c>
      <c r="F652" s="15">
        <v>2.55</v>
      </c>
      <c r="G652" s="15">
        <v>0.42613402</v>
      </c>
      <c r="H652" s="15">
        <v>-0.04909052</v>
      </c>
      <c r="I652" s="15">
        <v>0.04319062</v>
      </c>
      <c r="J652" s="15">
        <v>0.05982382</v>
      </c>
      <c r="K652" s="15">
        <v>471.24</v>
      </c>
    </row>
    <row r="653" ht="22.5" customHeight="1">
      <c r="A653" s="167">
        <v>46063.9246412037</v>
      </c>
      <c r="B653" s="144" t="s">
        <v>514</v>
      </c>
      <c r="C653" s="15">
        <v>47.13</v>
      </c>
      <c r="D653" s="15">
        <v>0.62</v>
      </c>
      <c r="E653" s="146">
        <v>1.3</v>
      </c>
      <c r="F653" s="15">
        <v>1.3</v>
      </c>
      <c r="G653" s="15">
        <v>0.25493501</v>
      </c>
      <c r="H653" s="15">
        <v>-0.04095067</v>
      </c>
      <c r="I653" s="15">
        <v>0.03449363</v>
      </c>
      <c r="J653" s="15">
        <v>0.05185727</v>
      </c>
      <c r="K653" s="15">
        <v>108.43</v>
      </c>
    </row>
    <row r="654" ht="22.5" customHeight="1">
      <c r="A654" s="167">
        <v>46063.92466435185</v>
      </c>
      <c r="B654" s="144" t="s">
        <v>521</v>
      </c>
      <c r="C654" s="15">
        <v>11.0</v>
      </c>
      <c r="D654" s="15">
        <v>1.39</v>
      </c>
      <c r="E654" s="146">
        <v>0.1</v>
      </c>
      <c r="F654" s="15">
        <v>0.1</v>
      </c>
      <c r="G654" s="15">
        <v>0.05449858</v>
      </c>
      <c r="H654" s="15">
        <v>-0.00726289</v>
      </c>
      <c r="I654" s="15">
        <v>0.02237802</v>
      </c>
      <c r="J654" s="15">
        <v>0.00345022</v>
      </c>
      <c r="K654" s="15">
        <v>10.02</v>
      </c>
    </row>
    <row r="655" ht="22.5" customHeight="1">
      <c r="A655" s="167">
        <v>46063.9246875</v>
      </c>
      <c r="B655" s="144" t="s">
        <v>565</v>
      </c>
      <c r="C655" s="15">
        <v>243.34</v>
      </c>
      <c r="D655" s="15">
        <v>0.22</v>
      </c>
      <c r="E655" s="146">
        <v>1.8</v>
      </c>
      <c r="F655" s="15">
        <v>1.8</v>
      </c>
      <c r="G655" s="15">
        <v>0.18114438</v>
      </c>
      <c r="H655" s="15">
        <v>-0.06482753</v>
      </c>
      <c r="I655" s="15">
        <v>0.01542061</v>
      </c>
      <c r="J655" s="15">
        <v>0.22605479</v>
      </c>
      <c r="K655" s="15">
        <v>1583.19</v>
      </c>
    </row>
    <row r="656" ht="22.5" customHeight="1">
      <c r="A656" s="167">
        <v>46063.92469907407</v>
      </c>
      <c r="B656" s="144" t="s">
        <v>566</v>
      </c>
      <c r="C656" s="15">
        <v>243.34</v>
      </c>
      <c r="D656" s="15">
        <v>0.25</v>
      </c>
      <c r="E656" s="146">
        <v>1.0</v>
      </c>
      <c r="F656" s="15">
        <v>1.0</v>
      </c>
      <c r="G656" s="15">
        <v>0.10343224</v>
      </c>
      <c r="H656" s="15">
        <v>-0.0489895</v>
      </c>
      <c r="I656" s="15">
        <v>0.00924525</v>
      </c>
      <c r="J656" s="15">
        <v>0.15077553</v>
      </c>
      <c r="K656" s="15">
        <v>73.07</v>
      </c>
    </row>
    <row r="657" ht="22.5" customHeight="1">
      <c r="A657" s="167">
        <v>46063.924733796295</v>
      </c>
      <c r="B657" s="144" t="s">
        <v>563</v>
      </c>
      <c r="C657" s="15">
        <v>120.7</v>
      </c>
      <c r="D657" s="15">
        <v>0.85</v>
      </c>
      <c r="E657" s="146">
        <v>0.5</v>
      </c>
      <c r="F657" s="15">
        <v>0.5</v>
      </c>
      <c r="G657" s="15">
        <v>-0.07829053</v>
      </c>
      <c r="H657" s="15">
        <v>-0.12325812</v>
      </c>
      <c r="I657" s="15">
        <v>0.00863663</v>
      </c>
      <c r="J657" s="15">
        <v>0.03073118</v>
      </c>
      <c r="K657" s="15">
        <v>42.78</v>
      </c>
    </row>
    <row r="658" ht="22.5" customHeight="1">
      <c r="A658" s="167">
        <v>46063.92474537037</v>
      </c>
      <c r="B658" s="144" t="s">
        <v>564</v>
      </c>
      <c r="C658" s="15">
        <v>120.7</v>
      </c>
      <c r="D658" s="15">
        <v>0.79</v>
      </c>
      <c r="E658" s="146">
        <v>1.14</v>
      </c>
      <c r="F658" s="15">
        <v>1.14</v>
      </c>
      <c r="G658" s="15">
        <v>-0.1278017</v>
      </c>
      <c r="H658" s="15">
        <v>-0.16403834</v>
      </c>
      <c r="I658" s="15">
        <v>0.01326397</v>
      </c>
      <c r="J658" s="15">
        <v>0.04016496</v>
      </c>
      <c r="K658" s="15">
        <v>964.34</v>
      </c>
    </row>
    <row r="659" ht="22.5" customHeight="1">
      <c r="A659" s="167">
        <v>46063.92482638889</v>
      </c>
      <c r="B659" s="144" t="s">
        <v>519</v>
      </c>
      <c r="C659" s="15">
        <v>73.41</v>
      </c>
      <c r="D659" s="15">
        <v>0.77</v>
      </c>
      <c r="E659" s="146">
        <v>9.17</v>
      </c>
      <c r="F659" s="15">
        <v>5.58</v>
      </c>
      <c r="G659" s="15">
        <v>-0.52678229</v>
      </c>
      <c r="H659" s="15">
        <v>-0.08925344</v>
      </c>
      <c r="I659" s="15">
        <v>0.02227948</v>
      </c>
      <c r="J659" s="15">
        <v>0.0935605</v>
      </c>
      <c r="K659" s="15">
        <v>194.52</v>
      </c>
    </row>
    <row r="660" ht="22.5" customHeight="1">
      <c r="A660" s="167">
        <v>46063.924837962964</v>
      </c>
      <c r="B660" s="144" t="s">
        <v>560</v>
      </c>
      <c r="C660" s="15">
        <v>73.41</v>
      </c>
      <c r="D660" s="15">
        <v>0.79</v>
      </c>
      <c r="E660" s="146">
        <v>0.68</v>
      </c>
      <c r="F660" s="15">
        <v>0.68</v>
      </c>
      <c r="G660" s="15">
        <v>0.14363246</v>
      </c>
      <c r="H660" s="15">
        <v>-0.1097005</v>
      </c>
      <c r="I660" s="15">
        <v>0.02369071</v>
      </c>
      <c r="J660" s="15">
        <v>0.02869418</v>
      </c>
      <c r="K660" s="15">
        <v>66.97</v>
      </c>
    </row>
    <row r="661" ht="22.5" customHeight="1">
      <c r="A661" s="167">
        <v>46063.92486111111</v>
      </c>
      <c r="B661" s="144" t="s">
        <v>483</v>
      </c>
      <c r="C661" s="15">
        <v>7.3</v>
      </c>
      <c r="D661" s="15">
        <v>1.21</v>
      </c>
      <c r="E661" s="146">
        <v>0.25</v>
      </c>
      <c r="F661" s="15">
        <v>0.25</v>
      </c>
      <c r="G661" s="15">
        <v>0.36091389</v>
      </c>
      <c r="H661" s="15">
        <v>-0.02451802</v>
      </c>
      <c r="I661" s="15">
        <v>0.2652443</v>
      </c>
      <c r="J661" s="15">
        <v>0.0046769</v>
      </c>
      <c r="K661" s="15">
        <v>25.16</v>
      </c>
    </row>
    <row r="662" ht="22.5" customHeight="1">
      <c r="A662" s="167">
        <v>46063.925474537034</v>
      </c>
      <c r="B662" s="144" t="s">
        <v>497</v>
      </c>
      <c r="C662" s="15">
        <v>31.45</v>
      </c>
      <c r="D662" s="15">
        <v>0.61</v>
      </c>
      <c r="E662" s="146">
        <v>0.0</v>
      </c>
      <c r="F662" s="15">
        <v>0.0</v>
      </c>
      <c r="G662" s="15">
        <v>-0.05690654</v>
      </c>
      <c r="H662" s="15">
        <v>-0.01669158</v>
      </c>
      <c r="I662" s="15">
        <v>0.03707137</v>
      </c>
      <c r="J662" s="15">
        <v>0.00639927</v>
      </c>
      <c r="K662" s="15">
        <v>5.54</v>
      </c>
    </row>
    <row r="663" ht="22.5" customHeight="1">
      <c r="A663" s="167">
        <v>46063.92549768519</v>
      </c>
      <c r="B663" s="144" t="s">
        <v>530</v>
      </c>
      <c r="C663" s="15">
        <v>90.83</v>
      </c>
      <c r="D663" s="15">
        <v>0.24</v>
      </c>
      <c r="E663" s="146">
        <v>0.33</v>
      </c>
      <c r="F663" s="15">
        <v>0.33</v>
      </c>
      <c r="G663" s="15">
        <v>0.08123071</v>
      </c>
      <c r="H663" s="15">
        <v>-0.02436355</v>
      </c>
      <c r="I663" s="15">
        <v>0.04128533</v>
      </c>
      <c r="J663" s="15">
        <v>0.02346386</v>
      </c>
      <c r="K663" s="15">
        <v>24.64</v>
      </c>
    </row>
    <row r="664" ht="22.5" customHeight="1">
      <c r="A664" s="167">
        <v>46063.925520833334</v>
      </c>
      <c r="B664" s="144" t="s">
        <v>505</v>
      </c>
      <c r="C664" s="15">
        <v>65.56</v>
      </c>
      <c r="D664" s="15">
        <v>0.95</v>
      </c>
      <c r="E664" s="146">
        <v>1.8</v>
      </c>
      <c r="F664" s="15">
        <v>1.8</v>
      </c>
      <c r="G664" s="15">
        <v>-0.24859466</v>
      </c>
      <c r="H664" s="15">
        <v>-0.14795651</v>
      </c>
      <c r="I664" s="15">
        <v>0.03064164</v>
      </c>
      <c r="J664" s="15">
        <v>0.03820414</v>
      </c>
      <c r="K664" s="15">
        <v>142.78</v>
      </c>
    </row>
    <row r="665" ht="22.5" customHeight="1">
      <c r="A665" s="167">
        <v>46063.925532407404</v>
      </c>
      <c r="B665" s="144" t="s">
        <v>506</v>
      </c>
      <c r="C665" s="15">
        <v>65.56</v>
      </c>
      <c r="D665" s="15">
        <v>0.94</v>
      </c>
      <c r="E665" s="146">
        <v>3.67</v>
      </c>
      <c r="F665" s="15">
        <v>3.67</v>
      </c>
      <c r="G665" s="15">
        <v>-0.43257324</v>
      </c>
      <c r="H665" s="15">
        <v>-0.18298607</v>
      </c>
      <c r="I665" s="15">
        <v>0.03886514</v>
      </c>
      <c r="J665" s="15">
        <v>0.04501054</v>
      </c>
      <c r="K665" s="15">
        <v>532.07</v>
      </c>
    </row>
    <row r="666" ht="22.5" customHeight="1">
      <c r="A666" s="167">
        <v>46063.92560185185</v>
      </c>
      <c r="B666" s="144" t="s">
        <v>480</v>
      </c>
      <c r="C666" s="15">
        <v>51.02</v>
      </c>
      <c r="D666" s="15">
        <v>0.46</v>
      </c>
      <c r="E666" s="146">
        <v>0.03</v>
      </c>
      <c r="F666" s="15">
        <v>0.03</v>
      </c>
      <c r="G666" s="15">
        <v>0.01856376</v>
      </c>
      <c r="H666" s="15">
        <v>-0.00893192</v>
      </c>
      <c r="I666" s="15">
        <v>0.01167373</v>
      </c>
      <c r="J666" s="15">
        <v>0.00408907</v>
      </c>
      <c r="K666" s="15">
        <v>0.26</v>
      </c>
    </row>
    <row r="667" ht="22.5" customHeight="1">
      <c r="A667" s="167">
        <v>46063.92621527778</v>
      </c>
      <c r="B667" s="144" t="s">
        <v>529</v>
      </c>
      <c r="C667" s="15">
        <v>9.91</v>
      </c>
      <c r="D667" s="15">
        <v>0.73</v>
      </c>
      <c r="E667" s="146">
        <v>0.0</v>
      </c>
      <c r="F667" s="15">
        <v>0.0</v>
      </c>
      <c r="G667" s="15">
        <v>0.01187635</v>
      </c>
      <c r="H667" s="15">
        <v>-0.00189363</v>
      </c>
      <c r="I667" s="15">
        <v>0.02164818</v>
      </c>
      <c r="J667" s="15">
        <v>5.8103E-4</v>
      </c>
      <c r="K667" s="15">
        <v>0.25</v>
      </c>
    </row>
    <row r="668" ht="22.5" customHeight="1">
      <c r="A668" s="167">
        <v>46063.92681712963</v>
      </c>
      <c r="B668" s="144" t="s">
        <v>528</v>
      </c>
      <c r="C668" s="15">
        <v>95.87</v>
      </c>
      <c r="D668" s="15">
        <v>0.42</v>
      </c>
      <c r="E668" s="146">
        <v>0.0</v>
      </c>
      <c r="F668" s="15">
        <v>0.0</v>
      </c>
      <c r="G668" s="15">
        <v>-0.0073063</v>
      </c>
      <c r="H668" s="15">
        <v>-0.00566047</v>
      </c>
      <c r="I668" s="15">
        <v>0.00283018</v>
      </c>
      <c r="J668" s="15">
        <v>0.00404605</v>
      </c>
      <c r="K668" s="15">
        <v>1.09</v>
      </c>
    </row>
    <row r="669" ht="22.5" customHeight="1">
      <c r="A669" s="167">
        <v>46063.926886574074</v>
      </c>
      <c r="B669" s="144" t="s">
        <v>558</v>
      </c>
      <c r="C669" s="15">
        <v>266.16</v>
      </c>
      <c r="D669" s="15">
        <v>0.2</v>
      </c>
      <c r="E669" s="146">
        <v>5.23</v>
      </c>
      <c r="F669" s="15">
        <v>5.23</v>
      </c>
      <c r="G669" s="15">
        <v>0.39242535</v>
      </c>
      <c r="H669" s="15">
        <v>-0.10172508</v>
      </c>
      <c r="I669" s="15">
        <v>0.02242067</v>
      </c>
      <c r="J669" s="15">
        <v>0.33502999</v>
      </c>
      <c r="K669" s="15">
        <v>32.64</v>
      </c>
    </row>
    <row r="670" ht="22.5" customHeight="1">
      <c r="A670" s="167">
        <v>46063.92696759259</v>
      </c>
      <c r="B670" s="144" t="s">
        <v>478</v>
      </c>
      <c r="C670" s="15">
        <v>694.0</v>
      </c>
      <c r="D670" s="15">
        <v>0.09</v>
      </c>
      <c r="E670" s="146">
        <v>0.17</v>
      </c>
      <c r="F670" s="15">
        <v>0.17</v>
      </c>
      <c r="G670" s="15">
        <v>0.02954001</v>
      </c>
      <c r="H670" s="15">
        <v>-0.03898565</v>
      </c>
      <c r="I670" s="15">
        <v>0.00615712</v>
      </c>
      <c r="J670" s="15">
        <v>0.07714992</v>
      </c>
      <c r="K670" s="15">
        <v>1.19</v>
      </c>
    </row>
    <row r="671" ht="22.5" customHeight="1">
      <c r="A671" s="167">
        <v>46063.92699074074</v>
      </c>
      <c r="B671" s="144" t="s">
        <v>567</v>
      </c>
      <c r="C671" s="15">
        <v>67.55</v>
      </c>
      <c r="D671" s="15">
        <v>0.25</v>
      </c>
      <c r="E671" s="146">
        <v>0.275</v>
      </c>
      <c r="F671" s="15">
        <v>0.275</v>
      </c>
      <c r="G671" s="15">
        <v>0.11385709</v>
      </c>
      <c r="H671" s="15">
        <v>-0.01399901</v>
      </c>
      <c r="I671" s="15">
        <v>0.03649216</v>
      </c>
      <c r="J671" s="15">
        <v>0.04261033</v>
      </c>
      <c r="K671" s="15">
        <v>21.52</v>
      </c>
    </row>
    <row r="672" ht="22.5" customHeight="1">
      <c r="A672" s="167">
        <v>46063.92701388889</v>
      </c>
      <c r="B672" s="144" t="s">
        <v>518</v>
      </c>
      <c r="C672" s="15">
        <v>11.23</v>
      </c>
      <c r="D672" s="15">
        <v>0.29</v>
      </c>
      <c r="E672" s="146">
        <v>0.15</v>
      </c>
      <c r="F672" s="15">
        <v>0.15</v>
      </c>
      <c r="G672" s="15">
        <v>0.29267239</v>
      </c>
      <c r="H672" s="15">
        <v>-0.00486657</v>
      </c>
      <c r="I672" s="15">
        <v>0.32637669</v>
      </c>
      <c r="J672" s="15">
        <v>0.01220273</v>
      </c>
      <c r="K672" s="15">
        <v>14.2</v>
      </c>
    </row>
    <row r="673" ht="22.5" customHeight="1">
      <c r="A673" s="167">
        <v>46063.927094907405</v>
      </c>
      <c r="B673" s="144" t="s">
        <v>550</v>
      </c>
      <c r="C673" s="15">
        <v>9.94</v>
      </c>
      <c r="D673" s="15">
        <v>0.32</v>
      </c>
      <c r="E673" s="146">
        <v>0.4</v>
      </c>
      <c r="F673" s="15">
        <v>0.4</v>
      </c>
      <c r="G673" s="15">
        <v>0.50993783</v>
      </c>
      <c r="H673" s="15">
        <v>-0.00592608</v>
      </c>
      <c r="I673" s="15">
        <v>0.39047817</v>
      </c>
      <c r="J673" s="15">
        <v>0.01276585</v>
      </c>
      <c r="K673" s="15">
        <v>34.5</v>
      </c>
    </row>
    <row r="674" ht="22.5" customHeight="1">
      <c r="A674" s="167">
        <v>46063.9271875</v>
      </c>
      <c r="B674" s="144" t="s">
        <v>568</v>
      </c>
      <c r="C674" s="15">
        <v>43.87</v>
      </c>
      <c r="D674" s="15">
        <v>0.3</v>
      </c>
      <c r="E674" s="146">
        <v>0.4</v>
      </c>
      <c r="F674" s="15">
        <v>0.4</v>
      </c>
      <c r="G674" s="15">
        <v>-0.15147571</v>
      </c>
      <c r="H674" s="15">
        <v>-0.01253458</v>
      </c>
      <c r="I674" s="15">
        <v>0.05518957</v>
      </c>
      <c r="J674" s="15">
        <v>0.03450627</v>
      </c>
      <c r="K674" s="15">
        <v>31.42</v>
      </c>
    </row>
    <row r="675" ht="22.5" customHeight="1">
      <c r="A675" s="167">
        <v>46063.92721064815</v>
      </c>
      <c r="B675" s="144" t="s">
        <v>571</v>
      </c>
      <c r="C675" s="15">
        <v>13.68</v>
      </c>
      <c r="D675" s="15">
        <v>0.85</v>
      </c>
      <c r="E675" s="146">
        <v>1.05</v>
      </c>
      <c r="F675" s="15">
        <v>1.05</v>
      </c>
      <c r="G675" s="15">
        <v>-0.32050059</v>
      </c>
      <c r="H675" s="15">
        <v>-0.01766501</v>
      </c>
      <c r="I675" s="15">
        <v>0.09193507</v>
      </c>
      <c r="J675" s="15">
        <v>0.01668579</v>
      </c>
      <c r="K675" s="15">
        <v>177.33</v>
      </c>
    </row>
    <row r="676" ht="22.5" customHeight="1">
      <c r="A676" s="167">
        <v>46063.92780092593</v>
      </c>
      <c r="B676" s="144" t="s">
        <v>572</v>
      </c>
      <c r="C676" s="15">
        <v>13.68</v>
      </c>
      <c r="D676" s="15">
        <v>-1.0</v>
      </c>
      <c r="E676" s="146">
        <v>0.0</v>
      </c>
      <c r="F676" s="15">
        <v>0.0</v>
      </c>
      <c r="G676" s="15" t="s">
        <v>688</v>
      </c>
      <c r="H676" s="15">
        <v>-2.0</v>
      </c>
      <c r="I676" s="15" t="s">
        <v>688</v>
      </c>
      <c r="J676" s="15">
        <v>-2.0</v>
      </c>
      <c r="K676" s="15">
        <v>42.21</v>
      </c>
    </row>
    <row r="677" ht="22.5" customHeight="1">
      <c r="A677" s="167">
        <v>46064.92344907407</v>
      </c>
      <c r="B677" s="144" t="s">
        <v>543</v>
      </c>
      <c r="C677" s="15">
        <v>693.97</v>
      </c>
      <c r="D677" s="15">
        <v>0.21</v>
      </c>
      <c r="E677" s="146">
        <v>3.75</v>
      </c>
      <c r="F677" s="15">
        <v>3.75</v>
      </c>
      <c r="G677" s="15">
        <v>-0.14432274</v>
      </c>
      <c r="H677" s="15">
        <v>-0.13195259</v>
      </c>
      <c r="I677" s="15">
        <v>0.00486268</v>
      </c>
      <c r="J677" s="15">
        <v>0.50147245</v>
      </c>
      <c r="K677" s="15">
        <v>4680.15</v>
      </c>
    </row>
    <row r="678" ht="22.5" customHeight="1">
      <c r="A678" s="167">
        <v>46064.92351851852</v>
      </c>
      <c r="B678" s="144" t="s">
        <v>544</v>
      </c>
      <c r="C678" s="15">
        <v>693.97</v>
      </c>
      <c r="D678" s="15">
        <v>0.18</v>
      </c>
      <c r="E678" s="146">
        <v>6.36</v>
      </c>
      <c r="F678" s="15">
        <v>6.36</v>
      </c>
      <c r="G678" s="15">
        <v>-0.24453915</v>
      </c>
      <c r="H678" s="15">
        <v>-0.15328026</v>
      </c>
      <c r="I678" s="15">
        <v>0.00770956</v>
      </c>
      <c r="J678" s="15">
        <v>0.69314311</v>
      </c>
      <c r="K678" s="15">
        <v>4842.15</v>
      </c>
    </row>
    <row r="679" ht="22.5" customHeight="1">
      <c r="A679" s="167">
        <v>46064.92354166666</v>
      </c>
      <c r="B679" s="144" t="s">
        <v>556</v>
      </c>
      <c r="C679" s="15">
        <v>264.95</v>
      </c>
      <c r="D679" s="15">
        <v>0.21</v>
      </c>
      <c r="E679" s="146">
        <v>5.05</v>
      </c>
      <c r="F679" s="15">
        <v>5.05</v>
      </c>
      <c r="G679" s="15">
        <v>0.42906421</v>
      </c>
      <c r="H679" s="15">
        <v>-0.10689074</v>
      </c>
      <c r="I679" s="15">
        <v>0.02277771</v>
      </c>
      <c r="J679" s="15">
        <v>0.33017686</v>
      </c>
      <c r="K679" s="15">
        <v>36.89</v>
      </c>
    </row>
    <row r="680" ht="22.5" customHeight="1">
      <c r="A680" s="167">
        <v>46064.92355324074</v>
      </c>
      <c r="B680" s="144" t="s">
        <v>557</v>
      </c>
      <c r="C680" s="15">
        <v>264.95</v>
      </c>
      <c r="D680" s="15">
        <v>0.27</v>
      </c>
      <c r="E680" s="146">
        <v>1.38</v>
      </c>
      <c r="F680" s="15">
        <v>1.38</v>
      </c>
      <c r="G680" s="15">
        <v>-0.11366462</v>
      </c>
      <c r="H680" s="15">
        <v>-0.05641532</v>
      </c>
      <c r="I680" s="15">
        <v>0.00840407</v>
      </c>
      <c r="J680" s="15">
        <v>0.16547901</v>
      </c>
      <c r="K680" s="15">
        <v>1710.78</v>
      </c>
    </row>
    <row r="681" ht="22.5" customHeight="1">
      <c r="A681" s="167">
        <v>46064.92358796296</v>
      </c>
      <c r="B681" s="144" t="s">
        <v>515</v>
      </c>
      <c r="C681" s="15">
        <v>15.83</v>
      </c>
      <c r="D681" s="15">
        <v>0.34</v>
      </c>
      <c r="E681" s="146">
        <v>0.28</v>
      </c>
      <c r="F681" s="15">
        <v>0.28</v>
      </c>
      <c r="G681" s="15">
        <v>0.28501703</v>
      </c>
      <c r="H681" s="15">
        <v>-0.00829223</v>
      </c>
      <c r="I681" s="15">
        <v>0.20077158</v>
      </c>
      <c r="J681" s="15">
        <v>0.01668209</v>
      </c>
      <c r="K681" s="15">
        <v>26.14</v>
      </c>
    </row>
    <row r="682" ht="22.5" customHeight="1">
      <c r="A682" s="167">
        <v>46064.92359953704</v>
      </c>
      <c r="B682" s="144" t="s">
        <v>517</v>
      </c>
      <c r="C682" s="15">
        <v>15.83</v>
      </c>
      <c r="D682" s="15">
        <v>0.5</v>
      </c>
      <c r="E682" s="146">
        <v>0.04</v>
      </c>
      <c r="F682" s="15">
        <v>0.04</v>
      </c>
      <c r="G682" s="15">
        <v>-0.03081422</v>
      </c>
      <c r="H682" s="15">
        <v>-0.00229984</v>
      </c>
      <c r="I682" s="15">
        <v>0.02789592</v>
      </c>
      <c r="J682" s="15">
        <v>0.0039043</v>
      </c>
      <c r="K682" s="15">
        <v>1.92</v>
      </c>
    </row>
    <row r="683" ht="22.5" customHeight="1">
      <c r="A683" s="167">
        <v>46064.923622685186</v>
      </c>
      <c r="B683" s="144" t="s">
        <v>536</v>
      </c>
      <c r="C683" s="15">
        <v>28.47</v>
      </c>
      <c r="D683" s="15">
        <v>0.24</v>
      </c>
      <c r="E683" s="146">
        <v>1.72</v>
      </c>
      <c r="F683" s="15">
        <v>0.25</v>
      </c>
      <c r="G683" s="15">
        <v>0.78016597</v>
      </c>
      <c r="H683" s="15">
        <v>-0.01113384</v>
      </c>
      <c r="I683" s="15">
        <v>0.13476829</v>
      </c>
      <c r="J683" s="15">
        <v>0.026536</v>
      </c>
      <c r="K683" s="15">
        <v>120.28</v>
      </c>
    </row>
    <row r="684" ht="22.5" customHeight="1">
      <c r="A684" s="167">
        <v>46064.923634259256</v>
      </c>
      <c r="B684" s="144" t="s">
        <v>561</v>
      </c>
      <c r="C684" s="15">
        <v>28.47</v>
      </c>
      <c r="D684" s="15">
        <v>0.25</v>
      </c>
      <c r="E684" s="146">
        <v>0.33</v>
      </c>
      <c r="F684" s="15">
        <v>0.33</v>
      </c>
      <c r="G684" s="15">
        <v>-0.22519002</v>
      </c>
      <c r="H684" s="15">
        <v>-0.00842234</v>
      </c>
      <c r="I684" s="15">
        <v>0.13548203</v>
      </c>
      <c r="J684" s="15">
        <v>0.02668279</v>
      </c>
      <c r="K684" s="15">
        <v>12.96</v>
      </c>
    </row>
    <row r="685" ht="22.5" customHeight="1">
      <c r="A685" s="167">
        <v>46064.92366898148</v>
      </c>
      <c r="B685" s="144" t="s">
        <v>573</v>
      </c>
      <c r="C685" s="15">
        <v>374.09</v>
      </c>
      <c r="D685" s="15">
        <v>0.46</v>
      </c>
      <c r="E685" s="146">
        <v>5.45</v>
      </c>
      <c r="F685" s="15">
        <v>5.45</v>
      </c>
      <c r="G685" s="15">
        <v>-0.17271668</v>
      </c>
      <c r="H685" s="15">
        <v>-0.18167751</v>
      </c>
      <c r="I685" s="15">
        <v>0.00470703</v>
      </c>
      <c r="J685" s="15">
        <v>0.28964003</v>
      </c>
      <c r="K685" s="15">
        <v>2760.22</v>
      </c>
    </row>
    <row r="686" ht="22.5" customHeight="1">
      <c r="A686" s="167">
        <v>46064.92369212963</v>
      </c>
      <c r="B686" s="144" t="s">
        <v>526</v>
      </c>
      <c r="C686" s="15">
        <v>226.56</v>
      </c>
      <c r="D686" s="15">
        <v>0.32</v>
      </c>
      <c r="E686" s="146">
        <v>4.5</v>
      </c>
      <c r="F686" s="15">
        <v>4.5</v>
      </c>
      <c r="G686" s="15">
        <v>0.31372745</v>
      </c>
      <c r="H686" s="15">
        <v>-0.1188756</v>
      </c>
      <c r="I686" s="15">
        <v>0.01543035</v>
      </c>
      <c r="J686" s="15">
        <v>0.26660946</v>
      </c>
      <c r="K686" s="15">
        <v>1691.31</v>
      </c>
    </row>
    <row r="687" ht="22.5" customHeight="1">
      <c r="A687" s="167">
        <v>46064.9237037037</v>
      </c>
      <c r="B687" s="144" t="s">
        <v>527</v>
      </c>
      <c r="C687" s="15">
        <v>226.56</v>
      </c>
      <c r="D687" s="15">
        <v>0.32</v>
      </c>
      <c r="E687" s="146">
        <v>2.35</v>
      </c>
      <c r="F687" s="15">
        <v>2.35</v>
      </c>
      <c r="G687" s="15">
        <v>0.18400495</v>
      </c>
      <c r="H687" s="15">
        <v>-0.08699133</v>
      </c>
      <c r="I687" s="15">
        <v>0.01172594</v>
      </c>
      <c r="J687" s="15">
        <v>0.20904062</v>
      </c>
      <c r="K687" s="15">
        <v>186.12</v>
      </c>
    </row>
    <row r="688" ht="22.5" customHeight="1">
      <c r="A688" s="167">
        <v>46064.923738425925</v>
      </c>
      <c r="B688" s="144" t="s">
        <v>511</v>
      </c>
      <c r="C688" s="15">
        <v>35.03</v>
      </c>
      <c r="D688" s="15">
        <v>0.39</v>
      </c>
      <c r="E688" s="146">
        <v>0.34</v>
      </c>
      <c r="F688" s="15">
        <v>0.34</v>
      </c>
      <c r="G688" s="15">
        <v>0.1554048</v>
      </c>
      <c r="H688" s="15">
        <v>-0.01463024</v>
      </c>
      <c r="I688" s="15">
        <v>0.05511134</v>
      </c>
      <c r="J688" s="15">
        <v>0.02674534</v>
      </c>
      <c r="K688" s="15">
        <v>29.76</v>
      </c>
    </row>
    <row r="689" ht="22.5" customHeight="1">
      <c r="A689" s="167">
        <v>46064.92376157407</v>
      </c>
      <c r="B689" s="144" t="s">
        <v>552</v>
      </c>
      <c r="C689" s="15">
        <v>64.5</v>
      </c>
      <c r="D689" s="15">
        <v>0.17</v>
      </c>
      <c r="E689" s="146">
        <v>1.15</v>
      </c>
      <c r="F689" s="15">
        <v>1.15</v>
      </c>
      <c r="G689" s="15">
        <v>0.45705716</v>
      </c>
      <c r="H689" s="15">
        <v>-0.02254912</v>
      </c>
      <c r="I689" s="15">
        <v>0.11692503</v>
      </c>
      <c r="J689" s="15">
        <v>0.07931349</v>
      </c>
      <c r="K689" s="15">
        <v>95.07</v>
      </c>
    </row>
    <row r="690" ht="22.5" customHeight="1">
      <c r="A690" s="167">
        <v>46064.923784722225</v>
      </c>
      <c r="B690" s="144" t="s">
        <v>574</v>
      </c>
      <c r="C690" s="15">
        <v>71.12</v>
      </c>
      <c r="D690" s="15">
        <v>0.27</v>
      </c>
      <c r="E690" s="146">
        <v>0.25</v>
      </c>
      <c r="F690" s="15">
        <v>0.25</v>
      </c>
      <c r="G690" s="15">
        <v>0.09123877</v>
      </c>
      <c r="H690" s="15">
        <v>-0.01457429</v>
      </c>
      <c r="I690" s="15">
        <v>0.02739134</v>
      </c>
      <c r="J690" s="15">
        <v>0.03623116</v>
      </c>
      <c r="K690" s="15">
        <v>20.46</v>
      </c>
    </row>
    <row r="691" ht="22.5" customHeight="1">
      <c r="A691" s="167">
        <v>46064.92380787037</v>
      </c>
      <c r="B691" s="144" t="s">
        <v>547</v>
      </c>
      <c r="C691" s="15">
        <v>33.09</v>
      </c>
      <c r="D691" s="15">
        <v>0.47</v>
      </c>
      <c r="E691" s="146">
        <v>0.25</v>
      </c>
      <c r="F691" s="15">
        <v>0.25</v>
      </c>
      <c r="G691" s="15">
        <v>0.11294</v>
      </c>
      <c r="H691" s="15">
        <v>-0.01305679</v>
      </c>
      <c r="I691" s="15">
        <v>0.03928885</v>
      </c>
      <c r="J691" s="15">
        <v>0.02041138</v>
      </c>
      <c r="K691" s="15">
        <v>20.29</v>
      </c>
    </row>
    <row r="692" ht="22.5" customHeight="1">
      <c r="A692" s="167">
        <v>46064.92383101852</v>
      </c>
      <c r="B692" s="144" t="s">
        <v>523</v>
      </c>
      <c r="C692" s="15">
        <v>6035.64</v>
      </c>
      <c r="D692" s="15">
        <v>0.13</v>
      </c>
      <c r="E692" s="146">
        <v>23.0</v>
      </c>
      <c r="F692" s="15">
        <v>23.0</v>
      </c>
      <c r="G692" s="15">
        <v>0.16835387</v>
      </c>
      <c r="H692" s="15">
        <v>-0.87656437</v>
      </c>
      <c r="I692" s="15">
        <v>0.00102718</v>
      </c>
      <c r="J692" s="15">
        <v>4.81382885</v>
      </c>
      <c r="K692" s="15">
        <v>8.18</v>
      </c>
    </row>
    <row r="693" ht="22.5" customHeight="1">
      <c r="A693" s="167">
        <v>46064.92386574074</v>
      </c>
      <c r="B693" s="144" t="s">
        <v>576</v>
      </c>
      <c r="C693" s="15">
        <v>48.97</v>
      </c>
      <c r="D693" s="15">
        <v>0.2</v>
      </c>
      <c r="E693" s="146">
        <v>0.25</v>
      </c>
      <c r="F693" s="15">
        <v>0.25</v>
      </c>
      <c r="G693" s="15">
        <v>0.16118894</v>
      </c>
      <c r="H693" s="15">
        <v>-0.01129084</v>
      </c>
      <c r="I693" s="15">
        <v>0.07779215</v>
      </c>
      <c r="J693" s="15">
        <v>0.03745564</v>
      </c>
      <c r="K693" s="15">
        <v>21.87</v>
      </c>
    </row>
    <row r="694" ht="22.5" customHeight="1">
      <c r="A694" s="167">
        <v>46064.92387731482</v>
      </c>
      <c r="B694" s="144" t="s">
        <v>524</v>
      </c>
      <c r="C694" s="15">
        <v>6035.64</v>
      </c>
      <c r="D694" s="15">
        <v>0.13</v>
      </c>
      <c r="E694" s="146">
        <v>30.1</v>
      </c>
      <c r="F694" s="15">
        <v>30.1</v>
      </c>
      <c r="G694" s="15">
        <v>0.20050525</v>
      </c>
      <c r="H694" s="15">
        <v>-1.00406782</v>
      </c>
      <c r="I694" s="15">
        <v>0.00111654</v>
      </c>
      <c r="J694" s="15">
        <v>5.36721478</v>
      </c>
      <c r="K694" s="15">
        <v>10.63</v>
      </c>
    </row>
    <row r="695" ht="22.5" customHeight="1">
      <c r="A695" s="167">
        <v>46064.92388888889</v>
      </c>
      <c r="B695" s="144" t="s">
        <v>525</v>
      </c>
      <c r="C695" s="15">
        <v>6035.64</v>
      </c>
      <c r="D695" s="15">
        <v>0.21</v>
      </c>
      <c r="E695" s="146">
        <v>26.9</v>
      </c>
      <c r="F695" s="15">
        <v>26.9</v>
      </c>
      <c r="G695" s="15">
        <v>-0.12039274</v>
      </c>
      <c r="H695" s="15">
        <v>-1.06099005</v>
      </c>
      <c r="I695" s="15">
        <v>4.9002E-4</v>
      </c>
      <c r="J695" s="15">
        <v>4.03183909</v>
      </c>
      <c r="K695" s="15">
        <v>3738.33</v>
      </c>
    </row>
    <row r="696" ht="22.5" customHeight="1">
      <c r="A696" s="167">
        <v>46064.92391203704</v>
      </c>
      <c r="B696" s="144" t="s">
        <v>532</v>
      </c>
      <c r="C696" s="15">
        <v>93.32</v>
      </c>
      <c r="D696" s="15">
        <v>0.39</v>
      </c>
      <c r="E696" s="146">
        <v>0.57</v>
      </c>
      <c r="F696" s="15">
        <v>0.57</v>
      </c>
      <c r="G696" s="15">
        <v>-0.10480602</v>
      </c>
      <c r="H696" s="15">
        <v>-0.0287036</v>
      </c>
      <c r="I696" s="15">
        <v>0.01580941</v>
      </c>
      <c r="J696" s="15">
        <v>0.05801789</v>
      </c>
      <c r="K696" s="15">
        <v>396.29</v>
      </c>
    </row>
    <row r="697" ht="22.5" customHeight="1">
      <c r="A697" s="167">
        <v>46064.92392361111</v>
      </c>
      <c r="B697" s="144" t="s">
        <v>562</v>
      </c>
      <c r="C697" s="15">
        <v>93.32</v>
      </c>
      <c r="D697" s="15">
        <v>0.35</v>
      </c>
      <c r="E697" s="146">
        <v>1.25</v>
      </c>
      <c r="F697" s="15">
        <v>1.25</v>
      </c>
      <c r="G697" s="15">
        <v>-0.17878546</v>
      </c>
      <c r="H697" s="15">
        <v>-0.03549209</v>
      </c>
      <c r="I697" s="15">
        <v>0.0250723</v>
      </c>
      <c r="J697" s="15">
        <v>0.07350417</v>
      </c>
      <c r="K697" s="15">
        <v>274.26</v>
      </c>
    </row>
    <row r="698" ht="22.5" customHeight="1">
      <c r="A698" s="167">
        <v>46064.923946759256</v>
      </c>
      <c r="B698" s="144" t="s">
        <v>553</v>
      </c>
      <c r="C698" s="15">
        <v>51.4</v>
      </c>
      <c r="D698" s="15">
        <v>0.76</v>
      </c>
      <c r="E698" s="146">
        <v>1.24</v>
      </c>
      <c r="F698" s="15">
        <v>1.24</v>
      </c>
      <c r="G698" s="15">
        <v>-0.16630732</v>
      </c>
      <c r="H698" s="15">
        <v>-0.04122637</v>
      </c>
      <c r="I698" s="15">
        <v>0.02015322</v>
      </c>
      <c r="J698" s="15">
        <v>0.03855542</v>
      </c>
      <c r="K698" s="15">
        <v>616.27</v>
      </c>
    </row>
    <row r="699" ht="22.5" customHeight="1">
      <c r="A699" s="167">
        <v>46064.92395833333</v>
      </c>
      <c r="B699" s="144" t="s">
        <v>554</v>
      </c>
      <c r="C699" s="15">
        <v>51.4</v>
      </c>
      <c r="D699" s="15">
        <v>0.49</v>
      </c>
      <c r="E699" s="146">
        <v>1.23</v>
      </c>
      <c r="F699" s="15">
        <v>1.23</v>
      </c>
      <c r="G699" s="15">
        <v>0.26801141</v>
      </c>
      <c r="H699" s="15">
        <v>-0.03717165</v>
      </c>
      <c r="I699" s="15">
        <v>0.04123892</v>
      </c>
      <c r="J699" s="15">
        <v>0.05485195</v>
      </c>
      <c r="K699" s="15">
        <v>6.41</v>
      </c>
    </row>
    <row r="700" ht="22.5" customHeight="1">
      <c r="A700" s="167">
        <v>46064.92398148148</v>
      </c>
      <c r="B700" s="144" t="s">
        <v>555</v>
      </c>
      <c r="C700" s="15">
        <v>51.4</v>
      </c>
      <c r="D700" s="15">
        <v>0.46</v>
      </c>
      <c r="E700" s="146">
        <v>0.66</v>
      </c>
      <c r="F700" s="15">
        <v>0.66</v>
      </c>
      <c r="G700" s="15">
        <v>0.16951439</v>
      </c>
      <c r="H700" s="15">
        <v>-0.02678181</v>
      </c>
      <c r="I700" s="15">
        <v>0.03354154</v>
      </c>
      <c r="J700" s="15">
        <v>0.03947098</v>
      </c>
      <c r="K700" s="15">
        <v>3.44</v>
      </c>
    </row>
    <row r="701" ht="22.5" customHeight="1">
      <c r="A701" s="167">
        <v>46064.92400462963</v>
      </c>
      <c r="B701" s="144" t="s">
        <v>533</v>
      </c>
      <c r="C701" s="15">
        <v>88.04</v>
      </c>
      <c r="D701" s="15">
        <v>0.22</v>
      </c>
      <c r="E701" s="146">
        <v>1.63</v>
      </c>
      <c r="F701" s="15">
        <v>1.09</v>
      </c>
      <c r="G701" s="15">
        <v>0.53886499</v>
      </c>
      <c r="H701" s="15">
        <v>-0.06496313</v>
      </c>
      <c r="I701" s="15">
        <v>0.13560625</v>
      </c>
      <c r="J701" s="15">
        <v>0.05752335</v>
      </c>
      <c r="K701" s="15">
        <v>128.22</v>
      </c>
    </row>
    <row r="702" ht="22.5" customHeight="1">
      <c r="A702" s="167">
        <v>46064.92402777778</v>
      </c>
      <c r="B702" s="144" t="s">
        <v>539</v>
      </c>
      <c r="C702" s="15">
        <v>185.82</v>
      </c>
      <c r="D702" s="15">
        <v>0.24</v>
      </c>
      <c r="E702" s="146">
        <v>0.86</v>
      </c>
      <c r="F702" s="15">
        <v>0.86</v>
      </c>
      <c r="G702" s="15">
        <v>0.25497988</v>
      </c>
      <c r="H702" s="15">
        <v>-0.14550971</v>
      </c>
      <c r="I702" s="15">
        <v>0.0514915</v>
      </c>
      <c r="J702" s="15">
        <v>0.0848753</v>
      </c>
      <c r="K702" s="15">
        <v>74.75</v>
      </c>
    </row>
    <row r="703" ht="22.5" customHeight="1">
      <c r="A703" s="167">
        <v>46064.924050925925</v>
      </c>
      <c r="B703" s="144" t="s">
        <v>500</v>
      </c>
      <c r="C703" s="15">
        <v>88.95</v>
      </c>
      <c r="D703" s="15">
        <v>0.34</v>
      </c>
      <c r="E703" s="146">
        <v>0.45</v>
      </c>
      <c r="F703" s="15">
        <v>0.45</v>
      </c>
      <c r="G703" s="15">
        <v>-0.18598651</v>
      </c>
      <c r="H703" s="15">
        <v>-0.06977128</v>
      </c>
      <c r="I703" s="15">
        <v>0.05619776</v>
      </c>
      <c r="J703" s="15">
        <v>0.03584446</v>
      </c>
      <c r="K703" s="15">
        <v>41.14</v>
      </c>
    </row>
    <row r="704" ht="22.5" customHeight="1">
      <c r="A704" s="167">
        <v>46064.92408564815</v>
      </c>
      <c r="B704" s="144" t="s">
        <v>512</v>
      </c>
      <c r="C704" s="15">
        <v>48.29</v>
      </c>
      <c r="D704" s="15">
        <v>0.67</v>
      </c>
      <c r="E704" s="146">
        <v>0.33</v>
      </c>
      <c r="F704" s="15">
        <v>0.33</v>
      </c>
      <c r="G704" s="15">
        <v>-0.06742758</v>
      </c>
      <c r="H704" s="15">
        <v>-0.01787496</v>
      </c>
      <c r="I704" s="15">
        <v>0.01269683</v>
      </c>
      <c r="J704" s="15">
        <v>0.02196494</v>
      </c>
      <c r="K704" s="15">
        <v>24.78</v>
      </c>
    </row>
    <row r="705" ht="22.5" customHeight="1">
      <c r="A705" s="167">
        <v>46064.924155092594</v>
      </c>
      <c r="B705" s="144" t="s">
        <v>542</v>
      </c>
      <c r="C705" s="15">
        <v>693.97</v>
      </c>
      <c r="D705" s="15">
        <v>0.18</v>
      </c>
      <c r="E705" s="146">
        <v>6.88</v>
      </c>
      <c r="F705" s="15">
        <v>6.88</v>
      </c>
      <c r="G705" s="15">
        <v>-0.27872298</v>
      </c>
      <c r="H705" s="15">
        <v>-0.15410898</v>
      </c>
      <c r="I705" s="15">
        <v>0.00863951</v>
      </c>
      <c r="J705" s="15">
        <v>0.74120637</v>
      </c>
      <c r="K705" s="15">
        <v>5045.22</v>
      </c>
    </row>
    <row r="706" ht="22.5" customHeight="1">
      <c r="A706" s="167">
        <v>46064.92417824074</v>
      </c>
      <c r="B706" s="144" t="s">
        <v>569</v>
      </c>
      <c r="C706" s="15">
        <v>61.25</v>
      </c>
      <c r="D706" s="15">
        <v>0.35</v>
      </c>
      <c r="E706" s="146">
        <v>0.39</v>
      </c>
      <c r="F706" s="15">
        <v>0.39</v>
      </c>
      <c r="G706" s="15">
        <v>0.12521159</v>
      </c>
      <c r="H706" s="15">
        <v>-0.01971348</v>
      </c>
      <c r="I706" s="15">
        <v>0.03061131</v>
      </c>
      <c r="J706" s="15">
        <v>0.03713521</v>
      </c>
      <c r="K706" s="15">
        <v>32.03</v>
      </c>
    </row>
    <row r="707" ht="22.5" customHeight="1">
      <c r="A707" s="167">
        <v>46064.92418981482</v>
      </c>
      <c r="B707" s="144" t="s">
        <v>513</v>
      </c>
      <c r="C707" s="15">
        <v>48.29</v>
      </c>
      <c r="D707" s="15">
        <v>0.6</v>
      </c>
      <c r="E707" s="146">
        <v>3.05</v>
      </c>
      <c r="F707" s="15">
        <v>3.05</v>
      </c>
      <c r="G707" s="15">
        <v>0.47015659</v>
      </c>
      <c r="H707" s="15">
        <v>-0.05185132</v>
      </c>
      <c r="I707" s="15">
        <v>0.04372023</v>
      </c>
      <c r="J707" s="15">
        <v>0.06199777</v>
      </c>
      <c r="K707" s="15">
        <v>524.28</v>
      </c>
    </row>
    <row r="708" ht="22.5" customHeight="1">
      <c r="A708" s="167">
        <v>46064.92420138889</v>
      </c>
      <c r="B708" s="144" t="s">
        <v>514</v>
      </c>
      <c r="C708" s="15">
        <v>48.29</v>
      </c>
      <c r="D708" s="15">
        <v>0.62</v>
      </c>
      <c r="E708" s="146">
        <v>1.61</v>
      </c>
      <c r="F708" s="15">
        <v>1.61</v>
      </c>
      <c r="G708" s="15">
        <v>0.29220064</v>
      </c>
      <c r="H708" s="15">
        <v>-0.04575935</v>
      </c>
      <c r="I708" s="15">
        <v>0.03619556</v>
      </c>
      <c r="J708" s="15">
        <v>0.05162088</v>
      </c>
      <c r="K708" s="15">
        <v>134.36</v>
      </c>
    </row>
    <row r="709" ht="22.5" customHeight="1">
      <c r="A709" s="167">
        <v>46064.92422453704</v>
      </c>
      <c r="B709" s="144" t="s">
        <v>521</v>
      </c>
      <c r="C709" s="15">
        <v>10.73</v>
      </c>
      <c r="D709" s="15">
        <v>1.47</v>
      </c>
      <c r="E709" s="146">
        <v>0.1</v>
      </c>
      <c r="F709" s="15">
        <v>0.1</v>
      </c>
      <c r="G709" s="15">
        <v>0.05744628</v>
      </c>
      <c r="H709" s="15">
        <v>-0.00791229</v>
      </c>
      <c r="I709" s="15">
        <v>0.02297472</v>
      </c>
      <c r="J709" s="15">
        <v>0.00396412</v>
      </c>
      <c r="K709" s="15">
        <v>9.3</v>
      </c>
    </row>
    <row r="710" ht="22.5" customHeight="1">
      <c r="A710" s="167">
        <v>46064.924259259256</v>
      </c>
      <c r="B710" s="144" t="s">
        <v>565</v>
      </c>
      <c r="C710" s="15">
        <v>242.7</v>
      </c>
      <c r="D710" s="15">
        <v>0.22</v>
      </c>
      <c r="E710" s="146">
        <v>1.77</v>
      </c>
      <c r="F710" s="15">
        <v>1.77</v>
      </c>
      <c r="G710" s="15">
        <v>0.17209512</v>
      </c>
      <c r="H710" s="15">
        <v>-0.06377037</v>
      </c>
      <c r="I710" s="15">
        <v>0.01496401</v>
      </c>
      <c r="J710" s="15">
        <v>0.19016971</v>
      </c>
      <c r="K710" s="15">
        <v>1486.27</v>
      </c>
    </row>
    <row r="711" ht="22.5" customHeight="1">
      <c r="A711" s="167">
        <v>46064.92427083333</v>
      </c>
      <c r="B711" s="144" t="s">
        <v>566</v>
      </c>
      <c r="C711" s="15">
        <v>242.7</v>
      </c>
      <c r="D711" s="15">
        <v>0.24</v>
      </c>
      <c r="E711" s="146">
        <v>0.75</v>
      </c>
      <c r="F711" s="15">
        <v>0.75</v>
      </c>
      <c r="G711" s="15">
        <v>0.08167678</v>
      </c>
      <c r="H711" s="15">
        <v>-0.0391564</v>
      </c>
      <c r="I711" s="15">
        <v>0.00835085</v>
      </c>
      <c r="J711" s="15">
        <v>0.11324306</v>
      </c>
      <c r="K711" s="15">
        <v>55.25</v>
      </c>
    </row>
    <row r="712" ht="22.5" customHeight="1">
      <c r="A712" s="167">
        <v>46064.92429398148</v>
      </c>
      <c r="B712" s="144" t="s">
        <v>563</v>
      </c>
      <c r="C712" s="15">
        <v>109.3</v>
      </c>
      <c r="D712" s="15">
        <v>0.83</v>
      </c>
      <c r="E712" s="146">
        <v>2.0</v>
      </c>
      <c r="F712" s="15">
        <v>2.0</v>
      </c>
      <c r="G712" s="15">
        <v>-0.22963501</v>
      </c>
      <c r="H712" s="15">
        <v>-0.23873714</v>
      </c>
      <c r="I712" s="15">
        <v>0.02131584</v>
      </c>
      <c r="J712" s="15">
        <v>0.05093323</v>
      </c>
      <c r="K712" s="15">
        <v>176.17</v>
      </c>
    </row>
    <row r="713" ht="22.5" customHeight="1">
      <c r="A713" s="167">
        <v>46064.924305555556</v>
      </c>
      <c r="B713" s="144" t="s">
        <v>564</v>
      </c>
      <c r="C713" s="15">
        <v>109.3</v>
      </c>
      <c r="D713" s="15">
        <v>0.81</v>
      </c>
      <c r="E713" s="146">
        <v>3.7</v>
      </c>
      <c r="F713" s="15">
        <v>3.7</v>
      </c>
      <c r="G713" s="15">
        <v>-0.35455999</v>
      </c>
      <c r="H713" s="15">
        <v>-0.28418831</v>
      </c>
      <c r="I713" s="15">
        <v>0.02684391</v>
      </c>
      <c r="J713" s="15">
        <v>0.06393211</v>
      </c>
      <c r="K713" s="15">
        <v>1134.49</v>
      </c>
    </row>
    <row r="714" ht="22.5" customHeight="1">
      <c r="A714" s="167">
        <v>46064.92434027778</v>
      </c>
      <c r="B714" s="144" t="s">
        <v>519</v>
      </c>
      <c r="C714" s="15">
        <v>76.56</v>
      </c>
      <c r="D714" s="15">
        <v>0.77</v>
      </c>
      <c r="E714" s="146">
        <v>7.5</v>
      </c>
      <c r="F714" s="15">
        <v>7.06</v>
      </c>
      <c r="G714" s="15">
        <v>-0.45699809</v>
      </c>
      <c r="H714" s="15">
        <v>-0.09672323</v>
      </c>
      <c r="I714" s="15">
        <v>0.02144256</v>
      </c>
      <c r="J714" s="15">
        <v>0.0962699</v>
      </c>
      <c r="K714" s="15">
        <v>108.65</v>
      </c>
    </row>
    <row r="715" ht="22.5" customHeight="1">
      <c r="A715" s="167">
        <v>46064.92435185185</v>
      </c>
      <c r="B715" s="144" t="s">
        <v>560</v>
      </c>
      <c r="C715" s="15">
        <v>76.56</v>
      </c>
      <c r="D715" s="15">
        <v>0.73</v>
      </c>
      <c r="E715" s="146">
        <v>0.9</v>
      </c>
      <c r="F715" s="15">
        <v>0.9</v>
      </c>
      <c r="G715" s="15">
        <v>0.19612407</v>
      </c>
      <c r="H715" s="15">
        <v>-0.13622942</v>
      </c>
      <c r="I715" s="15">
        <v>0.031688</v>
      </c>
      <c r="J715" s="15">
        <v>0.03396377</v>
      </c>
      <c r="K715" s="15">
        <v>11.65</v>
      </c>
    </row>
    <row r="716" ht="22.5" customHeight="1">
      <c r="A716" s="167">
        <v>46064.9249537037</v>
      </c>
      <c r="B716" s="144" t="s">
        <v>497</v>
      </c>
      <c r="C716" s="15">
        <v>31.12</v>
      </c>
      <c r="D716" s="15">
        <v>0.63</v>
      </c>
      <c r="E716" s="146">
        <v>0.0</v>
      </c>
      <c r="F716" s="15">
        <v>0.0</v>
      </c>
      <c r="G716" s="15">
        <v>-0.05986042</v>
      </c>
      <c r="H716" s="15">
        <v>-0.01911915</v>
      </c>
      <c r="I716" s="15">
        <v>0.03722607</v>
      </c>
      <c r="J716" s="15">
        <v>0.0061241</v>
      </c>
      <c r="K716" s="15">
        <v>7.11</v>
      </c>
    </row>
    <row r="717" ht="22.5" customHeight="1">
      <c r="A717" s="167">
        <v>46064.924988425926</v>
      </c>
      <c r="B717" s="144" t="s">
        <v>530</v>
      </c>
      <c r="C717" s="15">
        <v>91.36</v>
      </c>
      <c r="D717" s="15">
        <v>0.25</v>
      </c>
      <c r="E717" s="146">
        <v>0.36</v>
      </c>
      <c r="F717" s="15">
        <v>0.36</v>
      </c>
      <c r="G717" s="15">
        <v>0.17329728</v>
      </c>
      <c r="H717" s="15">
        <v>-0.05386685</v>
      </c>
      <c r="I717" s="15">
        <v>0.07071686</v>
      </c>
      <c r="J717" s="15">
        <v>0.03989393</v>
      </c>
      <c r="K717" s="15">
        <v>24.0</v>
      </c>
    </row>
    <row r="718" ht="22.5" customHeight="1">
      <c r="A718" s="167">
        <v>46064.925</v>
      </c>
      <c r="B718" s="144" t="s">
        <v>480</v>
      </c>
      <c r="C718" s="15">
        <v>51.4</v>
      </c>
      <c r="D718" s="15">
        <v>0.45</v>
      </c>
      <c r="E718" s="146">
        <v>0.02</v>
      </c>
      <c r="F718" s="15">
        <v>0.02</v>
      </c>
      <c r="G718" s="15">
        <v>0.01467326</v>
      </c>
      <c r="H718" s="15">
        <v>-0.00755319</v>
      </c>
      <c r="I718" s="15">
        <v>0.01032638</v>
      </c>
      <c r="J718" s="15">
        <v>0.00356043</v>
      </c>
      <c r="K718" s="15">
        <v>0.03</v>
      </c>
    </row>
    <row r="719" ht="22.5" customHeight="1">
      <c r="A719" s="167">
        <v>46064.92560185185</v>
      </c>
      <c r="B719" s="144" t="s">
        <v>529</v>
      </c>
      <c r="C719" s="15">
        <v>10.3</v>
      </c>
      <c r="D719" s="15">
        <v>0.73</v>
      </c>
      <c r="E719" s="146">
        <v>0.0</v>
      </c>
      <c r="F719" s="15">
        <v>0.0</v>
      </c>
      <c r="G719" s="15">
        <v>0.00242716</v>
      </c>
      <c r="H719" s="15">
        <v>-3.9631E-4</v>
      </c>
      <c r="I719" s="15">
        <v>0.00631109</v>
      </c>
      <c r="J719" s="15">
        <v>1.1218E-4</v>
      </c>
      <c r="K719" s="15">
        <v>0.03</v>
      </c>
    </row>
    <row r="720" ht="22.5" customHeight="1">
      <c r="A720" s="167">
        <v>46064.92563657407</v>
      </c>
      <c r="B720" s="144" t="s">
        <v>528</v>
      </c>
      <c r="C720" s="15">
        <v>97.28</v>
      </c>
      <c r="D720" s="15">
        <v>0.63</v>
      </c>
      <c r="E720" s="146">
        <v>0.1</v>
      </c>
      <c r="F720" s="15">
        <v>0.1</v>
      </c>
      <c r="G720" s="15">
        <v>-0.02117094</v>
      </c>
      <c r="H720" s="15">
        <v>-0.02709094</v>
      </c>
      <c r="I720" s="15">
        <v>0.00526355</v>
      </c>
      <c r="J720" s="15">
        <v>0.0088148</v>
      </c>
      <c r="K720" s="15">
        <v>0.25</v>
      </c>
    </row>
    <row r="721" ht="22.5" customHeight="1">
      <c r="A721" s="167">
        <v>46064.92564814815</v>
      </c>
      <c r="B721" s="144" t="s">
        <v>558</v>
      </c>
      <c r="C721" s="15">
        <v>264.95</v>
      </c>
      <c r="D721" s="15">
        <v>0.2</v>
      </c>
      <c r="E721" s="146">
        <v>3.59</v>
      </c>
      <c r="F721" s="15">
        <v>3.59</v>
      </c>
      <c r="G721" s="15">
        <v>0.35377946</v>
      </c>
      <c r="H721" s="15">
        <v>-0.09589409</v>
      </c>
      <c r="I721" s="15">
        <v>0.02253245</v>
      </c>
      <c r="J721" s="15">
        <v>0.31207907</v>
      </c>
      <c r="K721" s="15">
        <v>27.68</v>
      </c>
    </row>
    <row r="722" ht="22.5" customHeight="1">
      <c r="A722" s="167">
        <v>46064.92565972222</v>
      </c>
      <c r="B722" s="144" t="s">
        <v>478</v>
      </c>
      <c r="C722" s="15">
        <v>693.97</v>
      </c>
      <c r="D722" s="15">
        <v>0.09</v>
      </c>
      <c r="E722" s="146">
        <v>0.065</v>
      </c>
      <c r="F722" s="15">
        <v>0.065</v>
      </c>
      <c r="G722" s="15">
        <v>0.01691381</v>
      </c>
      <c r="H722" s="15">
        <v>-0.01531269</v>
      </c>
      <c r="I722" s="15">
        <v>0.00432853</v>
      </c>
      <c r="J722" s="15">
        <v>0.05797108</v>
      </c>
      <c r="K722" s="15">
        <v>0.54</v>
      </c>
    </row>
    <row r="723" ht="22.5" customHeight="1">
      <c r="A723" s="167">
        <v>46064.92568287037</v>
      </c>
      <c r="B723" s="144" t="s">
        <v>567</v>
      </c>
      <c r="C723" s="15">
        <v>66.86</v>
      </c>
      <c r="D723" s="15">
        <v>0.24</v>
      </c>
      <c r="E723" s="146">
        <v>0.15</v>
      </c>
      <c r="F723" s="15">
        <v>0.15</v>
      </c>
      <c r="G723" s="15">
        <v>0.11305214</v>
      </c>
      <c r="H723" s="15">
        <v>-0.01463628</v>
      </c>
      <c r="I723" s="15">
        <v>0.03545734</v>
      </c>
      <c r="J723" s="15">
        <v>0.04186436</v>
      </c>
      <c r="K723" s="15">
        <v>12.59</v>
      </c>
    </row>
    <row r="724" ht="22.5" customHeight="1">
      <c r="A724" s="167">
        <v>46064.92570601852</v>
      </c>
      <c r="B724" s="144" t="s">
        <v>518</v>
      </c>
      <c r="C724" s="15">
        <v>11.14</v>
      </c>
      <c r="D724" s="15">
        <v>0.29</v>
      </c>
      <c r="E724" s="146">
        <v>0.13</v>
      </c>
      <c r="F724" s="15">
        <v>0.13</v>
      </c>
      <c r="G724" s="15">
        <v>0.23924565</v>
      </c>
      <c r="H724" s="15">
        <v>-0.00465805</v>
      </c>
      <c r="I724" s="15">
        <v>0.30193002</v>
      </c>
      <c r="J724" s="15">
        <v>0.01187131</v>
      </c>
      <c r="K724" s="15">
        <v>11.19</v>
      </c>
    </row>
    <row r="725" ht="22.5" customHeight="1">
      <c r="A725" s="167">
        <v>46064.92574074074</v>
      </c>
      <c r="B725" s="144" t="s">
        <v>570</v>
      </c>
      <c r="C725" s="15">
        <v>51.53</v>
      </c>
      <c r="D725" s="15">
        <v>0.33</v>
      </c>
      <c r="E725" s="146">
        <v>0.17</v>
      </c>
      <c r="F725" s="15">
        <v>0.17</v>
      </c>
      <c r="G725" s="15">
        <v>0.10833513</v>
      </c>
      <c r="H725" s="15">
        <v>-0.01913926</v>
      </c>
      <c r="I725" s="15">
        <v>0.02568394</v>
      </c>
      <c r="J725" s="15">
        <v>0.03089183</v>
      </c>
      <c r="K725" s="15">
        <v>15.51</v>
      </c>
    </row>
    <row r="726" ht="22.5" customHeight="1">
      <c r="A726" s="167">
        <v>46064.92576388889</v>
      </c>
      <c r="B726" s="144" t="s">
        <v>550</v>
      </c>
      <c r="C726" s="15">
        <v>10.09</v>
      </c>
      <c r="D726" s="15">
        <v>0.31</v>
      </c>
      <c r="E726" s="146">
        <v>0.43</v>
      </c>
      <c r="F726" s="15">
        <v>0.34</v>
      </c>
      <c r="G726" s="15">
        <v>0.56825803</v>
      </c>
      <c r="H726" s="15">
        <v>-0.00590486</v>
      </c>
      <c r="I726" s="15">
        <v>0.39588299</v>
      </c>
      <c r="J726" s="15">
        <v>0.01261692</v>
      </c>
      <c r="K726" s="15">
        <v>41.68</v>
      </c>
    </row>
    <row r="727" ht="22.5" customHeight="1">
      <c r="A727" s="167">
        <v>46064.925787037035</v>
      </c>
      <c r="B727" s="144" t="s">
        <v>568</v>
      </c>
      <c r="C727" s="15">
        <v>42.27</v>
      </c>
      <c r="D727" s="15">
        <v>0.3</v>
      </c>
      <c r="E727" s="146">
        <v>0.7</v>
      </c>
      <c r="F727" s="15">
        <v>0.7</v>
      </c>
      <c r="G727" s="15">
        <v>-0.25514952</v>
      </c>
      <c r="H727" s="15">
        <v>-0.0165537</v>
      </c>
      <c r="I727" s="15">
        <v>0.08006368</v>
      </c>
      <c r="J727" s="15">
        <v>0.04495136</v>
      </c>
      <c r="K727" s="15">
        <v>55.35</v>
      </c>
    </row>
    <row r="728" ht="22.5" customHeight="1">
      <c r="A728" s="167">
        <v>46064.92581018519</v>
      </c>
      <c r="B728" s="144" t="s">
        <v>571</v>
      </c>
      <c r="C728" s="15">
        <v>12.87</v>
      </c>
      <c r="D728" s="15">
        <v>0.85</v>
      </c>
      <c r="E728" s="146">
        <v>1.43</v>
      </c>
      <c r="F728" s="15">
        <v>1.3</v>
      </c>
      <c r="G728" s="15">
        <v>-0.45546091</v>
      </c>
      <c r="H728" s="15">
        <v>-0.01801892</v>
      </c>
      <c r="I728" s="15">
        <v>0.11519611</v>
      </c>
      <c r="J728" s="15">
        <v>0.01620609</v>
      </c>
      <c r="K728" s="15">
        <v>169.45</v>
      </c>
    </row>
    <row r="729" ht="22.5" customHeight="1">
      <c r="A729" s="167">
        <v>46064.925833333335</v>
      </c>
      <c r="B729" s="144" t="s">
        <v>572</v>
      </c>
      <c r="C729" s="15">
        <v>12.87</v>
      </c>
      <c r="D729" s="15">
        <v>0.81</v>
      </c>
      <c r="E729" s="146">
        <v>0.5</v>
      </c>
      <c r="F729" s="15">
        <v>0.5</v>
      </c>
      <c r="G729" s="15">
        <v>-0.22465673</v>
      </c>
      <c r="H729" s="15">
        <v>-0.01320639</v>
      </c>
      <c r="I729" s="15">
        <v>0.0909348</v>
      </c>
      <c r="J729" s="15">
        <v>0.01166103</v>
      </c>
      <c r="K729" s="15">
        <v>54.52</v>
      </c>
    </row>
    <row r="730" ht="22.5" customHeight="1">
      <c r="A730" s="167">
        <v>46065.94194444444</v>
      </c>
      <c r="B730" s="144" t="s">
        <v>543</v>
      </c>
      <c r="C730" s="15">
        <v>683.35</v>
      </c>
      <c r="D730" s="15">
        <v>0.22</v>
      </c>
      <c r="E730" s="146">
        <v>5.75</v>
      </c>
      <c r="F730" s="15">
        <v>5.75</v>
      </c>
      <c r="G730" s="15">
        <v>-0.20863731</v>
      </c>
      <c r="H730" s="15">
        <v>-0.17326864</v>
      </c>
      <c r="I730" s="15">
        <v>0.00603556</v>
      </c>
      <c r="J730" s="15">
        <v>0.6155413</v>
      </c>
      <c r="K730" s="15">
        <v>2890.6</v>
      </c>
    </row>
    <row r="731" ht="22.5" customHeight="1">
      <c r="A731" s="167">
        <v>46065.94195601852</v>
      </c>
      <c r="B731" s="144" t="s">
        <v>544</v>
      </c>
      <c r="C731" s="15">
        <v>683.35</v>
      </c>
      <c r="D731" s="15">
        <v>0.19</v>
      </c>
      <c r="E731" s="146">
        <v>9.9</v>
      </c>
      <c r="F731" s="15">
        <v>9.9</v>
      </c>
      <c r="G731" s="15">
        <v>-0.33627594</v>
      </c>
      <c r="H731" s="15">
        <v>-0.18283783</v>
      </c>
      <c r="I731" s="15">
        <v>0.008826</v>
      </c>
      <c r="J731" s="15">
        <v>0.78225058</v>
      </c>
      <c r="K731" s="15">
        <v>2891.02</v>
      </c>
    </row>
    <row r="732" ht="22.5" customHeight="1">
      <c r="A732" s="167">
        <v>46065.941979166666</v>
      </c>
      <c r="B732" s="144" t="s">
        <v>556</v>
      </c>
      <c r="C732" s="15">
        <v>259.54</v>
      </c>
      <c r="D732" s="15">
        <v>0.22</v>
      </c>
      <c r="E732" s="146">
        <v>3.43</v>
      </c>
      <c r="F732" s="15">
        <v>3.43</v>
      </c>
      <c r="G732" s="15">
        <v>0.31318816</v>
      </c>
      <c r="H732" s="15">
        <v>-0.10029432</v>
      </c>
      <c r="I732" s="15">
        <v>0.01984067</v>
      </c>
      <c r="J732" s="15">
        <v>0.29464593</v>
      </c>
      <c r="K732" s="15">
        <v>22.76</v>
      </c>
    </row>
    <row r="733" ht="22.5" customHeight="1">
      <c r="A733" s="167">
        <v>46065.94199074074</v>
      </c>
      <c r="B733" s="144" t="s">
        <v>557</v>
      </c>
      <c r="C733" s="15">
        <v>259.54</v>
      </c>
      <c r="D733" s="15">
        <v>0.29</v>
      </c>
      <c r="E733" s="146">
        <v>2.42</v>
      </c>
      <c r="F733" s="15">
        <v>2.42</v>
      </c>
      <c r="G733" s="15">
        <v>-0.17804787</v>
      </c>
      <c r="H733" s="15">
        <v>-0.07944049</v>
      </c>
      <c r="I733" s="15">
        <v>0.01125431</v>
      </c>
      <c r="J733" s="15">
        <v>0.20106322</v>
      </c>
      <c r="K733" s="15">
        <v>1724.24</v>
      </c>
    </row>
    <row r="734" ht="22.5" customHeight="1">
      <c r="A734" s="167">
        <v>46065.942025462966</v>
      </c>
      <c r="B734" s="144" t="s">
        <v>515</v>
      </c>
      <c r="C734" s="15">
        <v>15.25</v>
      </c>
      <c r="D734" s="15">
        <v>0.38</v>
      </c>
      <c r="E734" s="146">
        <v>0.2</v>
      </c>
      <c r="F734" s="15">
        <v>0.2</v>
      </c>
      <c r="G734" s="15">
        <v>0.2068551</v>
      </c>
      <c r="H734" s="15">
        <v>-0.00753691</v>
      </c>
      <c r="I734" s="15">
        <v>0.15814995</v>
      </c>
      <c r="J734" s="15">
        <v>0.01382786</v>
      </c>
      <c r="K734" s="15">
        <v>13.82</v>
      </c>
    </row>
    <row r="735" ht="22.5" customHeight="1">
      <c r="A735" s="167">
        <v>46065.942037037035</v>
      </c>
      <c r="B735" s="144" t="s">
        <v>517</v>
      </c>
      <c r="C735" s="15">
        <v>15.25</v>
      </c>
      <c r="D735" s="15">
        <v>0.45</v>
      </c>
      <c r="E735" s="146">
        <v>0.035</v>
      </c>
      <c r="F735" s="15">
        <v>0.035</v>
      </c>
      <c r="G735" s="15">
        <v>-0.02384644</v>
      </c>
      <c r="H735" s="15">
        <v>-0.00166316</v>
      </c>
      <c r="I735" s="15">
        <v>0.02404854</v>
      </c>
      <c r="J735" s="15">
        <v>0.00270051</v>
      </c>
      <c r="K735" s="15">
        <v>3.31</v>
      </c>
    </row>
    <row r="736" ht="22.5" customHeight="1">
      <c r="A736" s="167">
        <v>46065.94207175926</v>
      </c>
      <c r="B736" s="144" t="s">
        <v>536</v>
      </c>
      <c r="C736" s="15">
        <v>28.8</v>
      </c>
      <c r="D736" s="15">
        <v>0.26</v>
      </c>
      <c r="E736" s="146">
        <v>2.2</v>
      </c>
      <c r="F736" s="15">
        <v>0.4</v>
      </c>
      <c r="G736" s="15">
        <v>0.8105518</v>
      </c>
      <c r="H736" s="15">
        <v>-0.01139745</v>
      </c>
      <c r="I736" s="15">
        <v>0.11470435</v>
      </c>
      <c r="J736" s="15">
        <v>0.02627766</v>
      </c>
      <c r="K736" s="15">
        <v>152.15</v>
      </c>
    </row>
    <row r="737" ht="22.5" customHeight="1">
      <c r="A737" s="167">
        <v>46065.942083333335</v>
      </c>
      <c r="B737" s="144" t="s">
        <v>561</v>
      </c>
      <c r="C737" s="15">
        <v>28.8</v>
      </c>
      <c r="D737" s="15">
        <v>0.27</v>
      </c>
      <c r="E737" s="146">
        <v>0.23</v>
      </c>
      <c r="F737" s="15">
        <v>0.23</v>
      </c>
      <c r="G737" s="15">
        <v>-0.1989277</v>
      </c>
      <c r="H737" s="15">
        <v>-0.00896012</v>
      </c>
      <c r="I737" s="15">
        <v>0.11455278</v>
      </c>
      <c r="J737" s="15">
        <v>0.02639063</v>
      </c>
      <c r="K737" s="15">
        <v>13.69</v>
      </c>
    </row>
    <row r="738" ht="22.5" customHeight="1">
      <c r="A738" s="167">
        <v>46065.94210648148</v>
      </c>
      <c r="B738" s="144" t="s">
        <v>573</v>
      </c>
      <c r="C738" s="15">
        <v>368.1</v>
      </c>
      <c r="D738" s="15">
        <v>0.48</v>
      </c>
      <c r="E738" s="146">
        <v>7.0</v>
      </c>
      <c r="F738" s="15">
        <v>7.0</v>
      </c>
      <c r="G738" s="15">
        <v>-0.20968077</v>
      </c>
      <c r="H738" s="15">
        <v>-0.21268502</v>
      </c>
      <c r="I738" s="15">
        <v>0.00522203</v>
      </c>
      <c r="J738" s="15">
        <v>0.33381183</v>
      </c>
      <c r="K738" s="15">
        <v>2940.1</v>
      </c>
    </row>
    <row r="739" ht="22.5" customHeight="1">
      <c r="A739" s="167">
        <v>46065.94212962963</v>
      </c>
      <c r="B739" s="144" t="s">
        <v>578</v>
      </c>
      <c r="C739" s="15">
        <v>79.0</v>
      </c>
      <c r="D739" s="15">
        <v>0.19</v>
      </c>
      <c r="E739" s="146">
        <v>0.25</v>
      </c>
      <c r="F739" s="15">
        <v>0.25</v>
      </c>
      <c r="G739" s="15">
        <v>0.11355236</v>
      </c>
      <c r="H739" s="15">
        <v>-0.0138971</v>
      </c>
      <c r="I739" s="15">
        <v>0.04221604</v>
      </c>
      <c r="J739" s="15">
        <v>0.04938203</v>
      </c>
      <c r="K739" s="15">
        <v>16.9</v>
      </c>
    </row>
    <row r="740" ht="22.5" customHeight="1">
      <c r="A740" s="167">
        <v>46065.94216435185</v>
      </c>
      <c r="B740" s="144" t="s">
        <v>526</v>
      </c>
      <c r="C740" s="15">
        <v>223.0</v>
      </c>
      <c r="D740" s="15">
        <v>0.33</v>
      </c>
      <c r="E740" s="146">
        <v>3.75</v>
      </c>
      <c r="F740" s="15">
        <v>3.75</v>
      </c>
      <c r="G740" s="15">
        <v>0.26882722</v>
      </c>
      <c r="H740" s="15">
        <v>-0.11300821</v>
      </c>
      <c r="I740" s="15">
        <v>0.0142585</v>
      </c>
      <c r="J740" s="15">
        <v>0.23237262</v>
      </c>
      <c r="K740" s="15">
        <v>1599.2</v>
      </c>
    </row>
    <row r="741" ht="22.5" customHeight="1">
      <c r="A741" s="167">
        <v>46065.94217592593</v>
      </c>
      <c r="B741" s="144" t="s">
        <v>527</v>
      </c>
      <c r="C741" s="15">
        <v>223.0</v>
      </c>
      <c r="D741" s="15">
        <v>0.34</v>
      </c>
      <c r="E741" s="146">
        <v>1.99</v>
      </c>
      <c r="F741" s="15">
        <v>1.99</v>
      </c>
      <c r="G741" s="15">
        <v>0.1629775</v>
      </c>
      <c r="H741" s="15">
        <v>-0.08549776</v>
      </c>
      <c r="I741" s="15">
        <v>0.01037902</v>
      </c>
      <c r="J741" s="15">
        <v>0.16743206</v>
      </c>
      <c r="K741" s="15">
        <v>154.11</v>
      </c>
    </row>
    <row r="742" ht="22.5" customHeight="1">
      <c r="A742" s="167">
        <v>46065.942199074074</v>
      </c>
      <c r="B742" s="144" t="s">
        <v>579</v>
      </c>
      <c r="C742" s="15">
        <v>75.86</v>
      </c>
      <c r="D742" s="15">
        <v>0.46</v>
      </c>
      <c r="E742" s="146">
        <v>0.7</v>
      </c>
      <c r="F742" s="15">
        <v>0.7</v>
      </c>
      <c r="G742" s="15">
        <v>-0.12139969</v>
      </c>
      <c r="H742" s="15">
        <v>-0.02979129</v>
      </c>
      <c r="I742" s="15">
        <v>0.0184734</v>
      </c>
      <c r="J742" s="15">
        <v>0.04652707</v>
      </c>
      <c r="K742" s="15">
        <v>44.86</v>
      </c>
    </row>
    <row r="743" ht="22.5" customHeight="1">
      <c r="A743" s="167">
        <v>46065.94222222222</v>
      </c>
      <c r="B743" s="144" t="s">
        <v>577</v>
      </c>
      <c r="C743" s="15">
        <v>71.22</v>
      </c>
      <c r="D743" s="15">
        <v>0.44</v>
      </c>
      <c r="E743" s="146">
        <v>0.43</v>
      </c>
      <c r="F743" s="15">
        <v>0.43</v>
      </c>
      <c r="G743" s="15">
        <v>-0.0889387</v>
      </c>
      <c r="H743" s="15">
        <v>-0.02112702</v>
      </c>
      <c r="I743" s="15">
        <v>0.0166275</v>
      </c>
      <c r="J743" s="15">
        <v>0.03382202</v>
      </c>
      <c r="K743" s="15">
        <v>25.68</v>
      </c>
    </row>
    <row r="744" ht="22.5" customHeight="1">
      <c r="A744" s="167">
        <v>46065.94225694444</v>
      </c>
      <c r="B744" s="144" t="s">
        <v>511</v>
      </c>
      <c r="C744" s="15">
        <v>34.29</v>
      </c>
      <c r="D744" s="15">
        <v>0.41</v>
      </c>
      <c r="E744" s="146">
        <v>0.25</v>
      </c>
      <c r="F744" s="15">
        <v>0.25</v>
      </c>
      <c r="G744" s="15">
        <v>0.12613392</v>
      </c>
      <c r="H744" s="15">
        <v>-0.01314194</v>
      </c>
      <c r="I744" s="15">
        <v>0.0474453</v>
      </c>
      <c r="J744" s="15">
        <v>0.02055198</v>
      </c>
      <c r="K744" s="15">
        <v>19.32</v>
      </c>
    </row>
    <row r="745" ht="22.5" customHeight="1">
      <c r="A745" s="167">
        <v>46065.94228009259</v>
      </c>
      <c r="B745" s="144" t="s">
        <v>552</v>
      </c>
      <c r="C745" s="15">
        <v>64.78</v>
      </c>
      <c r="D745" s="15">
        <v>0.18</v>
      </c>
      <c r="E745" s="146">
        <v>1.4</v>
      </c>
      <c r="F745" s="15">
        <v>1.4</v>
      </c>
      <c r="G745" s="15">
        <v>0.49329533</v>
      </c>
      <c r="H745" s="15">
        <v>-0.02447031</v>
      </c>
      <c r="I745" s="15">
        <v>0.11184028</v>
      </c>
      <c r="J745" s="15">
        <v>0.08077669</v>
      </c>
      <c r="K745" s="15">
        <v>108.72</v>
      </c>
    </row>
    <row r="746" ht="22.5" customHeight="1">
      <c r="A746" s="167">
        <v>46065.94231481481</v>
      </c>
      <c r="B746" s="144" t="s">
        <v>574</v>
      </c>
      <c r="C746" s="15">
        <v>71.13</v>
      </c>
      <c r="D746" s="15">
        <v>0.27</v>
      </c>
      <c r="E746" s="146">
        <v>0.25</v>
      </c>
      <c r="F746" s="15">
        <v>0.25</v>
      </c>
      <c r="G746" s="15">
        <v>0.08805494</v>
      </c>
      <c r="H746" s="15">
        <v>-0.01436445</v>
      </c>
      <c r="I746" s="15">
        <v>0.02701647</v>
      </c>
      <c r="J746" s="15">
        <v>0.03370895</v>
      </c>
      <c r="K746" s="15">
        <v>23.9</v>
      </c>
    </row>
    <row r="747" ht="22.5" customHeight="1">
      <c r="A747" s="167">
        <v>46065.942337962966</v>
      </c>
      <c r="B747" s="144" t="s">
        <v>547</v>
      </c>
      <c r="C747" s="15">
        <v>32.6</v>
      </c>
      <c r="D747" s="15">
        <v>0.49</v>
      </c>
      <c r="E747" s="146">
        <v>0.25</v>
      </c>
      <c r="F747" s="15">
        <v>0.25</v>
      </c>
      <c r="G747" s="15">
        <v>0.10356224</v>
      </c>
      <c r="H747" s="15">
        <v>-0.01287474</v>
      </c>
      <c r="I747" s="15">
        <v>0.03617583</v>
      </c>
      <c r="J747" s="15">
        <v>0.01996077</v>
      </c>
      <c r="K747" s="15">
        <v>15.89</v>
      </c>
    </row>
    <row r="748" ht="22.5" customHeight="1">
      <c r="A748" s="167">
        <v>46065.94237268518</v>
      </c>
      <c r="B748" s="144" t="s">
        <v>523</v>
      </c>
      <c r="C748" s="15">
        <v>6011.29</v>
      </c>
      <c r="D748" s="15">
        <v>0.13</v>
      </c>
      <c r="E748" s="146">
        <v>22.4</v>
      </c>
      <c r="F748" s="15">
        <v>22.4</v>
      </c>
      <c r="G748" s="15">
        <v>0.14322573</v>
      </c>
      <c r="H748" s="15">
        <v>-0.83314146</v>
      </c>
      <c r="I748" s="15">
        <v>8.9775E-4</v>
      </c>
      <c r="J748" s="15">
        <v>4.24102414</v>
      </c>
      <c r="K748" s="15">
        <v>7.26</v>
      </c>
    </row>
    <row r="749" ht="22.5" customHeight="1">
      <c r="A749" s="167">
        <v>46065.942395833335</v>
      </c>
      <c r="B749" s="144" t="s">
        <v>587</v>
      </c>
      <c r="C749" s="15">
        <v>71.12</v>
      </c>
      <c r="D749" s="15">
        <v>0.84</v>
      </c>
      <c r="E749" s="146">
        <v>0.64</v>
      </c>
      <c r="F749" s="15">
        <v>0.64</v>
      </c>
      <c r="G749" s="15">
        <v>-0.06988917</v>
      </c>
      <c r="H749" s="15">
        <v>-0.03452904</v>
      </c>
      <c r="I749" s="15">
        <v>0.00714784</v>
      </c>
      <c r="J749" s="15">
        <v>0.03108417</v>
      </c>
      <c r="K749" s="15">
        <v>49.44</v>
      </c>
    </row>
    <row r="750" ht="22.5" customHeight="1">
      <c r="A750" s="167">
        <v>46065.94241898148</v>
      </c>
      <c r="B750" s="144" t="s">
        <v>576</v>
      </c>
      <c r="C750" s="15">
        <v>49.46</v>
      </c>
      <c r="D750" s="15">
        <v>0.23</v>
      </c>
      <c r="E750" s="146">
        <v>0.52</v>
      </c>
      <c r="F750" s="15">
        <v>0.52</v>
      </c>
      <c r="G750" s="15">
        <v>0.22728617</v>
      </c>
      <c r="H750" s="15">
        <v>-0.01603995</v>
      </c>
      <c r="I750" s="15">
        <v>0.08609069</v>
      </c>
      <c r="J750" s="15">
        <v>0.04443738</v>
      </c>
      <c r="K750" s="15">
        <v>28.73</v>
      </c>
    </row>
    <row r="751" ht="22.5" customHeight="1">
      <c r="A751" s="167">
        <v>46065.94244212963</v>
      </c>
      <c r="B751" s="144" t="s">
        <v>580</v>
      </c>
      <c r="C751" s="15">
        <v>451.39</v>
      </c>
      <c r="D751" s="15">
        <v>0.29</v>
      </c>
      <c r="E751" s="146">
        <v>4.3</v>
      </c>
      <c r="F751" s="15">
        <v>4.3</v>
      </c>
      <c r="G751" s="15">
        <v>-0.18452968</v>
      </c>
      <c r="H751" s="15">
        <v>-0.14220263</v>
      </c>
      <c r="I751" s="15">
        <v>0.00664726</v>
      </c>
      <c r="J751" s="15">
        <v>0.39199651</v>
      </c>
      <c r="K751" s="15">
        <v>707.19</v>
      </c>
    </row>
    <row r="752" ht="22.5" customHeight="1">
      <c r="A752" s="167">
        <v>46065.942465277774</v>
      </c>
      <c r="B752" s="144" t="s">
        <v>524</v>
      </c>
      <c r="C752" s="15">
        <v>6011.29</v>
      </c>
      <c r="D752" s="15">
        <v>0.14</v>
      </c>
      <c r="E752" s="146">
        <v>25.5</v>
      </c>
      <c r="F752" s="15">
        <v>25.5</v>
      </c>
      <c r="G752" s="15">
        <v>0.17413359</v>
      </c>
      <c r="H752" s="15">
        <v>-0.98031975</v>
      </c>
      <c r="I752" s="15">
        <v>9.873E-4</v>
      </c>
      <c r="J752" s="15">
        <v>4.82126797</v>
      </c>
      <c r="K752" s="15">
        <v>8.89</v>
      </c>
    </row>
    <row r="753" ht="22.5" customHeight="1">
      <c r="A753" s="167">
        <v>46065.94247685185</v>
      </c>
      <c r="B753" s="144" t="s">
        <v>525</v>
      </c>
      <c r="C753" s="15">
        <v>6011.29</v>
      </c>
      <c r="D753" s="15">
        <v>0.21</v>
      </c>
      <c r="E753" s="146">
        <v>22.6</v>
      </c>
      <c r="F753" s="15">
        <v>22.6</v>
      </c>
      <c r="G753" s="15">
        <v>-0.14202771</v>
      </c>
      <c r="H753" s="15">
        <v>-1.20586285</v>
      </c>
      <c r="I753" s="15">
        <v>5.7272E-4</v>
      </c>
      <c r="J753" s="15">
        <v>4.21700449</v>
      </c>
      <c r="K753" s="15">
        <v>3760.42</v>
      </c>
    </row>
    <row r="754" ht="22.5" customHeight="1">
      <c r="A754" s="167">
        <v>46065.9425</v>
      </c>
      <c r="B754" s="144" t="s">
        <v>532</v>
      </c>
      <c r="C754" s="15">
        <v>87.02</v>
      </c>
      <c r="D754" s="15">
        <v>0.38</v>
      </c>
      <c r="E754" s="146">
        <v>1.65</v>
      </c>
      <c r="F754" s="15">
        <v>1.65</v>
      </c>
      <c r="G754" s="15">
        <v>-0.21350367</v>
      </c>
      <c r="H754" s="15">
        <v>-0.04030999</v>
      </c>
      <c r="I754" s="15">
        <v>0.02803758</v>
      </c>
      <c r="J754" s="15">
        <v>0.07984068</v>
      </c>
      <c r="K754" s="15">
        <v>563.03</v>
      </c>
    </row>
    <row r="755" ht="22.5" customHeight="1">
      <c r="A755" s="167">
        <v>46065.942511574074</v>
      </c>
      <c r="B755" s="144" t="s">
        <v>562</v>
      </c>
      <c r="C755" s="15">
        <v>87.02</v>
      </c>
      <c r="D755" s="15">
        <v>0.36</v>
      </c>
      <c r="E755" s="146">
        <v>2.8</v>
      </c>
      <c r="F755" s="15">
        <v>2.8</v>
      </c>
      <c r="G755" s="15">
        <v>-0.38333337</v>
      </c>
      <c r="H755" s="15">
        <v>-0.04909809</v>
      </c>
      <c r="I755" s="15">
        <v>0.03936328</v>
      </c>
      <c r="J755" s="15">
        <v>0.10235016</v>
      </c>
      <c r="K755" s="15">
        <v>185.32</v>
      </c>
    </row>
    <row r="756" ht="22.5" customHeight="1">
      <c r="A756" s="167">
        <v>46065.94253472222</v>
      </c>
      <c r="B756" s="144" t="s">
        <v>553</v>
      </c>
      <c r="C756" s="15">
        <v>48.26</v>
      </c>
      <c r="D756" s="15">
        <v>0.83</v>
      </c>
      <c r="E756" s="146">
        <v>2.1</v>
      </c>
      <c r="F756" s="15">
        <v>2.1</v>
      </c>
      <c r="G756" s="15">
        <v>-0.24944769</v>
      </c>
      <c r="H756" s="15">
        <v>-0.05422426</v>
      </c>
      <c r="I756" s="15">
        <v>0.02536094</v>
      </c>
      <c r="J756" s="15">
        <v>0.04894236</v>
      </c>
      <c r="K756" s="15">
        <v>596.86</v>
      </c>
    </row>
    <row r="757" ht="22.5" customHeight="1">
      <c r="A757" s="167">
        <v>46065.9425462963</v>
      </c>
      <c r="B757" s="144" t="s">
        <v>554</v>
      </c>
      <c r="C757" s="15">
        <v>48.26</v>
      </c>
      <c r="D757" s="15">
        <v>0.54</v>
      </c>
      <c r="E757" s="146">
        <v>0.7</v>
      </c>
      <c r="F757" s="15">
        <v>0.7</v>
      </c>
      <c r="G757" s="15">
        <v>0.17563248</v>
      </c>
      <c r="H757" s="15">
        <v>-0.03028311</v>
      </c>
      <c r="I757" s="15">
        <v>0.03181273</v>
      </c>
      <c r="J757" s="15">
        <v>0.03672448</v>
      </c>
      <c r="K757" s="15">
        <v>3.44</v>
      </c>
    </row>
    <row r="758" ht="22.5" customHeight="1">
      <c r="A758" s="167">
        <v>46065.94256944444</v>
      </c>
      <c r="B758" s="144" t="s">
        <v>555</v>
      </c>
      <c r="C758" s="15">
        <v>48.26</v>
      </c>
      <c r="D758" s="15">
        <v>0.52</v>
      </c>
      <c r="E758" s="146">
        <v>0.38</v>
      </c>
      <c r="F758" s="15">
        <v>0.38</v>
      </c>
      <c r="G758" s="15">
        <v>0.10938775</v>
      </c>
      <c r="H758" s="15">
        <v>-0.02111089</v>
      </c>
      <c r="I758" s="15">
        <v>0.02379085</v>
      </c>
      <c r="J758" s="15">
        <v>0.02971966</v>
      </c>
      <c r="K758" s="15">
        <v>1.75</v>
      </c>
    </row>
    <row r="759" ht="22.5" customHeight="1">
      <c r="A759" s="167">
        <v>46065.94259259259</v>
      </c>
      <c r="B759" s="144" t="s">
        <v>533</v>
      </c>
      <c r="C759" s="15">
        <v>89.91</v>
      </c>
      <c r="D759" s="15">
        <v>0.22</v>
      </c>
      <c r="E759" s="146">
        <v>2.6</v>
      </c>
      <c r="F759" s="15">
        <v>0.19</v>
      </c>
      <c r="G759" s="15">
        <v>0.80883262</v>
      </c>
      <c r="H759" s="15">
        <v>-0.05853883</v>
      </c>
      <c r="I759" s="15">
        <v>0.09276545</v>
      </c>
      <c r="J759" s="15">
        <v>0.03549905</v>
      </c>
      <c r="K759" s="15">
        <v>231.5</v>
      </c>
    </row>
    <row r="760" ht="22.5" customHeight="1">
      <c r="A760" s="167">
        <v>46065.94262731481</v>
      </c>
      <c r="B760" s="144" t="s">
        <v>512</v>
      </c>
      <c r="C760" s="15">
        <v>46.48</v>
      </c>
      <c r="D760" s="15">
        <v>0.66</v>
      </c>
      <c r="E760" s="146">
        <v>0.41</v>
      </c>
      <c r="F760" s="15">
        <v>0.41</v>
      </c>
      <c r="G760" s="15">
        <v>-0.08826726</v>
      </c>
      <c r="H760" s="15">
        <v>-0.0211983</v>
      </c>
      <c r="I760" s="15">
        <v>0.01660631</v>
      </c>
      <c r="J760" s="15">
        <v>0.02139786</v>
      </c>
      <c r="K760" s="15">
        <v>36.57</v>
      </c>
    </row>
    <row r="761" ht="22.5" customHeight="1">
      <c r="A761" s="167">
        <v>46065.94269675926</v>
      </c>
      <c r="B761" s="144" t="s">
        <v>542</v>
      </c>
      <c r="C761" s="15">
        <v>683.35</v>
      </c>
      <c r="D761" s="15">
        <v>0.18</v>
      </c>
      <c r="E761" s="146">
        <v>10.4</v>
      </c>
      <c r="F761" s="15">
        <v>10.4</v>
      </c>
      <c r="G761" s="15">
        <v>-0.37748979</v>
      </c>
      <c r="H761" s="15">
        <v>-0.17832347</v>
      </c>
      <c r="I761" s="15">
        <v>0.00962813</v>
      </c>
      <c r="J761" s="15">
        <v>0.81471316</v>
      </c>
      <c r="K761" s="15">
        <v>5028.32</v>
      </c>
    </row>
    <row r="762" ht="22.5" customHeight="1">
      <c r="A762" s="167">
        <v>46065.942719907405</v>
      </c>
      <c r="B762" s="144" t="s">
        <v>569</v>
      </c>
      <c r="C762" s="15">
        <v>61.39</v>
      </c>
      <c r="D762" s="15">
        <v>0.34</v>
      </c>
      <c r="E762" s="146">
        <v>0.4</v>
      </c>
      <c r="F762" s="15">
        <v>0.4</v>
      </c>
      <c r="G762" s="15">
        <v>0.11689189</v>
      </c>
      <c r="H762" s="15">
        <v>-0.01840724</v>
      </c>
      <c r="I762" s="15">
        <v>0.03049558</v>
      </c>
      <c r="J762" s="15">
        <v>0.03675776</v>
      </c>
      <c r="K762" s="15">
        <v>34.15</v>
      </c>
    </row>
    <row r="763" ht="22.5" customHeight="1">
      <c r="A763" s="167">
        <v>46065.94273148148</v>
      </c>
      <c r="B763" s="144" t="s">
        <v>513</v>
      </c>
      <c r="C763" s="15">
        <v>46.48</v>
      </c>
      <c r="D763" s="15">
        <v>0.61</v>
      </c>
      <c r="E763" s="146">
        <v>2.23</v>
      </c>
      <c r="F763" s="15">
        <v>2.23</v>
      </c>
      <c r="G763" s="15">
        <v>0.39619278</v>
      </c>
      <c r="H763" s="15">
        <v>-0.05005142</v>
      </c>
      <c r="I763" s="15">
        <v>0.04331026</v>
      </c>
      <c r="J763" s="15">
        <v>0.05788403</v>
      </c>
      <c r="K763" s="15">
        <v>464.04</v>
      </c>
    </row>
    <row r="764" ht="22.5" customHeight="1">
      <c r="A764" s="167">
        <v>46065.94274305556</v>
      </c>
      <c r="B764" s="144" t="s">
        <v>514</v>
      </c>
      <c r="C764" s="15">
        <v>46.48</v>
      </c>
      <c r="D764" s="15">
        <v>0.61</v>
      </c>
      <c r="E764" s="146">
        <v>1.07</v>
      </c>
      <c r="F764" s="15">
        <v>1.07</v>
      </c>
      <c r="G764" s="15">
        <v>0.2247166</v>
      </c>
      <c r="H764" s="15">
        <v>-0.03848801</v>
      </c>
      <c r="I764" s="15">
        <v>0.03353655</v>
      </c>
      <c r="J764" s="15">
        <v>0.04276729</v>
      </c>
      <c r="K764" s="15">
        <v>96.97</v>
      </c>
    </row>
    <row r="765" ht="22.5" customHeight="1">
      <c r="A765" s="167">
        <v>46065.942766203705</v>
      </c>
      <c r="B765" s="144" t="s">
        <v>575</v>
      </c>
      <c r="C765" s="15">
        <v>284.1</v>
      </c>
      <c r="D765" s="15">
        <v>0.94</v>
      </c>
      <c r="E765" s="146">
        <v>2.56</v>
      </c>
      <c r="F765" s="15">
        <v>2.56</v>
      </c>
      <c r="G765" s="15">
        <v>-0.06298559</v>
      </c>
      <c r="H765" s="15">
        <v>-0.14201992</v>
      </c>
      <c r="I765" s="15">
        <v>0.00148683</v>
      </c>
      <c r="J765" s="15">
        <v>0.12103983</v>
      </c>
      <c r="K765" s="15">
        <v>2105.26</v>
      </c>
    </row>
    <row r="766" ht="22.5" customHeight="1">
      <c r="A766" s="167">
        <v>46065.94280092593</v>
      </c>
      <c r="B766" s="144" t="s">
        <v>521</v>
      </c>
      <c r="C766" s="15">
        <v>9.83</v>
      </c>
      <c r="D766" s="15">
        <v>1.44</v>
      </c>
      <c r="E766" s="146">
        <v>0.1</v>
      </c>
      <c r="F766" s="15">
        <v>0.1</v>
      </c>
      <c r="G766" s="15">
        <v>0.03271573</v>
      </c>
      <c r="H766" s="15">
        <v>-0.00453755</v>
      </c>
      <c r="I766" s="15">
        <v>0.01645104</v>
      </c>
      <c r="J766" s="15">
        <v>0.00211412</v>
      </c>
      <c r="K766" s="15">
        <v>6.3</v>
      </c>
    </row>
    <row r="767" ht="22.5" customHeight="1">
      <c r="A767" s="167">
        <v>46065.9428125</v>
      </c>
      <c r="B767" s="144" t="s">
        <v>581</v>
      </c>
      <c r="C767" s="15">
        <v>451.39</v>
      </c>
      <c r="D767" s="15">
        <v>0.31</v>
      </c>
      <c r="E767" s="146">
        <v>1.78</v>
      </c>
      <c r="F767" s="15">
        <v>1.78</v>
      </c>
      <c r="G767" s="15">
        <v>0.08493</v>
      </c>
      <c r="H767" s="15">
        <v>-0.09858101</v>
      </c>
      <c r="I767" s="15">
        <v>0.00357527</v>
      </c>
      <c r="J767" s="15">
        <v>0.20781323</v>
      </c>
      <c r="K767" s="15">
        <v>33.86</v>
      </c>
    </row>
    <row r="768" ht="22.5" customHeight="1">
      <c r="A768" s="167">
        <v>46065.94283564815</v>
      </c>
      <c r="B768" s="144" t="s">
        <v>565</v>
      </c>
      <c r="C768" s="15">
        <v>239.83</v>
      </c>
      <c r="D768" s="15">
        <v>0.25</v>
      </c>
      <c r="E768" s="146">
        <v>1.63</v>
      </c>
      <c r="F768" s="15">
        <v>1.63</v>
      </c>
      <c r="G768" s="15">
        <v>0.15778189</v>
      </c>
      <c r="H768" s="15">
        <v>-0.06676261</v>
      </c>
      <c r="I768" s="15">
        <v>0.01294135</v>
      </c>
      <c r="J768" s="15">
        <v>0.17933404</v>
      </c>
      <c r="K768" s="15">
        <v>1317.86</v>
      </c>
    </row>
    <row r="769" ht="22.5" customHeight="1">
      <c r="A769" s="167">
        <v>46065.94284722222</v>
      </c>
      <c r="B769" s="144" t="s">
        <v>566</v>
      </c>
      <c r="C769" s="15">
        <v>239.83</v>
      </c>
      <c r="D769" s="15">
        <v>0.25</v>
      </c>
      <c r="E769" s="146">
        <v>0.65</v>
      </c>
      <c r="F769" s="15">
        <v>0.65</v>
      </c>
      <c r="G769" s="15">
        <v>0.07072103</v>
      </c>
      <c r="H769" s="15">
        <v>-0.03748227</v>
      </c>
      <c r="I769" s="15">
        <v>0.00717091</v>
      </c>
      <c r="J769" s="15">
        <v>0.11074757</v>
      </c>
      <c r="K769" s="15">
        <v>31.19</v>
      </c>
    </row>
    <row r="770" ht="22.5" customHeight="1">
      <c r="A770" s="167">
        <v>46065.942881944444</v>
      </c>
      <c r="B770" s="144" t="s">
        <v>563</v>
      </c>
      <c r="C770" s="15">
        <v>112.05</v>
      </c>
      <c r="D770" s="15">
        <v>0.86</v>
      </c>
      <c r="E770" s="146">
        <v>1.25</v>
      </c>
      <c r="F770" s="15">
        <v>1.25</v>
      </c>
      <c r="G770" s="15">
        <v>-0.16589539</v>
      </c>
      <c r="H770" s="15">
        <v>-0.22054171</v>
      </c>
      <c r="I770" s="15">
        <v>0.01754658</v>
      </c>
      <c r="J770" s="15">
        <v>0.04136588</v>
      </c>
      <c r="K770" s="15">
        <v>106.16</v>
      </c>
    </row>
    <row r="771" ht="22.5" customHeight="1">
      <c r="A771" s="167">
        <v>46065.94289351852</v>
      </c>
      <c r="B771" s="144" t="s">
        <v>564</v>
      </c>
      <c r="C771" s="15">
        <v>112.05</v>
      </c>
      <c r="D771" s="15">
        <v>1.13</v>
      </c>
      <c r="E771" s="146">
        <v>2.44</v>
      </c>
      <c r="F771" s="15">
        <v>2.44</v>
      </c>
      <c r="G771" s="15">
        <v>-0.31520184</v>
      </c>
      <c r="H771" s="15">
        <v>-0.41655452</v>
      </c>
      <c r="I771" s="15">
        <v>0.01908031</v>
      </c>
      <c r="J771" s="15">
        <v>0.06094855</v>
      </c>
      <c r="K771" s="15">
        <v>1179.94</v>
      </c>
    </row>
    <row r="772" ht="22.5" customHeight="1">
      <c r="A772" s="167">
        <v>46065.94291666667</v>
      </c>
      <c r="B772" s="144" t="s">
        <v>519</v>
      </c>
      <c r="C772" s="15">
        <v>67.73</v>
      </c>
      <c r="D772" s="15">
        <v>0.62</v>
      </c>
      <c r="E772" s="146">
        <v>12.35</v>
      </c>
      <c r="F772" s="15">
        <v>3.08</v>
      </c>
      <c r="G772" s="15">
        <v>-0.70275016</v>
      </c>
      <c r="H772" s="15">
        <v>-0.05922032</v>
      </c>
      <c r="I772" s="15">
        <v>0.02677134</v>
      </c>
      <c r="J772" s="15">
        <v>0.07097776</v>
      </c>
      <c r="K772" s="15">
        <v>1071.02</v>
      </c>
    </row>
    <row r="773" ht="22.5" customHeight="1">
      <c r="A773" s="167">
        <v>46065.94351851852</v>
      </c>
      <c r="B773" s="144" t="s">
        <v>497</v>
      </c>
      <c r="C773" s="15">
        <v>30.42</v>
      </c>
      <c r="D773" s="15">
        <v>0.51</v>
      </c>
      <c r="E773" s="146">
        <v>0.0</v>
      </c>
      <c r="F773" s="15">
        <v>0.0</v>
      </c>
      <c r="G773" s="15">
        <v>-0.06660024</v>
      </c>
      <c r="H773" s="15">
        <v>-0.02081545</v>
      </c>
      <c r="I773" s="15">
        <v>0.04176028</v>
      </c>
      <c r="J773" s="15">
        <v>0.0057994</v>
      </c>
      <c r="K773" s="15">
        <v>3.86</v>
      </c>
    </row>
    <row r="774" ht="22.5" customHeight="1">
      <c r="A774" s="167">
        <v>46065.943553240744</v>
      </c>
      <c r="B774" s="144" t="s">
        <v>530</v>
      </c>
      <c r="C774" s="15">
        <v>91.93</v>
      </c>
      <c r="D774" s="15">
        <v>0.25</v>
      </c>
      <c r="E774" s="146">
        <v>0.42</v>
      </c>
      <c r="F774" s="15">
        <v>0.42</v>
      </c>
      <c r="G774" s="15">
        <v>0.19780183</v>
      </c>
      <c r="H774" s="15">
        <v>-0.06094714</v>
      </c>
      <c r="I774" s="15">
        <v>0.0825988</v>
      </c>
      <c r="J774" s="15">
        <v>0.03757789</v>
      </c>
      <c r="K774" s="15">
        <v>30.0</v>
      </c>
    </row>
    <row r="775" ht="22.5" customHeight="1">
      <c r="A775" s="167">
        <v>46065.943564814814</v>
      </c>
      <c r="B775" s="144" t="s">
        <v>480</v>
      </c>
      <c r="C775" s="15">
        <v>48.26</v>
      </c>
      <c r="D775" s="15">
        <v>0.62</v>
      </c>
      <c r="E775" s="146">
        <v>0.02</v>
      </c>
      <c r="F775" s="15">
        <v>0.02</v>
      </c>
      <c r="G775" s="15">
        <v>0.01015388</v>
      </c>
      <c r="H775" s="15">
        <v>-0.00758253</v>
      </c>
      <c r="I775" s="15">
        <v>0.00606151</v>
      </c>
      <c r="J775" s="15">
        <v>0.00225254</v>
      </c>
      <c r="K775" s="15">
        <v>0.03</v>
      </c>
    </row>
    <row r="776" ht="22.5" customHeight="1">
      <c r="A776" s="167">
        <v>46065.94416666667</v>
      </c>
      <c r="B776" s="144" t="s">
        <v>529</v>
      </c>
      <c r="C776" s="15">
        <v>10.29</v>
      </c>
      <c r="D776" s="15">
        <v>0.69</v>
      </c>
      <c r="E776" s="146">
        <v>0.0</v>
      </c>
      <c r="F776" s="15">
        <v>0.0</v>
      </c>
      <c r="G776" s="15">
        <v>0.00433443</v>
      </c>
      <c r="H776" s="15">
        <v>-7.2818E-4</v>
      </c>
      <c r="I776" s="15">
        <v>0.01076086</v>
      </c>
      <c r="J776" s="15">
        <v>1.9233E-4</v>
      </c>
      <c r="K776" s="15">
        <v>0.05</v>
      </c>
    </row>
    <row r="777" ht="22.5" customHeight="1">
      <c r="A777" s="167">
        <v>46065.94478009259</v>
      </c>
      <c r="B777" s="144" t="s">
        <v>528</v>
      </c>
      <c r="C777" s="15">
        <v>98.75</v>
      </c>
      <c r="D777" s="15">
        <v>0.36</v>
      </c>
      <c r="E777" s="146">
        <v>0.0</v>
      </c>
      <c r="F777" s="15">
        <v>0.0</v>
      </c>
      <c r="G777" s="15">
        <v>-0.00490244</v>
      </c>
      <c r="H777" s="15">
        <v>-0.00514829</v>
      </c>
      <c r="I777" s="15">
        <v>0.0018853</v>
      </c>
      <c r="J777" s="15">
        <v>0.00227631</v>
      </c>
      <c r="K777" s="15">
        <v>0.4</v>
      </c>
    </row>
    <row r="778" ht="22.5" customHeight="1">
      <c r="A778" s="167">
        <v>46065.94479166667</v>
      </c>
      <c r="B778" s="144" t="s">
        <v>558</v>
      </c>
      <c r="C778" s="15">
        <v>259.54</v>
      </c>
      <c r="D778" s="15">
        <v>0.23</v>
      </c>
      <c r="E778" s="146">
        <v>2.48</v>
      </c>
      <c r="F778" s="15">
        <v>2.48</v>
      </c>
      <c r="G778" s="15">
        <v>0.26088921</v>
      </c>
      <c r="H778" s="15">
        <v>-0.09154956</v>
      </c>
      <c r="I778" s="15">
        <v>0.01800755</v>
      </c>
      <c r="J778" s="15">
        <v>0.27243937</v>
      </c>
      <c r="K778" s="15">
        <v>15.79</v>
      </c>
    </row>
    <row r="779" ht="22.5" customHeight="1">
      <c r="A779" s="167">
        <v>46065.94480324074</v>
      </c>
      <c r="B779" s="144" t="s">
        <v>478</v>
      </c>
      <c r="C779" s="15">
        <v>683.35</v>
      </c>
      <c r="D779" s="15">
        <v>0.12</v>
      </c>
      <c r="E779" s="146">
        <v>0.05</v>
      </c>
      <c r="F779" s="15">
        <v>0.05</v>
      </c>
      <c r="G779" s="15">
        <v>0.00600302</v>
      </c>
      <c r="H779" s="15">
        <v>-0.01350621</v>
      </c>
      <c r="I779" s="15">
        <v>0.00139116</v>
      </c>
      <c r="J779" s="15">
        <v>0.01719127</v>
      </c>
      <c r="K779" s="15">
        <v>0.03</v>
      </c>
    </row>
    <row r="780" ht="22.5" customHeight="1">
      <c r="A780" s="167">
        <v>46065.94482638889</v>
      </c>
      <c r="B780" s="144" t="s">
        <v>567</v>
      </c>
      <c r="C780" s="15">
        <v>64.78</v>
      </c>
      <c r="D780" s="15">
        <v>0.26</v>
      </c>
      <c r="E780" s="146">
        <v>0.1</v>
      </c>
      <c r="F780" s="15">
        <v>0.1</v>
      </c>
      <c r="G780" s="15">
        <v>0.07314908</v>
      </c>
      <c r="H780" s="15">
        <v>-0.01064078</v>
      </c>
      <c r="I780" s="15">
        <v>0.02777078</v>
      </c>
      <c r="J780" s="15">
        <v>0.03146669</v>
      </c>
      <c r="K780" s="15">
        <v>4.85</v>
      </c>
    </row>
    <row r="781" ht="22.5" customHeight="1">
      <c r="A781" s="167">
        <v>46065.94484953704</v>
      </c>
      <c r="B781" s="144" t="s">
        <v>518</v>
      </c>
      <c r="C781" s="15">
        <v>10.97</v>
      </c>
      <c r="D781" s="15">
        <v>0.28</v>
      </c>
      <c r="E781" s="146">
        <v>0.1</v>
      </c>
      <c r="F781" s="15">
        <v>0.1</v>
      </c>
      <c r="G781" s="15">
        <v>0.1724679</v>
      </c>
      <c r="H781" s="15">
        <v>-0.00360888</v>
      </c>
      <c r="I781" s="15">
        <v>0.26876497</v>
      </c>
      <c r="J781" s="15">
        <v>0.00840713</v>
      </c>
      <c r="K781" s="15">
        <v>8.29</v>
      </c>
    </row>
    <row r="782" ht="22.5" customHeight="1">
      <c r="A782" s="167">
        <v>46065.94488425926</v>
      </c>
      <c r="B782" s="144" t="s">
        <v>570</v>
      </c>
      <c r="C782" s="15">
        <v>49.43</v>
      </c>
      <c r="D782" s="15">
        <v>0.32</v>
      </c>
      <c r="E782" s="146">
        <v>0.25</v>
      </c>
      <c r="F782" s="15">
        <v>0.25</v>
      </c>
      <c r="G782" s="15">
        <v>0.03264925</v>
      </c>
      <c r="H782" s="15">
        <v>-0.00522783</v>
      </c>
      <c r="I782" s="15">
        <v>0.0146415</v>
      </c>
      <c r="J782" s="15">
        <v>0.01193357</v>
      </c>
      <c r="K782" s="15">
        <v>3.91</v>
      </c>
    </row>
    <row r="783" ht="22.5" customHeight="1">
      <c r="A783" s="167">
        <v>46065.94490740741</v>
      </c>
      <c r="B783" s="144" t="s">
        <v>550</v>
      </c>
      <c r="C783" s="15">
        <v>10.02</v>
      </c>
      <c r="D783" s="15">
        <v>0.44</v>
      </c>
      <c r="E783" s="146">
        <v>0.6</v>
      </c>
      <c r="F783" s="15">
        <v>0.58</v>
      </c>
      <c r="G783" s="15">
        <v>0.54481165</v>
      </c>
      <c r="H783" s="15">
        <v>-0.00819739</v>
      </c>
      <c r="I783" s="15">
        <v>0.28958345</v>
      </c>
      <c r="J783" s="15">
        <v>0.0124321</v>
      </c>
      <c r="K783" s="15">
        <v>39.84</v>
      </c>
    </row>
    <row r="784" ht="22.5" customHeight="1">
      <c r="A784" s="167">
        <v>46065.94493055555</v>
      </c>
      <c r="B784" s="144" t="s">
        <v>568</v>
      </c>
      <c r="C784" s="15">
        <v>42.26</v>
      </c>
      <c r="D784" s="15">
        <v>0.27</v>
      </c>
      <c r="E784" s="146">
        <v>0.72</v>
      </c>
      <c r="F784" s="15">
        <v>0.72</v>
      </c>
      <c r="G784" s="15">
        <v>-0.23534664</v>
      </c>
      <c r="H784" s="15">
        <v>-0.0145326</v>
      </c>
      <c r="I784" s="15">
        <v>0.0856761</v>
      </c>
      <c r="J784" s="15">
        <v>0.03927963</v>
      </c>
      <c r="K784" s="15">
        <v>56.17</v>
      </c>
    </row>
    <row r="785" ht="22.5" customHeight="1">
      <c r="A785" s="167">
        <v>46065.94496527778</v>
      </c>
      <c r="B785" s="144" t="s">
        <v>571</v>
      </c>
      <c r="C785" s="15">
        <v>12.4</v>
      </c>
      <c r="D785" s="15">
        <v>0.67</v>
      </c>
      <c r="E785" s="146">
        <v>1.79</v>
      </c>
      <c r="F785" s="15">
        <v>1.19</v>
      </c>
      <c r="G785" s="15">
        <v>-0.53794221</v>
      </c>
      <c r="H785" s="15">
        <v>-0.01382221</v>
      </c>
      <c r="I785" s="15">
        <v>0.15377992</v>
      </c>
      <c r="J785" s="15">
        <v>0.01517677</v>
      </c>
      <c r="K785" s="15">
        <v>172.73</v>
      </c>
    </row>
    <row r="786" ht="22.5" customHeight="1">
      <c r="A786" s="167">
        <v>46065.94497685185</v>
      </c>
      <c r="B786" s="144" t="s">
        <v>572</v>
      </c>
      <c r="C786" s="15">
        <v>12.4</v>
      </c>
      <c r="D786" s="15">
        <v>0.81</v>
      </c>
      <c r="E786" s="146">
        <v>0.6</v>
      </c>
      <c r="F786" s="15">
        <v>0.6</v>
      </c>
      <c r="G786" s="15">
        <v>-0.26647525</v>
      </c>
      <c r="H786" s="15">
        <v>-0.01399928</v>
      </c>
      <c r="I786" s="15">
        <v>0.10502525</v>
      </c>
      <c r="J786" s="15">
        <v>0.0127277</v>
      </c>
      <c r="K786" s="15">
        <v>61.1</v>
      </c>
    </row>
    <row r="787" ht="22.5" customHeight="1">
      <c r="A787" s="167">
        <v>46066.99251157408</v>
      </c>
      <c r="B787" s="144" t="s">
        <v>543</v>
      </c>
      <c r="C787" s="15">
        <v>683.51</v>
      </c>
      <c r="D787" s="15">
        <v>0.22</v>
      </c>
      <c r="E787" s="146">
        <v>5.8</v>
      </c>
      <c r="F787" s="15">
        <v>5.8</v>
      </c>
      <c r="G787" s="15">
        <v>-0.21107407</v>
      </c>
      <c r="H787" s="15">
        <v>-0.44970137</v>
      </c>
      <c r="I787" s="15">
        <v>0.00618116</v>
      </c>
      <c r="J787" s="15">
        <v>0.61837444</v>
      </c>
      <c r="K787" s="15">
        <v>2976.72</v>
      </c>
    </row>
    <row r="788" ht="22.5" customHeight="1">
      <c r="A788" s="167">
        <v>46066.99252314815</v>
      </c>
      <c r="B788" s="144" t="s">
        <v>544</v>
      </c>
      <c r="C788" s="15">
        <v>683.51</v>
      </c>
      <c r="D788" s="15">
        <v>0.19</v>
      </c>
      <c r="E788" s="146">
        <v>10.34</v>
      </c>
      <c r="F788" s="15">
        <v>10.34</v>
      </c>
      <c r="G788" s="15">
        <v>-0.34415424</v>
      </c>
      <c r="H788" s="15">
        <v>-0.18917387</v>
      </c>
      <c r="I788" s="15">
        <v>0.00895855</v>
      </c>
      <c r="J788" s="15">
        <v>0.77658957</v>
      </c>
      <c r="K788" s="15">
        <v>2976.51</v>
      </c>
    </row>
    <row r="789" ht="22.5" customHeight="1">
      <c r="A789" s="167">
        <v>46066.99254629629</v>
      </c>
      <c r="B789" s="144" t="s">
        <v>556</v>
      </c>
      <c r="C789" s="15">
        <v>262.96</v>
      </c>
      <c r="D789" s="15">
        <v>0.22</v>
      </c>
      <c r="E789" s="146">
        <v>4.42</v>
      </c>
      <c r="F789" s="15">
        <v>4.42</v>
      </c>
      <c r="G789" s="15">
        <v>0.37828818</v>
      </c>
      <c r="H789" s="15">
        <v>-0.11086103</v>
      </c>
      <c r="I789" s="15">
        <v>0.02148211</v>
      </c>
      <c r="J789" s="15">
        <v>0.3009805</v>
      </c>
      <c r="K789" s="15">
        <v>31.66</v>
      </c>
    </row>
    <row r="790" ht="22.5" customHeight="1">
      <c r="A790" s="167">
        <v>46066.99255787037</v>
      </c>
      <c r="B790" s="144" t="s">
        <v>557</v>
      </c>
      <c r="C790" s="15">
        <v>262.96</v>
      </c>
      <c r="D790" s="15">
        <v>0.3</v>
      </c>
      <c r="E790" s="146">
        <v>1.94</v>
      </c>
      <c r="F790" s="15">
        <v>1.94</v>
      </c>
      <c r="G790" s="15">
        <v>-0.14650517</v>
      </c>
      <c r="H790" s="15">
        <v>-0.07450067</v>
      </c>
      <c r="I790" s="15">
        <v>0.00963763</v>
      </c>
      <c r="J790" s="15">
        <v>0.19785537</v>
      </c>
      <c r="K790" s="15">
        <v>1712.89</v>
      </c>
    </row>
    <row r="791" ht="22.5" customHeight="1">
      <c r="A791" s="167">
        <v>46066.99259259259</v>
      </c>
      <c r="B791" s="144" t="s">
        <v>584</v>
      </c>
      <c r="C791" s="15">
        <v>125.07</v>
      </c>
      <c r="D791" s="15">
        <v>0.45</v>
      </c>
      <c r="E791" s="146">
        <v>1.7</v>
      </c>
      <c r="F791" s="15">
        <v>1.7</v>
      </c>
      <c r="G791" s="15">
        <v>-0.16400393</v>
      </c>
      <c r="H791" s="15">
        <v>-0.05985258</v>
      </c>
      <c r="I791" s="15">
        <v>0.01419343</v>
      </c>
      <c r="J791" s="15">
        <v>0.09384937</v>
      </c>
      <c r="K791" s="15">
        <v>126.19</v>
      </c>
    </row>
    <row r="792" ht="22.5" customHeight="1">
      <c r="A792" s="167">
        <v>46066.99260416667</v>
      </c>
      <c r="B792" s="144" t="s">
        <v>585</v>
      </c>
      <c r="C792" s="15">
        <v>125.07</v>
      </c>
      <c r="D792" s="15">
        <v>0.44</v>
      </c>
      <c r="E792" s="146">
        <v>2.8</v>
      </c>
      <c r="F792" s="15">
        <v>2.8</v>
      </c>
      <c r="G792" s="15">
        <v>-0.24676633</v>
      </c>
      <c r="H792" s="15">
        <v>-0.07301906</v>
      </c>
      <c r="I792" s="15">
        <v>0.01898077</v>
      </c>
      <c r="J792" s="15">
        <v>0.1278886</v>
      </c>
      <c r="K792" s="15">
        <v>863.35</v>
      </c>
    </row>
    <row r="793" ht="22.5" customHeight="1">
      <c r="A793" s="167">
        <v>46066.992627314816</v>
      </c>
      <c r="B793" s="144" t="s">
        <v>515</v>
      </c>
      <c r="C793" s="15">
        <v>15.19</v>
      </c>
      <c r="D793" s="15">
        <v>0.36</v>
      </c>
      <c r="E793" s="146">
        <v>0.15</v>
      </c>
      <c r="F793" s="15">
        <v>0.15</v>
      </c>
      <c r="G793" s="15">
        <v>0.17486478</v>
      </c>
      <c r="H793" s="15">
        <v>-0.006504</v>
      </c>
      <c r="I793" s="15">
        <v>0.15439504</v>
      </c>
      <c r="J793" s="15">
        <v>0.01165884</v>
      </c>
      <c r="K793" s="15">
        <v>13.75</v>
      </c>
    </row>
    <row r="794" ht="22.5" customHeight="1">
      <c r="A794" s="167">
        <v>46066.992638888885</v>
      </c>
      <c r="B794" s="144" t="s">
        <v>517</v>
      </c>
      <c r="C794" s="15">
        <v>15.19</v>
      </c>
      <c r="D794" s="15">
        <v>0.49</v>
      </c>
      <c r="E794" s="146">
        <v>0.05</v>
      </c>
      <c r="F794" s="15">
        <v>0.05</v>
      </c>
      <c r="G794" s="15">
        <v>-0.04763307</v>
      </c>
      <c r="H794" s="15">
        <v>-0.00317485</v>
      </c>
      <c r="I794" s="15">
        <v>0.04354542</v>
      </c>
      <c r="J794" s="15">
        <v>0.0051594</v>
      </c>
      <c r="K794" s="15">
        <v>3.87</v>
      </c>
    </row>
    <row r="795" ht="22.5" customHeight="1">
      <c r="A795" s="167">
        <v>46066.99267361111</v>
      </c>
      <c r="B795" s="144" t="s">
        <v>536</v>
      </c>
      <c r="C795" s="15">
        <v>28.69</v>
      </c>
      <c r="D795" s="15">
        <v>0.27</v>
      </c>
      <c r="E795" s="146">
        <v>2.03</v>
      </c>
      <c r="F795" s="15">
        <v>0.34</v>
      </c>
      <c r="G795" s="15">
        <v>0.79557856</v>
      </c>
      <c r="H795" s="15">
        <v>-0.01197829</v>
      </c>
      <c r="I795" s="15">
        <v>0.12033394</v>
      </c>
      <c r="J795" s="15">
        <v>0.02592699</v>
      </c>
      <c r="K795" s="15">
        <v>141.86</v>
      </c>
    </row>
    <row r="796" ht="22.5" customHeight="1">
      <c r="A796" s="167">
        <v>46066.992685185185</v>
      </c>
      <c r="B796" s="144" t="s">
        <v>561</v>
      </c>
      <c r="C796" s="15">
        <v>28.69</v>
      </c>
      <c r="D796" s="15">
        <v>0.25</v>
      </c>
      <c r="E796" s="146">
        <v>0.25</v>
      </c>
      <c r="F796" s="15">
        <v>0.25</v>
      </c>
      <c r="G796" s="15">
        <v>-0.1929973</v>
      </c>
      <c r="H796" s="15">
        <v>-0.00819901</v>
      </c>
      <c r="I796" s="15">
        <v>0.12431757</v>
      </c>
      <c r="J796" s="15">
        <v>0.02586496</v>
      </c>
      <c r="K796" s="15">
        <v>13.6</v>
      </c>
    </row>
    <row r="797" ht="22.5" customHeight="1">
      <c r="A797" s="167">
        <v>46066.99270833333</v>
      </c>
      <c r="B797" s="144" t="s">
        <v>573</v>
      </c>
      <c r="C797" s="15">
        <v>366.36</v>
      </c>
      <c r="D797" s="15">
        <v>0.47</v>
      </c>
      <c r="E797" s="146">
        <v>7.0</v>
      </c>
      <c r="F797" s="15">
        <v>7.0</v>
      </c>
      <c r="G797" s="15">
        <v>-0.21262337</v>
      </c>
      <c r="H797" s="15">
        <v>-0.21123328</v>
      </c>
      <c r="I797" s="15">
        <v>0.00550296</v>
      </c>
      <c r="J797" s="15">
        <v>0.32814879</v>
      </c>
      <c r="K797" s="15">
        <v>3081.94</v>
      </c>
    </row>
    <row r="798" ht="22.5" customHeight="1">
      <c r="A798" s="167">
        <v>46066.992731481485</v>
      </c>
      <c r="B798" s="144" t="s">
        <v>578</v>
      </c>
      <c r="C798" s="15">
        <v>78.68</v>
      </c>
      <c r="D798" s="15">
        <v>0.2</v>
      </c>
      <c r="E798" s="146">
        <v>0.26</v>
      </c>
      <c r="F798" s="15">
        <v>0.26</v>
      </c>
      <c r="G798" s="15">
        <v>0.10992521</v>
      </c>
      <c r="H798" s="15">
        <v>-0.01439804</v>
      </c>
      <c r="I798" s="15">
        <v>0.03979081</v>
      </c>
      <c r="J798" s="15">
        <v>0.04835345</v>
      </c>
      <c r="K798" s="15">
        <v>17.67</v>
      </c>
    </row>
    <row r="799" ht="22.5" customHeight="1">
      <c r="A799" s="167">
        <v>46066.9927662037</v>
      </c>
      <c r="B799" s="144" t="s">
        <v>526</v>
      </c>
      <c r="C799" s="15">
        <v>226.16</v>
      </c>
      <c r="D799" s="15">
        <v>0.32</v>
      </c>
      <c r="E799" s="146">
        <v>4.3</v>
      </c>
      <c r="F799" s="15">
        <v>4.3</v>
      </c>
      <c r="G799" s="15">
        <v>0.30784627</v>
      </c>
      <c r="H799" s="15">
        <v>-0.12232582</v>
      </c>
      <c r="I799" s="15">
        <v>0.01561545</v>
      </c>
      <c r="J799" s="15">
        <v>0.25897812</v>
      </c>
      <c r="K799" s="15">
        <v>1759.94</v>
      </c>
    </row>
    <row r="800" ht="22.5" customHeight="1">
      <c r="A800" s="167">
        <v>46066.99277777778</v>
      </c>
      <c r="B800" s="144" t="s">
        <v>527</v>
      </c>
      <c r="C800" s="15">
        <v>226.16</v>
      </c>
      <c r="D800" s="15">
        <v>0.33</v>
      </c>
      <c r="E800" s="146">
        <v>2.23</v>
      </c>
      <c r="F800" s="15">
        <v>2.23</v>
      </c>
      <c r="G800" s="15">
        <v>0.18531277</v>
      </c>
      <c r="H800" s="15">
        <v>-0.09304509</v>
      </c>
      <c r="I800" s="15">
        <v>0.01166563</v>
      </c>
      <c r="J800" s="15">
        <v>0.20256434</v>
      </c>
      <c r="K800" s="15">
        <v>196.15</v>
      </c>
    </row>
    <row r="801" ht="22.5" customHeight="1">
      <c r="A801" s="167">
        <v>46066.992800925924</v>
      </c>
      <c r="B801" s="144" t="s">
        <v>579</v>
      </c>
      <c r="C801" s="15">
        <v>76.87</v>
      </c>
      <c r="D801" s="15">
        <v>0.45</v>
      </c>
      <c r="E801" s="146">
        <v>0.53</v>
      </c>
      <c r="F801" s="15">
        <v>0.53</v>
      </c>
      <c r="G801" s="15">
        <v>-0.09661442</v>
      </c>
      <c r="H801" s="15">
        <v>-0.02566678</v>
      </c>
      <c r="I801" s="15">
        <v>0.01606125</v>
      </c>
      <c r="J801" s="15">
        <v>0.04592095</v>
      </c>
      <c r="K801" s="15">
        <v>43.09</v>
      </c>
    </row>
    <row r="802" ht="22.5" customHeight="1">
      <c r="A802" s="167">
        <v>46066.99283564815</v>
      </c>
      <c r="B802" s="144" t="s">
        <v>577</v>
      </c>
      <c r="C802" s="15">
        <v>69.99</v>
      </c>
      <c r="D802" s="15">
        <v>0.42</v>
      </c>
      <c r="E802" s="146">
        <v>0.51</v>
      </c>
      <c r="F802" s="15">
        <v>0.51</v>
      </c>
      <c r="G802" s="15">
        <v>-0.10011974</v>
      </c>
      <c r="H802" s="15">
        <v>-0.0222143</v>
      </c>
      <c r="I802" s="15">
        <v>0.01944078</v>
      </c>
      <c r="J802" s="15">
        <v>0.0420301</v>
      </c>
      <c r="K802" s="15">
        <v>39.9</v>
      </c>
    </row>
    <row r="803" ht="22.5" customHeight="1">
      <c r="A803" s="167">
        <v>46066.99285879629</v>
      </c>
      <c r="B803" s="144" t="s">
        <v>583</v>
      </c>
      <c r="C803" s="15">
        <v>129.94</v>
      </c>
      <c r="D803" s="15">
        <v>0.21</v>
      </c>
      <c r="E803" s="146">
        <v>0.55</v>
      </c>
      <c r="F803" s="15">
        <v>0.55</v>
      </c>
      <c r="G803" s="15">
        <v>0.14249887</v>
      </c>
      <c r="H803" s="15">
        <v>-0.0290608</v>
      </c>
      <c r="I803" s="15">
        <v>0.02704851</v>
      </c>
      <c r="J803" s="15">
        <v>0.09692091</v>
      </c>
      <c r="K803" s="15">
        <v>56.42</v>
      </c>
    </row>
    <row r="804" ht="22.5" customHeight="1">
      <c r="A804" s="167">
        <v>46066.992893518516</v>
      </c>
      <c r="B804" s="144" t="s">
        <v>511</v>
      </c>
      <c r="C804" s="15">
        <v>33.96</v>
      </c>
      <c r="D804" s="15">
        <v>0.41</v>
      </c>
      <c r="E804" s="146">
        <v>0.22</v>
      </c>
      <c r="F804" s="15">
        <v>0.22</v>
      </c>
      <c r="G804" s="15">
        <v>0.10911037</v>
      </c>
      <c r="H804" s="15">
        <v>-0.01195607</v>
      </c>
      <c r="I804" s="15">
        <v>0.04343433</v>
      </c>
      <c r="J804" s="15">
        <v>0.02018146</v>
      </c>
      <c r="K804" s="15">
        <v>14.68</v>
      </c>
    </row>
    <row r="805" ht="22.5" customHeight="1">
      <c r="A805" s="167">
        <v>46066.99291666667</v>
      </c>
      <c r="B805" s="144" t="s">
        <v>552</v>
      </c>
      <c r="C805" s="15">
        <v>65.66</v>
      </c>
      <c r="D805" s="15">
        <v>0.18</v>
      </c>
      <c r="E805" s="146">
        <v>1.75</v>
      </c>
      <c r="F805" s="15">
        <v>1.09</v>
      </c>
      <c r="G805" s="15">
        <v>0.58885529</v>
      </c>
      <c r="H805" s="15">
        <v>-0.02542785</v>
      </c>
      <c r="I805" s="15">
        <v>0.11109237</v>
      </c>
      <c r="J805" s="15">
        <v>0.0782589</v>
      </c>
      <c r="K805" s="15">
        <v>157.64</v>
      </c>
    </row>
    <row r="806" ht="22.5" customHeight="1">
      <c r="A806" s="167">
        <v>46066.992939814816</v>
      </c>
      <c r="B806" s="144" t="s">
        <v>574</v>
      </c>
      <c r="C806" s="15">
        <v>72.28</v>
      </c>
      <c r="D806" s="15">
        <v>0.26</v>
      </c>
      <c r="E806" s="146">
        <v>0.3</v>
      </c>
      <c r="F806" s="15">
        <v>0.3</v>
      </c>
      <c r="G806" s="15">
        <v>0.10658674</v>
      </c>
      <c r="H806" s="15">
        <v>-0.01638522</v>
      </c>
      <c r="I806" s="15">
        <v>0.03265037</v>
      </c>
      <c r="J806" s="15">
        <v>0.04320265</v>
      </c>
      <c r="K806" s="15">
        <v>26.51</v>
      </c>
    </row>
    <row r="807" ht="22.5" customHeight="1">
      <c r="A807" s="167">
        <v>46066.99296296296</v>
      </c>
      <c r="B807" s="144" t="s">
        <v>523</v>
      </c>
      <c r="C807" s="15">
        <v>5985.23</v>
      </c>
      <c r="D807" s="15">
        <v>0.14</v>
      </c>
      <c r="E807" s="146">
        <v>15.9</v>
      </c>
      <c r="F807" s="15">
        <v>15.9</v>
      </c>
      <c r="G807" s="15">
        <v>0.12005562</v>
      </c>
      <c r="H807" s="15">
        <v>-0.75390469</v>
      </c>
      <c r="I807" s="15">
        <v>7.9859E-4</v>
      </c>
      <c r="J807" s="15">
        <v>3.68202401</v>
      </c>
      <c r="K807" s="15">
        <v>7.67</v>
      </c>
    </row>
    <row r="808" ht="22.5" customHeight="1">
      <c r="A808" s="167">
        <v>46066.992997685185</v>
      </c>
      <c r="B808" s="144" t="s">
        <v>587</v>
      </c>
      <c r="C808" s="15">
        <v>75.97</v>
      </c>
      <c r="D808" s="15">
        <v>0.85</v>
      </c>
      <c r="E808" s="146">
        <v>0.39</v>
      </c>
      <c r="F808" s="15">
        <v>0.39</v>
      </c>
      <c r="G808" s="15">
        <v>-0.04023172</v>
      </c>
      <c r="H808" s="15">
        <v>-0.02449689</v>
      </c>
      <c r="I808" s="15">
        <v>0.00436608</v>
      </c>
      <c r="J808" s="15">
        <v>0.02380572</v>
      </c>
      <c r="K808" s="15">
        <v>28.6</v>
      </c>
    </row>
    <row r="809" ht="22.5" customHeight="1">
      <c r="A809" s="167">
        <v>46066.99302083333</v>
      </c>
      <c r="B809" s="144" t="s">
        <v>576</v>
      </c>
      <c r="C809" s="15">
        <v>49.01</v>
      </c>
      <c r="D809" s="15">
        <v>0.22</v>
      </c>
      <c r="E809" s="146">
        <v>0.29</v>
      </c>
      <c r="F809" s="15">
        <v>0.29</v>
      </c>
      <c r="G809" s="15">
        <v>0.17342808</v>
      </c>
      <c r="H809" s="15">
        <v>-0.0130855</v>
      </c>
      <c r="I809" s="15">
        <v>0.07808738</v>
      </c>
      <c r="J809" s="15">
        <v>0.03886818</v>
      </c>
      <c r="K809" s="15">
        <v>25.13</v>
      </c>
    </row>
    <row r="810" ht="22.5" customHeight="1">
      <c r="A810" s="167">
        <v>46066.993055555555</v>
      </c>
      <c r="B810" s="144" t="s">
        <v>580</v>
      </c>
      <c r="C810" s="15">
        <v>462.62</v>
      </c>
      <c r="D810" s="15">
        <v>0.3</v>
      </c>
      <c r="E810" s="146">
        <v>2.96</v>
      </c>
      <c r="F810" s="15">
        <v>2.96</v>
      </c>
      <c r="G810" s="15">
        <v>-0.13019643</v>
      </c>
      <c r="H810" s="15">
        <v>-0.12463243</v>
      </c>
      <c r="I810" s="15">
        <v>0.00495138</v>
      </c>
      <c r="J810" s="15">
        <v>0.28589044</v>
      </c>
      <c r="K810" s="15">
        <v>29.25</v>
      </c>
    </row>
    <row r="811" ht="22.5" customHeight="1">
      <c r="A811" s="167">
        <v>46066.99306712963</v>
      </c>
      <c r="B811" s="144" t="s">
        <v>524</v>
      </c>
      <c r="C811" s="15">
        <v>5985.23</v>
      </c>
      <c r="D811" s="15">
        <v>0.14</v>
      </c>
      <c r="E811" s="146">
        <v>20.5</v>
      </c>
      <c r="F811" s="15">
        <v>20.5</v>
      </c>
      <c r="G811" s="15">
        <v>0.14369924</v>
      </c>
      <c r="H811" s="15">
        <v>-0.86708668</v>
      </c>
      <c r="I811" s="15">
        <v>8.9128E-4</v>
      </c>
      <c r="J811" s="15">
        <v>4.16842816</v>
      </c>
      <c r="K811" s="15">
        <v>9.47</v>
      </c>
    </row>
    <row r="812" ht="22.5" customHeight="1">
      <c r="A812" s="167">
        <v>46066.9930787037</v>
      </c>
      <c r="B812" s="144" t="s">
        <v>525</v>
      </c>
      <c r="C812" s="15">
        <v>5985.23</v>
      </c>
      <c r="D812" s="15">
        <v>0.23</v>
      </c>
      <c r="E812" s="146">
        <v>38.8</v>
      </c>
      <c r="F812" s="15">
        <v>38.8</v>
      </c>
      <c r="G812" s="15">
        <v>-0.17247659</v>
      </c>
      <c r="H812" s="15">
        <v>-1.49856561</v>
      </c>
      <c r="I812" s="15">
        <v>6.1365E-4</v>
      </c>
      <c r="J812" s="15">
        <v>4.69949605</v>
      </c>
      <c r="K812" s="15">
        <v>3762.47</v>
      </c>
    </row>
    <row r="813" ht="22.5" customHeight="1">
      <c r="A813" s="167">
        <v>46066.993101851855</v>
      </c>
      <c r="B813" s="144" t="s">
        <v>532</v>
      </c>
      <c r="C813" s="15">
        <v>89.41</v>
      </c>
      <c r="D813" s="15">
        <v>0.38</v>
      </c>
      <c r="E813" s="146">
        <v>0.975</v>
      </c>
      <c r="F813" s="15">
        <v>0.975</v>
      </c>
      <c r="G813" s="15">
        <v>-0.14949089</v>
      </c>
      <c r="H813" s="15">
        <v>-0.03556243</v>
      </c>
      <c r="I813" s="15">
        <v>0.02217712</v>
      </c>
      <c r="J813" s="15">
        <v>0.06749447</v>
      </c>
      <c r="K813" s="15">
        <v>489.1</v>
      </c>
    </row>
    <row r="814" ht="22.5" customHeight="1">
      <c r="A814" s="167">
        <v>46066.993113425924</v>
      </c>
      <c r="B814" s="144" t="s">
        <v>562</v>
      </c>
      <c r="C814" s="15">
        <v>89.41</v>
      </c>
      <c r="D814" s="15">
        <v>0.36</v>
      </c>
      <c r="E814" s="146">
        <v>2.05</v>
      </c>
      <c r="F814" s="15">
        <v>2.05</v>
      </c>
      <c r="G814" s="15">
        <v>-0.29341138</v>
      </c>
      <c r="H814" s="15">
        <v>-0.04533946</v>
      </c>
      <c r="I814" s="15">
        <v>0.03514117</v>
      </c>
      <c r="J814" s="15">
        <v>0.09355408</v>
      </c>
      <c r="K814" s="15">
        <v>258.11</v>
      </c>
    </row>
    <row r="815" ht="22.5" customHeight="1">
      <c r="A815" s="167">
        <v>46066.99314814815</v>
      </c>
      <c r="B815" s="144" t="s">
        <v>553</v>
      </c>
      <c r="C815" s="15">
        <v>48.47</v>
      </c>
      <c r="D815" s="15">
        <v>0.81</v>
      </c>
      <c r="E815" s="146">
        <v>1.98</v>
      </c>
      <c r="F815" s="15">
        <v>1.98</v>
      </c>
      <c r="G815" s="15">
        <v>-0.23863075</v>
      </c>
      <c r="H815" s="15">
        <v>-0.05292992</v>
      </c>
      <c r="I815" s="15">
        <v>0.02562399</v>
      </c>
      <c r="J815" s="15">
        <v>0.04832802</v>
      </c>
      <c r="K815" s="15">
        <v>593.55</v>
      </c>
    </row>
    <row r="816" ht="22.5" customHeight="1">
      <c r="A816" s="167">
        <v>46066.993159722224</v>
      </c>
      <c r="B816" s="144" t="s">
        <v>554</v>
      </c>
      <c r="C816" s="15">
        <v>48.47</v>
      </c>
      <c r="D816" s="15">
        <v>0.52</v>
      </c>
      <c r="E816" s="146">
        <v>0.63</v>
      </c>
      <c r="F816" s="15">
        <v>0.63</v>
      </c>
      <c r="G816" s="15">
        <v>0.16780734</v>
      </c>
      <c r="H816" s="15">
        <v>-0.02883088</v>
      </c>
      <c r="I816" s="15">
        <v>0.03239331</v>
      </c>
      <c r="J816" s="15">
        <v>0.03632555</v>
      </c>
      <c r="K816" s="15">
        <v>3.95</v>
      </c>
    </row>
    <row r="817" ht="22.5" customHeight="1">
      <c r="A817" s="167">
        <v>46066.99317129629</v>
      </c>
      <c r="B817" s="144" t="s">
        <v>555</v>
      </c>
      <c r="C817" s="15">
        <v>48.47</v>
      </c>
      <c r="D817" s="15">
        <v>0.5</v>
      </c>
      <c r="E817" s="146">
        <v>0.34</v>
      </c>
      <c r="F817" s="15">
        <v>0.34</v>
      </c>
      <c r="G817" s="15">
        <v>0.09687545</v>
      </c>
      <c r="H817" s="15">
        <v>-0.01882147</v>
      </c>
      <c r="I817" s="15">
        <v>0.02322392</v>
      </c>
      <c r="J817" s="15">
        <v>0.02943936</v>
      </c>
      <c r="K817" s="15">
        <v>2.06</v>
      </c>
    </row>
    <row r="818" ht="22.5" customHeight="1">
      <c r="A818" s="167">
        <v>46066.99319444445</v>
      </c>
      <c r="B818" s="144" t="s">
        <v>586</v>
      </c>
      <c r="C818" s="15">
        <v>46.36</v>
      </c>
      <c r="D818" s="15">
        <v>0.21</v>
      </c>
      <c r="E818" s="146">
        <v>0.47</v>
      </c>
      <c r="F818" s="15">
        <v>0.47</v>
      </c>
      <c r="G818" s="15">
        <v>0.22339527</v>
      </c>
      <c r="H818" s="15">
        <v>-0.01054816</v>
      </c>
      <c r="I818" s="15">
        <v>0.07542981</v>
      </c>
      <c r="J818" s="15">
        <v>0.05667694</v>
      </c>
      <c r="K818" s="15">
        <v>41.14</v>
      </c>
    </row>
    <row r="819" ht="22.5" customHeight="1">
      <c r="A819" s="167">
        <v>46066.99321759259</v>
      </c>
      <c r="B819" s="144" t="s">
        <v>512</v>
      </c>
      <c r="C819" s="15">
        <v>46.79</v>
      </c>
      <c r="D819" s="15">
        <v>0.68</v>
      </c>
      <c r="E819" s="146">
        <v>0.43</v>
      </c>
      <c r="F819" s="15">
        <v>0.43</v>
      </c>
      <c r="G819" s="15">
        <v>-0.08580196</v>
      </c>
      <c r="H819" s="15">
        <v>-0.02177067</v>
      </c>
      <c r="I819" s="15">
        <v>0.01594742</v>
      </c>
      <c r="J819" s="15">
        <v>0.02112276</v>
      </c>
      <c r="K819" s="15">
        <v>35.67</v>
      </c>
    </row>
    <row r="820" ht="22.5" customHeight="1">
      <c r="A820" s="167">
        <v>46066.99322916667</v>
      </c>
      <c r="B820" s="144" t="s">
        <v>542</v>
      </c>
      <c r="C820" s="15">
        <v>683.51</v>
      </c>
      <c r="D820" s="15">
        <v>0.19</v>
      </c>
      <c r="E820" s="146">
        <v>10.75</v>
      </c>
      <c r="F820" s="15">
        <v>10.75</v>
      </c>
      <c r="G820" s="15">
        <v>-0.38649632</v>
      </c>
      <c r="H820" s="15">
        <v>-0.18377222</v>
      </c>
      <c r="I820" s="15">
        <v>0.00977299</v>
      </c>
      <c r="J820" s="15">
        <v>0.80735059</v>
      </c>
      <c r="K820" s="15">
        <v>5015.67</v>
      </c>
    </row>
    <row r="821" ht="22.5" customHeight="1">
      <c r="A821" s="167">
        <v>46066.993263888886</v>
      </c>
      <c r="B821" s="144" t="s">
        <v>569</v>
      </c>
      <c r="C821" s="15">
        <v>61.2</v>
      </c>
      <c r="D821" s="15">
        <v>0.35</v>
      </c>
      <c r="E821" s="146">
        <v>0.325</v>
      </c>
      <c r="F821" s="15">
        <v>0.325</v>
      </c>
      <c r="G821" s="15">
        <v>0.1154663</v>
      </c>
      <c r="H821" s="15">
        <v>-0.0189825</v>
      </c>
      <c r="I821" s="15">
        <v>0.02954931</v>
      </c>
      <c r="J821" s="15">
        <v>0.03610781</v>
      </c>
      <c r="K821" s="15">
        <v>29.86</v>
      </c>
    </row>
    <row r="822" ht="22.5" customHeight="1">
      <c r="A822" s="167">
        <v>46066.99327546296</v>
      </c>
      <c r="B822" s="144" t="s">
        <v>513</v>
      </c>
      <c r="C822" s="15">
        <v>46.79</v>
      </c>
      <c r="D822" s="15">
        <v>0.6</v>
      </c>
      <c r="E822" s="146">
        <v>2.26</v>
      </c>
      <c r="F822" s="15">
        <v>2.26</v>
      </c>
      <c r="G822" s="15">
        <v>0.4020496</v>
      </c>
      <c r="H822" s="15">
        <v>-0.04990405</v>
      </c>
      <c r="I822" s="15">
        <v>0.04502659</v>
      </c>
      <c r="J822" s="15">
        <v>0.05722322</v>
      </c>
      <c r="K822" s="15">
        <v>487.61</v>
      </c>
    </row>
    <row r="823" ht="22.5" customHeight="1">
      <c r="A823" s="167">
        <v>46066.99328703704</v>
      </c>
      <c r="B823" s="144" t="s">
        <v>514</v>
      </c>
      <c r="C823" s="15">
        <v>46.79</v>
      </c>
      <c r="D823" s="15">
        <v>0.6</v>
      </c>
      <c r="E823" s="146">
        <v>1.07</v>
      </c>
      <c r="F823" s="15">
        <v>1.07</v>
      </c>
      <c r="G823" s="15">
        <v>0.22458416</v>
      </c>
      <c r="H823" s="15">
        <v>-0.03850581</v>
      </c>
      <c r="I823" s="15">
        <v>0.03452363</v>
      </c>
      <c r="J823" s="15">
        <v>0.04229087</v>
      </c>
      <c r="K823" s="15">
        <v>91.61</v>
      </c>
    </row>
    <row r="824" ht="22.5" customHeight="1">
      <c r="A824" s="167">
        <v>46066.993310185186</v>
      </c>
      <c r="B824" s="144" t="s">
        <v>575</v>
      </c>
      <c r="C824" s="15">
        <v>281.58</v>
      </c>
      <c r="D824" s="15">
        <v>0.98</v>
      </c>
      <c r="E824" s="146">
        <v>2.58</v>
      </c>
      <c r="F824" s="15">
        <v>2.58</v>
      </c>
      <c r="G824" s="15">
        <v>-0.07240893</v>
      </c>
      <c r="H824" s="15">
        <v>-0.16669192</v>
      </c>
      <c r="I824" s="15">
        <v>0.00161392</v>
      </c>
      <c r="J824" s="15">
        <v>0.11891578</v>
      </c>
      <c r="K824" s="15">
        <v>2179.28</v>
      </c>
    </row>
    <row r="825" ht="22.5" customHeight="1">
      <c r="A825" s="167">
        <v>46066.99334490741</v>
      </c>
      <c r="B825" s="144" t="s">
        <v>521</v>
      </c>
      <c r="C825" s="15">
        <v>9.24</v>
      </c>
      <c r="D825" s="15">
        <v>1.68</v>
      </c>
      <c r="E825" s="146">
        <v>0.1</v>
      </c>
      <c r="F825" s="15">
        <v>0.1</v>
      </c>
      <c r="G825" s="15">
        <v>0.04901301</v>
      </c>
      <c r="H825" s="15">
        <v>-0.00701331</v>
      </c>
      <c r="I825" s="15">
        <v>0.02110061</v>
      </c>
      <c r="J825" s="15">
        <v>0.00298931</v>
      </c>
      <c r="K825" s="15">
        <v>4.25</v>
      </c>
    </row>
    <row r="826" ht="22.5" customHeight="1">
      <c r="A826" s="167">
        <v>46066.99335648148</v>
      </c>
      <c r="B826" s="144" t="s">
        <v>581</v>
      </c>
      <c r="C826" s="15">
        <v>462.62</v>
      </c>
      <c r="D826" s="15">
        <v>0.29</v>
      </c>
      <c r="E826" s="146">
        <v>2.26</v>
      </c>
      <c r="F826" s="15">
        <v>2.26</v>
      </c>
      <c r="G826" s="15">
        <v>0.11506919</v>
      </c>
      <c r="H826" s="15">
        <v>-0.12275905</v>
      </c>
      <c r="I826" s="15">
        <v>0.00462992</v>
      </c>
      <c r="J826" s="15">
        <v>0.2732294</v>
      </c>
      <c r="K826" s="15">
        <v>59.16</v>
      </c>
    </row>
    <row r="827" ht="22.5" customHeight="1">
      <c r="A827" s="167">
        <v>46066.99337962963</v>
      </c>
      <c r="B827" s="144" t="s">
        <v>565</v>
      </c>
      <c r="C827" s="15">
        <v>241.38</v>
      </c>
      <c r="D827" s="15">
        <v>0.24</v>
      </c>
      <c r="E827" s="146">
        <v>1.6</v>
      </c>
      <c r="F827" s="15">
        <v>1.6</v>
      </c>
      <c r="G827" s="15">
        <v>0.1681658</v>
      </c>
      <c r="H827" s="15">
        <v>-0.06990522</v>
      </c>
      <c r="I827" s="15">
        <v>0.01389777</v>
      </c>
      <c r="J827" s="15">
        <v>0.17690592</v>
      </c>
      <c r="K827" s="15">
        <v>1515.48</v>
      </c>
    </row>
    <row r="828" ht="22.5" customHeight="1">
      <c r="A828" s="167">
        <v>46066.9933912037</v>
      </c>
      <c r="B828" s="144" t="s">
        <v>566</v>
      </c>
      <c r="C828" s="15">
        <v>241.38</v>
      </c>
      <c r="D828" s="15">
        <v>0.24</v>
      </c>
      <c r="E828" s="146">
        <v>0.64</v>
      </c>
      <c r="F828" s="15">
        <v>0.64</v>
      </c>
      <c r="G828" s="15">
        <v>0.07063633</v>
      </c>
      <c r="H828" s="15">
        <v>-0.03689331</v>
      </c>
      <c r="I828" s="15">
        <v>0.00749964</v>
      </c>
      <c r="J828" s="15">
        <v>0.10964109</v>
      </c>
      <c r="K828" s="15">
        <v>51.25</v>
      </c>
    </row>
    <row r="829" ht="22.5" customHeight="1">
      <c r="A829" s="167">
        <v>46066.993425925924</v>
      </c>
      <c r="B829" s="144" t="s">
        <v>563</v>
      </c>
      <c r="C829" s="15">
        <v>112.57</v>
      </c>
      <c r="D829" s="15">
        <v>0.79</v>
      </c>
      <c r="E829" s="146">
        <v>0.7</v>
      </c>
      <c r="F829" s="15">
        <v>0.7</v>
      </c>
      <c r="G829" s="15">
        <v>-0.12336334</v>
      </c>
      <c r="H829" s="15">
        <v>-0.17809003</v>
      </c>
      <c r="I829" s="15">
        <v>0.0167806</v>
      </c>
      <c r="J829" s="15">
        <v>0.03157636</v>
      </c>
      <c r="K829" s="15">
        <v>51.28</v>
      </c>
    </row>
    <row r="830" ht="22.5" customHeight="1">
      <c r="A830" s="167">
        <v>46066.9934375</v>
      </c>
      <c r="B830" s="144" t="s">
        <v>564</v>
      </c>
      <c r="C830" s="15">
        <v>112.57</v>
      </c>
      <c r="D830" s="15">
        <v>0.78</v>
      </c>
      <c r="E830" s="146">
        <v>1.69</v>
      </c>
      <c r="F830" s="15">
        <v>1.69</v>
      </c>
      <c r="G830" s="15">
        <v>-0.23877806</v>
      </c>
      <c r="H830" s="15">
        <v>-0.26924627</v>
      </c>
      <c r="I830" s="15">
        <v>0.0256924</v>
      </c>
      <c r="J830" s="15">
        <v>0.04658023</v>
      </c>
      <c r="K830" s="15">
        <v>1140.03</v>
      </c>
    </row>
    <row r="831" ht="22.5" customHeight="1">
      <c r="A831" s="167">
        <v>46066.99346064815</v>
      </c>
      <c r="B831" s="144" t="s">
        <v>519</v>
      </c>
      <c r="C831" s="15">
        <v>69.72</v>
      </c>
      <c r="D831" s="15">
        <v>0.65</v>
      </c>
      <c r="E831" s="146">
        <v>10.2</v>
      </c>
      <c r="F831" s="15">
        <v>2.92</v>
      </c>
      <c r="G831" s="15">
        <v>-0.64924809</v>
      </c>
      <c r="H831" s="15">
        <v>-0.06948028</v>
      </c>
      <c r="I831" s="15">
        <v>0.02700545</v>
      </c>
      <c r="J831" s="15">
        <v>0.0797991</v>
      </c>
      <c r="K831" s="15">
        <v>1127.28</v>
      </c>
    </row>
    <row r="832" ht="22.5" customHeight="1">
      <c r="A832" s="167">
        <v>46066.9940625</v>
      </c>
      <c r="B832" s="144" t="s">
        <v>497</v>
      </c>
      <c r="C832" s="15">
        <v>31.07</v>
      </c>
      <c r="D832" s="15">
        <v>0.57</v>
      </c>
      <c r="E832" s="146">
        <v>0.0</v>
      </c>
      <c r="F832" s="15">
        <v>0.0</v>
      </c>
      <c r="G832" s="15">
        <v>-0.03424694</v>
      </c>
      <c r="H832" s="15">
        <v>-0.01198996</v>
      </c>
      <c r="I832" s="15">
        <v>0.03091169</v>
      </c>
      <c r="J832" s="15">
        <v>0.00368634</v>
      </c>
      <c r="K832" s="15">
        <v>1.93</v>
      </c>
    </row>
    <row r="833" ht="22.5" customHeight="1">
      <c r="A833" s="167">
        <v>46066.994097222225</v>
      </c>
      <c r="B833" s="144" t="s">
        <v>530</v>
      </c>
      <c r="C833" s="15">
        <v>93.8</v>
      </c>
      <c r="D833" s="15">
        <v>0.23</v>
      </c>
      <c r="E833" s="146">
        <v>0.72</v>
      </c>
      <c r="F833" s="15">
        <v>0.72</v>
      </c>
      <c r="G833" s="15">
        <v>0.35859863</v>
      </c>
      <c r="H833" s="15">
        <v>-0.08524064</v>
      </c>
      <c r="I833" s="15">
        <v>0.1254899</v>
      </c>
      <c r="J833" s="15">
        <v>0.0499368</v>
      </c>
      <c r="K833" s="15">
        <v>70.02</v>
      </c>
    </row>
    <row r="834" ht="22.5" customHeight="1">
      <c r="A834" s="167">
        <v>46066.994108796294</v>
      </c>
      <c r="B834" s="144" t="s">
        <v>480</v>
      </c>
      <c r="C834" s="15">
        <v>48.47</v>
      </c>
      <c r="D834" s="15">
        <v>0.64</v>
      </c>
      <c r="E834" s="146">
        <v>0.01</v>
      </c>
      <c r="F834" s="15">
        <v>0.01</v>
      </c>
      <c r="G834" s="15">
        <v>0.00863094</v>
      </c>
      <c r="H834" s="15">
        <v>-0.007305</v>
      </c>
      <c r="I834" s="15">
        <v>0.00547618</v>
      </c>
      <c r="J834" s="15">
        <v>0.00178704</v>
      </c>
      <c r="K834" s="15">
        <v>0.01</v>
      </c>
    </row>
    <row r="835" ht="22.5" customHeight="1">
      <c r="A835" s="167">
        <v>46066.99471064815</v>
      </c>
      <c r="B835" s="144" t="s">
        <v>529</v>
      </c>
      <c r="C835" s="15">
        <v>10.42</v>
      </c>
      <c r="D835" s="15">
        <v>0.72</v>
      </c>
      <c r="E835" s="146">
        <v>0.0</v>
      </c>
      <c r="F835" s="15">
        <v>0.0</v>
      </c>
      <c r="G835" s="15">
        <v>0.00174364</v>
      </c>
      <c r="H835" s="15">
        <v>-3.2481E-4</v>
      </c>
      <c r="I835" s="15">
        <v>0.005362</v>
      </c>
      <c r="J835" s="15">
        <v>9.599E-5</v>
      </c>
      <c r="K835" s="15">
        <v>0.02</v>
      </c>
    </row>
    <row r="836" ht="22.5" customHeight="1">
      <c r="A836" s="167">
        <v>46066.99532407407</v>
      </c>
      <c r="B836" s="144" t="s">
        <v>528</v>
      </c>
      <c r="C836" s="15">
        <v>98.09</v>
      </c>
      <c r="D836" s="15">
        <v>0.39</v>
      </c>
      <c r="E836" s="146">
        <v>0.0</v>
      </c>
      <c r="F836" s="15">
        <v>0.0</v>
      </c>
      <c r="G836" s="15">
        <v>-7.449E-5</v>
      </c>
      <c r="H836" s="15">
        <v>-7.55E-5</v>
      </c>
      <c r="I836" s="15">
        <v>5.547E-5</v>
      </c>
      <c r="J836" s="15">
        <v>4.2E-5</v>
      </c>
      <c r="K836" s="15">
        <v>0.05</v>
      </c>
    </row>
    <row r="837" ht="22.5" customHeight="1">
      <c r="A837" s="167">
        <v>46066.99533564815</v>
      </c>
      <c r="B837" s="144" t="s">
        <v>558</v>
      </c>
      <c r="C837" s="15">
        <v>262.96</v>
      </c>
      <c r="D837" s="15">
        <v>0.21</v>
      </c>
      <c r="E837" s="146">
        <v>3.18</v>
      </c>
      <c r="F837" s="15">
        <v>3.18</v>
      </c>
      <c r="G837" s="15">
        <v>0.30993691</v>
      </c>
      <c r="H837" s="15">
        <v>-0.09812788</v>
      </c>
      <c r="I837" s="15">
        <v>0.02074816</v>
      </c>
      <c r="J837" s="15">
        <v>0.28369443</v>
      </c>
      <c r="K837" s="15">
        <v>25.38</v>
      </c>
    </row>
    <row r="838" ht="22.5" customHeight="1">
      <c r="A838" s="167">
        <v>46066.99592592593</v>
      </c>
      <c r="B838" s="144" t="s">
        <v>478</v>
      </c>
      <c r="C838" s="15">
        <v>683.51</v>
      </c>
      <c r="D838" s="15">
        <v>0.12</v>
      </c>
      <c r="E838" s="146">
        <v>0.0</v>
      </c>
      <c r="F838" s="15">
        <v>0.0</v>
      </c>
      <c r="G838" s="15">
        <v>9.8688E-4</v>
      </c>
      <c r="H838" s="15">
        <v>-0.00169771</v>
      </c>
      <c r="I838" s="15">
        <v>3.2375E-4</v>
      </c>
      <c r="J838" s="15">
        <v>0.00483559</v>
      </c>
      <c r="K838" s="15">
        <v>0.03</v>
      </c>
    </row>
    <row r="839" ht="22.5" customHeight="1">
      <c r="A839" s="167">
        <v>46066.99594907407</v>
      </c>
      <c r="B839" s="144" t="s">
        <v>567</v>
      </c>
      <c r="C839" s="15">
        <v>65.1</v>
      </c>
      <c r="D839" s="15">
        <v>0.27</v>
      </c>
      <c r="E839" s="146">
        <v>0.075</v>
      </c>
      <c r="F839" s="15">
        <v>0.075</v>
      </c>
      <c r="G839" s="15">
        <v>0.0516933</v>
      </c>
      <c r="H839" s="15">
        <v>-0.00876543</v>
      </c>
      <c r="I839" s="15">
        <v>0.01968933</v>
      </c>
      <c r="J839" s="15">
        <v>0.02180916</v>
      </c>
      <c r="K839" s="15">
        <v>8.58</v>
      </c>
    </row>
    <row r="840" ht="22.5" customHeight="1">
      <c r="A840" s="167">
        <v>46066.995983796296</v>
      </c>
      <c r="B840" s="144" t="s">
        <v>518</v>
      </c>
      <c r="C840" s="15">
        <v>11.07</v>
      </c>
      <c r="D840" s="15">
        <v>0.28</v>
      </c>
      <c r="E840" s="146">
        <v>0.125</v>
      </c>
      <c r="F840" s="15">
        <v>0.125</v>
      </c>
      <c r="G840" s="15">
        <v>0.19961376</v>
      </c>
      <c r="H840" s="15">
        <v>-0.00420868</v>
      </c>
      <c r="I840" s="15">
        <v>0.29282984</v>
      </c>
      <c r="J840" s="15">
        <v>0.00986721</v>
      </c>
      <c r="K840" s="15">
        <v>8.27</v>
      </c>
    </row>
    <row r="841" ht="22.5" customHeight="1">
      <c r="A841" s="167">
        <v>46066.99658564815</v>
      </c>
      <c r="B841" s="144" t="s">
        <v>570</v>
      </c>
      <c r="C841" s="15">
        <v>50.22</v>
      </c>
      <c r="D841" s="15">
        <v>0.34</v>
      </c>
      <c r="E841" s="146">
        <v>0.0</v>
      </c>
      <c r="F841" s="15">
        <v>0.0</v>
      </c>
      <c r="G841" s="15">
        <v>0.05487168</v>
      </c>
      <c r="H841" s="15">
        <v>-0.00852632</v>
      </c>
      <c r="I841" s="15">
        <v>0.02089023</v>
      </c>
      <c r="J841" s="15">
        <v>0.01673889</v>
      </c>
      <c r="K841" s="15">
        <v>6.54</v>
      </c>
    </row>
    <row r="842" ht="22.5" customHeight="1">
      <c r="A842" s="167">
        <v>46066.9966087963</v>
      </c>
      <c r="B842" s="144" t="s">
        <v>550</v>
      </c>
      <c r="C842" s="15">
        <v>9.9</v>
      </c>
      <c r="D842" s="15">
        <v>0.29</v>
      </c>
      <c r="E842" s="146">
        <v>0.35</v>
      </c>
      <c r="F842" s="15">
        <v>0.35</v>
      </c>
      <c r="G842" s="15">
        <v>0.49410335</v>
      </c>
      <c r="H842" s="15">
        <v>-0.00560959</v>
      </c>
      <c r="I842" s="15">
        <v>0.45002756</v>
      </c>
      <c r="J842" s="15">
        <v>0.01225004</v>
      </c>
      <c r="K842" s="15">
        <v>35.11</v>
      </c>
    </row>
    <row r="843" ht="22.5" customHeight="1">
      <c r="A843" s="167">
        <v>46066.99664351852</v>
      </c>
      <c r="B843" s="144" t="s">
        <v>568</v>
      </c>
      <c r="C843" s="15">
        <v>41.99</v>
      </c>
      <c r="D843" s="15">
        <v>0.31</v>
      </c>
      <c r="E843" s="146">
        <v>0.76</v>
      </c>
      <c r="F843" s="15">
        <v>0.76</v>
      </c>
      <c r="G843" s="15">
        <v>-0.27768566</v>
      </c>
      <c r="H843" s="15">
        <v>-0.01809144</v>
      </c>
      <c r="I843" s="15">
        <v>0.08422469</v>
      </c>
      <c r="J843" s="15">
        <v>0.04372742</v>
      </c>
      <c r="K843" s="15">
        <v>59.68</v>
      </c>
    </row>
    <row r="844" ht="22.5" customHeight="1">
      <c r="A844" s="167">
        <v>46066.996666666666</v>
      </c>
      <c r="B844" s="144" t="s">
        <v>571</v>
      </c>
      <c r="C844" s="15">
        <v>12.43</v>
      </c>
      <c r="D844" s="15">
        <v>0.84</v>
      </c>
      <c r="E844" s="146">
        <v>1.5</v>
      </c>
      <c r="F844" s="15">
        <v>0.93</v>
      </c>
      <c r="G844" s="15">
        <v>-0.5108487</v>
      </c>
      <c r="H844" s="15">
        <v>-0.01777227</v>
      </c>
      <c r="I844" s="15">
        <v>0.12495927</v>
      </c>
      <c r="J844" s="15">
        <v>0.01550836</v>
      </c>
      <c r="K844" s="15">
        <v>156.8</v>
      </c>
    </row>
    <row r="845" ht="22.5" customHeight="1">
      <c r="A845" s="167">
        <v>46066.99674768518</v>
      </c>
      <c r="B845" s="144" t="s">
        <v>582</v>
      </c>
      <c r="C845" s="15">
        <v>38.97</v>
      </c>
      <c r="D845" s="15">
        <v>0.5</v>
      </c>
      <c r="E845" s="146">
        <v>0.8</v>
      </c>
      <c r="F845" s="15">
        <v>0.8</v>
      </c>
      <c r="G845" s="15">
        <v>0.23479545</v>
      </c>
      <c r="H845" s="15">
        <v>-0.02514784</v>
      </c>
      <c r="I845" s="15">
        <v>0.04692706</v>
      </c>
      <c r="J845" s="15">
        <v>0.03852566</v>
      </c>
      <c r="K845" s="15">
        <v>70.58</v>
      </c>
    </row>
    <row r="846" ht="22.5" customHeight="1">
      <c r="A846" s="167">
        <v>46066.996770833335</v>
      </c>
      <c r="B846" s="144" t="s">
        <v>572</v>
      </c>
      <c r="C846" s="15">
        <v>12.43</v>
      </c>
      <c r="D846" s="15">
        <v>0.8</v>
      </c>
      <c r="E846" s="146">
        <v>0.57</v>
      </c>
      <c r="F846" s="15">
        <v>0.57</v>
      </c>
      <c r="G846" s="15">
        <v>-0.26214664</v>
      </c>
      <c r="H846" s="15">
        <v>-0.01406081</v>
      </c>
      <c r="I846" s="15">
        <v>0.1059484</v>
      </c>
      <c r="J846" s="15">
        <v>0.01255096</v>
      </c>
      <c r="K846" s="15">
        <v>53.49</v>
      </c>
    </row>
    <row r="847" ht="22.5" customHeight="1">
      <c r="A847" s="167">
        <v>46070.93204861111</v>
      </c>
      <c r="B847" s="144" t="s">
        <v>543</v>
      </c>
      <c r="C847" s="15">
        <v>684.6</v>
      </c>
      <c r="D847" s="15">
        <v>0.22</v>
      </c>
      <c r="E847" s="146">
        <v>4.7</v>
      </c>
      <c r="F847" s="15">
        <v>4.7</v>
      </c>
      <c r="G847" s="15">
        <v>-0.19337719</v>
      </c>
      <c r="H847" s="15">
        <v>-0.18202446</v>
      </c>
      <c r="I847" s="15">
        <v>0.00615601</v>
      </c>
      <c r="J847" s="15">
        <v>0.54618976</v>
      </c>
      <c r="K847" s="15">
        <v>2905.43</v>
      </c>
    </row>
    <row r="848" ht="22.5" customHeight="1">
      <c r="A848" s="167">
        <v>46070.93206018519</v>
      </c>
      <c r="B848" s="144" t="s">
        <v>544</v>
      </c>
      <c r="C848" s="15">
        <v>684.6</v>
      </c>
      <c r="D848" s="15">
        <v>0.19</v>
      </c>
      <c r="E848" s="146">
        <v>7.95</v>
      </c>
      <c r="F848" s="15">
        <v>7.95</v>
      </c>
      <c r="G848" s="15">
        <v>-0.3247396</v>
      </c>
      <c r="H848" s="15">
        <v>-0.19747347</v>
      </c>
      <c r="I848" s="15">
        <v>0.00935949</v>
      </c>
      <c r="J848" s="15">
        <v>0.71640711</v>
      </c>
      <c r="K848" s="15">
        <v>2905.65</v>
      </c>
    </row>
    <row r="849" ht="22.5" customHeight="1">
      <c r="A849" s="167">
        <v>46070.93209490741</v>
      </c>
      <c r="B849" s="144" t="s">
        <v>556</v>
      </c>
      <c r="C849" s="15">
        <v>263.04</v>
      </c>
      <c r="D849" s="15">
        <v>0.22</v>
      </c>
      <c r="E849" s="146">
        <v>4.1</v>
      </c>
      <c r="F849" s="15">
        <v>4.1</v>
      </c>
      <c r="G849" s="15">
        <v>0.36786821</v>
      </c>
      <c r="H849" s="15">
        <v>-0.11618715</v>
      </c>
      <c r="I849" s="15">
        <v>0.0225437</v>
      </c>
      <c r="J849" s="15">
        <v>0.28147663</v>
      </c>
      <c r="K849" s="15">
        <v>28.59</v>
      </c>
    </row>
    <row r="850" ht="22.5" customHeight="1">
      <c r="A850" s="167">
        <v>46070.93210648148</v>
      </c>
      <c r="B850" s="144" t="s">
        <v>557</v>
      </c>
      <c r="C850" s="15">
        <v>263.04</v>
      </c>
      <c r="D850" s="15">
        <v>0.3</v>
      </c>
      <c r="E850" s="146">
        <v>1.68</v>
      </c>
      <c r="F850" s="15">
        <v>1.68</v>
      </c>
      <c r="G850" s="15">
        <v>-0.13833725</v>
      </c>
      <c r="H850" s="15">
        <v>-0.07853384</v>
      </c>
      <c r="I850" s="15">
        <v>0.00965625</v>
      </c>
      <c r="J850" s="15">
        <v>0.18557469</v>
      </c>
      <c r="K850" s="15">
        <v>1719.58</v>
      </c>
    </row>
    <row r="851" ht="22.5" customHeight="1">
      <c r="A851" s="167">
        <v>46070.93212962963</v>
      </c>
      <c r="B851" s="144" t="s">
        <v>584</v>
      </c>
      <c r="C851" s="15">
        <v>125.15</v>
      </c>
      <c r="D851" s="15">
        <v>0.48</v>
      </c>
      <c r="E851" s="146">
        <v>1.5</v>
      </c>
      <c r="F851" s="15">
        <v>1.5</v>
      </c>
      <c r="G851" s="15">
        <v>-0.1624497</v>
      </c>
      <c r="H851" s="15">
        <v>-0.06737018</v>
      </c>
      <c r="I851" s="15">
        <v>0.01409119</v>
      </c>
      <c r="J851" s="15">
        <v>0.08865698</v>
      </c>
      <c r="K851" s="15">
        <v>111.39</v>
      </c>
    </row>
    <row r="852" ht="22.5" customHeight="1">
      <c r="A852" s="167">
        <v>46070.9321412037</v>
      </c>
      <c r="B852" s="144" t="s">
        <v>585</v>
      </c>
      <c r="C852" s="15">
        <v>125.15</v>
      </c>
      <c r="D852" s="15">
        <v>0.44</v>
      </c>
      <c r="E852" s="146">
        <v>2.3</v>
      </c>
      <c r="F852" s="15">
        <v>2.3</v>
      </c>
      <c r="G852" s="15">
        <v>-0.23669341</v>
      </c>
      <c r="H852" s="15">
        <v>-0.077123</v>
      </c>
      <c r="I852" s="15">
        <v>0.01938568</v>
      </c>
      <c r="J852" s="15">
        <v>0.1072148</v>
      </c>
      <c r="K852" s="15">
        <v>843.82</v>
      </c>
    </row>
    <row r="853" ht="22.5" customHeight="1">
      <c r="A853" s="167">
        <v>46070.93216435185</v>
      </c>
      <c r="B853" s="144" t="s">
        <v>515</v>
      </c>
      <c r="C853" s="15">
        <v>15.02</v>
      </c>
      <c r="D853" s="15">
        <v>0.38</v>
      </c>
      <c r="E853" s="146">
        <v>0.12</v>
      </c>
      <c r="F853" s="15">
        <v>0.12</v>
      </c>
      <c r="G853" s="15">
        <v>0.14938961</v>
      </c>
      <c r="H853" s="15">
        <v>-0.00646014</v>
      </c>
      <c r="I853" s="15">
        <v>0.1408467</v>
      </c>
      <c r="J853" s="15">
        <v>0.0104683</v>
      </c>
      <c r="K853" s="15">
        <v>7.09</v>
      </c>
    </row>
    <row r="854" ht="22.5" customHeight="1">
      <c r="A854" s="167">
        <v>46070.9321875</v>
      </c>
      <c r="B854" s="144" t="s">
        <v>517</v>
      </c>
      <c r="C854" s="15">
        <v>15.02</v>
      </c>
      <c r="D854" s="15">
        <v>0.5</v>
      </c>
      <c r="E854" s="146">
        <v>0.04</v>
      </c>
      <c r="F854" s="15">
        <v>0.04</v>
      </c>
      <c r="G854" s="15">
        <v>-0.05144726</v>
      </c>
      <c r="H854" s="15">
        <v>-0.00366415</v>
      </c>
      <c r="I854" s="15">
        <v>0.04806293</v>
      </c>
      <c r="J854" s="15">
        <v>0.00485597</v>
      </c>
      <c r="K854" s="15">
        <v>4.52</v>
      </c>
    </row>
    <row r="855" ht="22.5" customHeight="1">
      <c r="A855" s="167">
        <v>46070.93221064815</v>
      </c>
      <c r="B855" s="144" t="s">
        <v>536</v>
      </c>
      <c r="C855" s="15">
        <v>28.68</v>
      </c>
      <c r="D855" s="15">
        <v>0.27</v>
      </c>
      <c r="E855" s="146">
        <v>2.15</v>
      </c>
      <c r="F855" s="15">
        <v>0.47</v>
      </c>
      <c r="G855" s="15">
        <v>0.80499602</v>
      </c>
      <c r="H855" s="15">
        <v>-0.01250915</v>
      </c>
      <c r="I855" s="15">
        <v>0.12238363</v>
      </c>
      <c r="J855" s="15">
        <v>0.02445611</v>
      </c>
      <c r="K855" s="15">
        <v>138.54</v>
      </c>
    </row>
    <row r="856" ht="22.5" customHeight="1">
      <c r="A856" s="167">
        <v>46070.932222222225</v>
      </c>
      <c r="B856" s="144" t="s">
        <v>561</v>
      </c>
      <c r="C856" s="15">
        <v>28.68</v>
      </c>
      <c r="D856" s="15">
        <v>0.27</v>
      </c>
      <c r="E856" s="146">
        <v>0.24</v>
      </c>
      <c r="F856" s="15">
        <v>0.24</v>
      </c>
      <c r="G856" s="15">
        <v>-0.19235786</v>
      </c>
      <c r="H856" s="15">
        <v>-0.00928042</v>
      </c>
      <c r="I856" s="15">
        <v>0.12434359</v>
      </c>
      <c r="J856" s="15">
        <v>0.02446537</v>
      </c>
      <c r="K856" s="15">
        <v>12.86</v>
      </c>
    </row>
    <row r="857" ht="22.5" customHeight="1">
      <c r="A857" s="167">
        <v>46070.93225694444</v>
      </c>
      <c r="B857" s="144" t="s">
        <v>573</v>
      </c>
      <c r="C857" s="15">
        <v>364.2</v>
      </c>
      <c r="D857" s="15">
        <v>0.48</v>
      </c>
      <c r="E857" s="146">
        <v>6.8</v>
      </c>
      <c r="F857" s="15">
        <v>6.8</v>
      </c>
      <c r="G857" s="15">
        <v>-0.21893141</v>
      </c>
      <c r="H857" s="15">
        <v>-0.2341559</v>
      </c>
      <c r="I857" s="15">
        <v>0.00581239</v>
      </c>
      <c r="J857" s="15">
        <v>0.30895033</v>
      </c>
      <c r="K857" s="15">
        <v>3058.75</v>
      </c>
    </row>
    <row r="858" ht="22.5" customHeight="1">
      <c r="A858" s="167">
        <v>46070.932280092595</v>
      </c>
      <c r="B858" s="144" t="s">
        <v>578</v>
      </c>
      <c r="C858" s="15">
        <v>79.56</v>
      </c>
      <c r="D858" s="15">
        <v>0.19</v>
      </c>
      <c r="E858" s="146">
        <v>0.25</v>
      </c>
      <c r="F858" s="15">
        <v>0.25</v>
      </c>
      <c r="G858" s="15">
        <v>0.12219393</v>
      </c>
      <c r="H858" s="15">
        <v>-0.01606262</v>
      </c>
      <c r="I858" s="15">
        <v>0.04711177</v>
      </c>
      <c r="J858" s="15">
        <v>0.04579359</v>
      </c>
      <c r="K858" s="15">
        <v>21.22</v>
      </c>
    </row>
    <row r="859" ht="22.5" customHeight="1">
      <c r="A859" s="167">
        <v>46070.93231481482</v>
      </c>
      <c r="B859" s="144" t="s">
        <v>526</v>
      </c>
      <c r="C859" s="15">
        <v>225.69</v>
      </c>
      <c r="D859" s="15">
        <v>0.34</v>
      </c>
      <c r="E859" s="146">
        <v>4.1</v>
      </c>
      <c r="F859" s="15">
        <v>4.1</v>
      </c>
      <c r="G859" s="15">
        <v>0.29543881</v>
      </c>
      <c r="H859" s="15">
        <v>-0.13274565</v>
      </c>
      <c r="I859" s="15">
        <v>0.01549531</v>
      </c>
      <c r="J859" s="15">
        <v>0.21583491</v>
      </c>
      <c r="K859" s="15">
        <v>1699.93</v>
      </c>
    </row>
    <row r="860" ht="22.5" customHeight="1">
      <c r="A860" s="167">
        <v>46070.93232638889</v>
      </c>
      <c r="B860" s="144" t="s">
        <v>527</v>
      </c>
      <c r="C860" s="15">
        <v>225.69</v>
      </c>
      <c r="D860" s="15">
        <v>0.35</v>
      </c>
      <c r="E860" s="146">
        <v>2.2</v>
      </c>
      <c r="F860" s="15">
        <v>2.2</v>
      </c>
      <c r="G860" s="15">
        <v>0.1743029</v>
      </c>
      <c r="H860" s="15">
        <v>-0.09896764</v>
      </c>
      <c r="I860" s="15">
        <v>0.01138763</v>
      </c>
      <c r="J860" s="15">
        <v>0.16789825</v>
      </c>
      <c r="K860" s="15">
        <v>161.45</v>
      </c>
    </row>
    <row r="861" ht="22.5" customHeight="1">
      <c r="A861" s="167">
        <v>46070.93234953703</v>
      </c>
      <c r="B861" s="144" t="s">
        <v>579</v>
      </c>
      <c r="C861" s="15">
        <v>77.0</v>
      </c>
      <c r="D861" s="15">
        <v>0.48</v>
      </c>
      <c r="E861" s="146">
        <v>0.51</v>
      </c>
      <c r="F861" s="15">
        <v>0.51</v>
      </c>
      <c r="G861" s="15">
        <v>-0.09367419</v>
      </c>
      <c r="H861" s="15">
        <v>-0.02825842</v>
      </c>
      <c r="I861" s="15">
        <v>0.01571822</v>
      </c>
      <c r="J861" s="15">
        <v>0.03585042</v>
      </c>
      <c r="K861" s="15">
        <v>35.36</v>
      </c>
    </row>
    <row r="862" ht="22.5" customHeight="1">
      <c r="A862" s="167">
        <v>46070.93238425926</v>
      </c>
      <c r="B862" s="144" t="s">
        <v>577</v>
      </c>
      <c r="C862" s="15">
        <v>70.53</v>
      </c>
      <c r="D862" s="15">
        <v>0.43</v>
      </c>
      <c r="E862" s="146">
        <v>0.36</v>
      </c>
      <c r="F862" s="15">
        <v>0.36</v>
      </c>
      <c r="G862" s="15">
        <v>-0.08500881</v>
      </c>
      <c r="H862" s="15">
        <v>-0.02178396</v>
      </c>
      <c r="I862" s="15">
        <v>0.0175</v>
      </c>
      <c r="J862" s="15">
        <v>0.03128014</v>
      </c>
      <c r="K862" s="15">
        <v>29.38</v>
      </c>
    </row>
    <row r="863" ht="22.5" customHeight="1">
      <c r="A863" s="167">
        <v>46070.93240740741</v>
      </c>
      <c r="B863" s="144" t="s">
        <v>583</v>
      </c>
      <c r="C863" s="15">
        <v>130.24</v>
      </c>
      <c r="D863" s="15">
        <v>0.23</v>
      </c>
      <c r="E863" s="146">
        <v>0.66</v>
      </c>
      <c r="F863" s="15">
        <v>0.66</v>
      </c>
      <c r="G863" s="15">
        <v>0.16241329</v>
      </c>
      <c r="H863" s="15">
        <v>-0.03733076</v>
      </c>
      <c r="I863" s="15">
        <v>0.02796695</v>
      </c>
      <c r="J863" s="15">
        <v>0.09010072</v>
      </c>
      <c r="K863" s="15">
        <v>46.62</v>
      </c>
    </row>
    <row r="864" ht="22.5" customHeight="1">
      <c r="A864" s="167">
        <v>46070.932442129626</v>
      </c>
      <c r="B864" s="144" t="s">
        <v>511</v>
      </c>
      <c r="C864" s="15">
        <v>33.71</v>
      </c>
      <c r="D864" s="15">
        <v>0.42</v>
      </c>
      <c r="E864" s="146">
        <v>0.13</v>
      </c>
      <c r="F864" s="15">
        <v>0.13</v>
      </c>
      <c r="G864" s="15">
        <v>0.08973053</v>
      </c>
      <c r="H864" s="15">
        <v>-0.0111935</v>
      </c>
      <c r="I864" s="15">
        <v>0.03930718</v>
      </c>
      <c r="J864" s="15">
        <v>0.01515006</v>
      </c>
      <c r="K864" s="15">
        <v>10.3</v>
      </c>
    </row>
    <row r="865" ht="22.5" customHeight="1">
      <c r="A865" s="167">
        <v>46070.93246527778</v>
      </c>
      <c r="B865" s="144" t="s">
        <v>552</v>
      </c>
      <c r="C865" s="15">
        <v>66.49</v>
      </c>
      <c r="D865" s="15">
        <v>0.22</v>
      </c>
      <c r="E865" s="146">
        <v>2.55</v>
      </c>
      <c r="F865" s="15">
        <v>1.06</v>
      </c>
      <c r="G865" s="15">
        <v>0.65690955</v>
      </c>
      <c r="H865" s="15">
        <v>-0.03096258</v>
      </c>
      <c r="I865" s="15">
        <v>0.09126542</v>
      </c>
      <c r="J865" s="15">
        <v>0.07078785</v>
      </c>
      <c r="K865" s="15">
        <v>193.19</v>
      </c>
    </row>
    <row r="866" ht="22.5" customHeight="1">
      <c r="A866" s="167">
        <v>46070.9325</v>
      </c>
      <c r="B866" s="144" t="s">
        <v>574</v>
      </c>
      <c r="C866" s="15">
        <v>71.96</v>
      </c>
      <c r="D866" s="15">
        <v>0.27</v>
      </c>
      <c r="E866" s="146">
        <v>0.225</v>
      </c>
      <c r="F866" s="15">
        <v>0.225</v>
      </c>
      <c r="G866" s="15">
        <v>0.11335438</v>
      </c>
      <c r="H866" s="15">
        <v>-0.01765362</v>
      </c>
      <c r="I866" s="15">
        <v>0.03319949</v>
      </c>
      <c r="J866" s="15">
        <v>0.04310334</v>
      </c>
      <c r="K866" s="15">
        <v>17.44</v>
      </c>
    </row>
    <row r="867" ht="22.5" customHeight="1">
      <c r="A867" s="167">
        <v>46070.93252314815</v>
      </c>
      <c r="B867" s="144" t="s">
        <v>523</v>
      </c>
      <c r="C867" s="15">
        <v>6021.85</v>
      </c>
      <c r="D867" s="15">
        <v>0.14</v>
      </c>
      <c r="E867" s="146">
        <v>12.8</v>
      </c>
      <c r="F867" s="15">
        <v>12.8</v>
      </c>
      <c r="G867" s="15">
        <v>0.14018165</v>
      </c>
      <c r="H867" s="15">
        <v>-0.90792951</v>
      </c>
      <c r="I867" s="15">
        <v>9.2045E-4</v>
      </c>
      <c r="J867" s="15">
        <v>3.88218164</v>
      </c>
      <c r="K867" s="15">
        <v>5.78</v>
      </c>
    </row>
    <row r="868" ht="22.5" customHeight="1">
      <c r="A868" s="167">
        <v>46070.932546296295</v>
      </c>
      <c r="B868" s="144" t="s">
        <v>587</v>
      </c>
      <c r="C868" s="15">
        <v>75.44</v>
      </c>
      <c r="D868" s="15">
        <v>0.88</v>
      </c>
      <c r="E868" s="146">
        <v>0.34</v>
      </c>
      <c r="F868" s="15">
        <v>0.34</v>
      </c>
      <c r="G868" s="15">
        <v>-0.03933721</v>
      </c>
      <c r="H868" s="15">
        <v>-0.02626367</v>
      </c>
      <c r="I868" s="15">
        <v>0.00443177</v>
      </c>
      <c r="J868" s="15">
        <v>0.01942237</v>
      </c>
      <c r="K868" s="15">
        <v>26.61</v>
      </c>
    </row>
    <row r="869" ht="22.5" customHeight="1">
      <c r="A869" s="167">
        <v>46070.93258101852</v>
      </c>
      <c r="B869" s="144" t="s">
        <v>576</v>
      </c>
      <c r="C869" s="15">
        <v>48.93</v>
      </c>
      <c r="D869" s="15">
        <v>0.22</v>
      </c>
      <c r="E869" s="146">
        <v>0.24</v>
      </c>
      <c r="F869" s="15">
        <v>0.24</v>
      </c>
      <c r="G869" s="15">
        <v>0.1531229</v>
      </c>
      <c r="H869" s="15">
        <v>-0.01276453</v>
      </c>
      <c r="I869" s="15">
        <v>0.07577353</v>
      </c>
      <c r="J869" s="15">
        <v>0.03398008</v>
      </c>
      <c r="K869" s="15">
        <v>17.53</v>
      </c>
    </row>
    <row r="870" ht="22.5" customHeight="1">
      <c r="A870" s="167">
        <v>46070.932604166665</v>
      </c>
      <c r="B870" s="144" t="s">
        <v>580</v>
      </c>
      <c r="C870" s="15">
        <v>448.2</v>
      </c>
      <c r="D870" s="15">
        <v>0.3</v>
      </c>
      <c r="E870" s="146">
        <v>4.6</v>
      </c>
      <c r="F870" s="15">
        <v>4.6</v>
      </c>
      <c r="G870" s="15">
        <v>-0.20038526</v>
      </c>
      <c r="H870" s="15">
        <v>-0.16683698</v>
      </c>
      <c r="I870" s="15">
        <v>0.00727302</v>
      </c>
      <c r="J870" s="15">
        <v>0.38322591</v>
      </c>
      <c r="K870" s="15">
        <v>1097.83</v>
      </c>
    </row>
    <row r="871" ht="22.5" customHeight="1">
      <c r="A871" s="167">
        <v>46070.93261574074</v>
      </c>
      <c r="B871" s="144" t="s">
        <v>524</v>
      </c>
      <c r="C871" s="15">
        <v>6021.85</v>
      </c>
      <c r="D871" s="15">
        <v>0.13</v>
      </c>
      <c r="E871" s="146">
        <v>19.6</v>
      </c>
      <c r="F871" s="15">
        <v>19.6</v>
      </c>
      <c r="G871" s="15">
        <v>0.1535263</v>
      </c>
      <c r="H871" s="15">
        <v>-0.92979518</v>
      </c>
      <c r="I871" s="15">
        <v>0.00101754</v>
      </c>
      <c r="J871" s="15">
        <v>4.12640149</v>
      </c>
      <c r="K871" s="15">
        <v>6.21</v>
      </c>
    </row>
    <row r="872" ht="22.5" customHeight="1">
      <c r="A872" s="167">
        <v>46070.93262731482</v>
      </c>
      <c r="B872" s="144" t="s">
        <v>525</v>
      </c>
      <c r="C872" s="15">
        <v>6021.85</v>
      </c>
      <c r="D872" s="15">
        <v>0.23</v>
      </c>
      <c r="E872" s="146">
        <v>31.7</v>
      </c>
      <c r="F872" s="15">
        <v>31.7</v>
      </c>
      <c r="G872" s="15">
        <v>-0.13915601</v>
      </c>
      <c r="H872" s="15">
        <v>-1.40866175</v>
      </c>
      <c r="I872" s="15">
        <v>5.5972E-4</v>
      </c>
      <c r="J872" s="15">
        <v>3.86284582</v>
      </c>
      <c r="K872" s="15">
        <v>3741.82</v>
      </c>
    </row>
    <row r="873" ht="22.5" customHeight="1">
      <c r="A873" s="167">
        <v>46070.932650462964</v>
      </c>
      <c r="B873" s="144" t="s">
        <v>532</v>
      </c>
      <c r="C873" s="15">
        <v>89.94</v>
      </c>
      <c r="D873" s="15">
        <v>0.41</v>
      </c>
      <c r="E873" s="146">
        <v>0.8</v>
      </c>
      <c r="F873" s="15">
        <v>0.8</v>
      </c>
      <c r="G873" s="15">
        <v>-0.13982589</v>
      </c>
      <c r="H873" s="15">
        <v>-0.03711452</v>
      </c>
      <c r="I873" s="15">
        <v>0.02103461</v>
      </c>
      <c r="J873" s="15">
        <v>0.06380009</v>
      </c>
      <c r="K873" s="15">
        <v>473.24</v>
      </c>
    </row>
    <row r="874" ht="22.5" customHeight="1">
      <c r="A874" s="167">
        <v>46070.932662037034</v>
      </c>
      <c r="B874" s="144" t="s">
        <v>562</v>
      </c>
      <c r="C874" s="15">
        <v>89.94</v>
      </c>
      <c r="D874" s="15">
        <v>0.37</v>
      </c>
      <c r="E874" s="146">
        <v>1.74</v>
      </c>
      <c r="F874" s="15">
        <v>1.74</v>
      </c>
      <c r="G874" s="15">
        <v>-0.273115</v>
      </c>
      <c r="H874" s="15">
        <v>-0.05008082</v>
      </c>
      <c r="I874" s="15">
        <v>0.03419106</v>
      </c>
      <c r="J874" s="15">
        <v>0.0881858</v>
      </c>
      <c r="K874" s="15">
        <v>278.33</v>
      </c>
    </row>
    <row r="875" ht="22.5" customHeight="1">
      <c r="A875" s="167">
        <v>46070.93269675926</v>
      </c>
      <c r="B875" s="144" t="s">
        <v>588</v>
      </c>
      <c r="C875" s="15">
        <v>16.56</v>
      </c>
      <c r="D875" s="15">
        <v>0.37</v>
      </c>
      <c r="E875" s="146">
        <v>0.4</v>
      </c>
      <c r="F875" s="15">
        <v>0.4</v>
      </c>
      <c r="G875" s="15">
        <v>0.33418281</v>
      </c>
      <c r="H875" s="15">
        <v>-0.01105443</v>
      </c>
      <c r="I875" s="15">
        <v>0.20534899</v>
      </c>
      <c r="J875" s="15">
        <v>0.01771442</v>
      </c>
      <c r="K875" s="15">
        <v>33.7</v>
      </c>
    </row>
    <row r="876" ht="22.5" customHeight="1">
      <c r="A876" s="167">
        <v>46070.93271990741</v>
      </c>
      <c r="B876" s="144" t="s">
        <v>553</v>
      </c>
      <c r="C876" s="15">
        <v>48.35</v>
      </c>
      <c r="D876" s="15">
        <v>0.81</v>
      </c>
      <c r="E876" s="146">
        <v>1.74</v>
      </c>
      <c r="F876" s="15">
        <v>1.74</v>
      </c>
      <c r="G876" s="15">
        <v>-0.23277529</v>
      </c>
      <c r="H876" s="15">
        <v>-0.0550631</v>
      </c>
      <c r="I876" s="15">
        <v>0.02718993</v>
      </c>
      <c r="J876" s="15">
        <v>0.04550323</v>
      </c>
      <c r="K876" s="15">
        <v>598.43</v>
      </c>
    </row>
    <row r="877" ht="22.5" customHeight="1">
      <c r="A877" s="167">
        <v>46070.93273148148</v>
      </c>
      <c r="B877" s="144" t="s">
        <v>554</v>
      </c>
      <c r="C877" s="15">
        <v>48.35</v>
      </c>
      <c r="D877" s="15">
        <v>0.51</v>
      </c>
      <c r="E877" s="146">
        <v>0.45</v>
      </c>
      <c r="F877" s="15">
        <v>0.45</v>
      </c>
      <c r="G877" s="15">
        <v>0.13886106</v>
      </c>
      <c r="H877" s="15">
        <v>-0.02631282</v>
      </c>
      <c r="I877" s="15">
        <v>0.03116191</v>
      </c>
      <c r="J877" s="15">
        <v>0.0342409</v>
      </c>
      <c r="K877" s="15">
        <v>2.97</v>
      </c>
    </row>
    <row r="878" ht="22.5" customHeight="1">
      <c r="A878" s="167">
        <v>46070.93274305556</v>
      </c>
      <c r="B878" s="144" t="s">
        <v>555</v>
      </c>
      <c r="C878" s="15">
        <v>48.35</v>
      </c>
      <c r="D878" s="15">
        <v>0.48</v>
      </c>
      <c r="E878" s="146">
        <v>0.23</v>
      </c>
      <c r="F878" s="15">
        <v>0.23</v>
      </c>
      <c r="G878" s="15">
        <v>0.0723257</v>
      </c>
      <c r="H878" s="15">
        <v>-0.01540612</v>
      </c>
      <c r="I878" s="15">
        <v>0.02041611</v>
      </c>
      <c r="J878" s="15">
        <v>0.02095833</v>
      </c>
      <c r="K878" s="15">
        <v>1.54</v>
      </c>
    </row>
    <row r="879" ht="22.5" customHeight="1">
      <c r="A879" s="167">
        <v>46070.93277777778</v>
      </c>
      <c r="B879" s="144" t="s">
        <v>586</v>
      </c>
      <c r="C879" s="15">
        <v>46.71</v>
      </c>
      <c r="D879" s="15">
        <v>0.19</v>
      </c>
      <c r="E879" s="146">
        <v>0.4</v>
      </c>
      <c r="F879" s="15">
        <v>0.4</v>
      </c>
      <c r="G879" s="15">
        <v>0.2186709</v>
      </c>
      <c r="H879" s="15">
        <v>-0.00989899</v>
      </c>
      <c r="I879" s="15">
        <v>0.08420321</v>
      </c>
      <c r="J879" s="15">
        <v>0.0554092</v>
      </c>
      <c r="K879" s="15">
        <v>46.99</v>
      </c>
    </row>
    <row r="880" ht="22.5" customHeight="1">
      <c r="A880" s="167">
        <v>46070.932800925926</v>
      </c>
      <c r="B880" s="144" t="s">
        <v>512</v>
      </c>
      <c r="C880" s="15">
        <v>46.18</v>
      </c>
      <c r="D880" s="15">
        <v>0.69</v>
      </c>
      <c r="E880" s="146">
        <v>0.36</v>
      </c>
      <c r="F880" s="15">
        <v>0.36</v>
      </c>
      <c r="G880" s="15">
        <v>-0.08598094</v>
      </c>
      <c r="H880" s="15">
        <v>-0.02305174</v>
      </c>
      <c r="I880" s="15">
        <v>0.01704383</v>
      </c>
      <c r="J880" s="15">
        <v>0.01980888</v>
      </c>
      <c r="K880" s="15">
        <v>35.29</v>
      </c>
    </row>
    <row r="881" ht="22.5" customHeight="1">
      <c r="A881" s="167">
        <v>46070.9328125</v>
      </c>
      <c r="B881" s="144" t="s">
        <v>542</v>
      </c>
      <c r="C881" s="15">
        <v>684.6</v>
      </c>
      <c r="D881" s="15">
        <v>0.19</v>
      </c>
      <c r="E881" s="146">
        <v>9.54</v>
      </c>
      <c r="F881" s="15">
        <v>9.54</v>
      </c>
      <c r="G881" s="15">
        <v>-0.36673622</v>
      </c>
      <c r="H881" s="15">
        <v>-0.71112408</v>
      </c>
      <c r="I881" s="15">
        <v>0.01015533</v>
      </c>
      <c r="J881" s="15">
        <v>0.75182987</v>
      </c>
      <c r="K881" s="15">
        <v>5039.96</v>
      </c>
    </row>
    <row r="882" ht="22.5" customHeight="1">
      <c r="A882" s="167">
        <v>46070.93284722222</v>
      </c>
      <c r="B882" s="144" t="s">
        <v>569</v>
      </c>
      <c r="C882" s="15">
        <v>59.86</v>
      </c>
      <c r="D882" s="15">
        <v>0.33</v>
      </c>
      <c r="E882" s="146">
        <v>0.15</v>
      </c>
      <c r="F882" s="15">
        <v>0.15</v>
      </c>
      <c r="G882" s="15">
        <v>0.05964213</v>
      </c>
      <c r="H882" s="15">
        <v>-0.01138553</v>
      </c>
      <c r="I882" s="15">
        <v>0.02075666</v>
      </c>
      <c r="J882" s="15">
        <v>0.02050422</v>
      </c>
      <c r="K882" s="15">
        <v>16.54</v>
      </c>
    </row>
    <row r="883" ht="22.5" customHeight="1">
      <c r="A883" s="167">
        <v>46070.932858796295</v>
      </c>
      <c r="B883" s="144" t="s">
        <v>513</v>
      </c>
      <c r="C883" s="15">
        <v>46.18</v>
      </c>
      <c r="D883" s="15">
        <v>0.59</v>
      </c>
      <c r="E883" s="146">
        <v>1.78</v>
      </c>
      <c r="F883" s="15">
        <v>1.78</v>
      </c>
      <c r="G883" s="15">
        <v>0.3619648</v>
      </c>
      <c r="H883" s="15">
        <v>-0.04992146</v>
      </c>
      <c r="I883" s="15">
        <v>0.047362</v>
      </c>
      <c r="J883" s="15">
        <v>0.0495621</v>
      </c>
      <c r="K883" s="15">
        <v>404.91</v>
      </c>
    </row>
    <row r="884" ht="22.5" customHeight="1">
      <c r="A884" s="167">
        <v>46070.93287037037</v>
      </c>
      <c r="B884" s="144" t="s">
        <v>514</v>
      </c>
      <c r="C884" s="15">
        <v>46.18</v>
      </c>
      <c r="D884" s="15">
        <v>0.61</v>
      </c>
      <c r="E884" s="146">
        <v>0.8</v>
      </c>
      <c r="F884" s="15">
        <v>0.8</v>
      </c>
      <c r="G884" s="15">
        <v>0.18835701</v>
      </c>
      <c r="H884" s="15">
        <v>-0.03663085</v>
      </c>
      <c r="I884" s="15">
        <v>0.0332894</v>
      </c>
      <c r="J884" s="15">
        <v>0.03965746</v>
      </c>
      <c r="K884" s="15">
        <v>60.87</v>
      </c>
    </row>
    <row r="885" ht="22.5" customHeight="1">
      <c r="A885" s="167">
        <v>46070.93289351852</v>
      </c>
      <c r="B885" s="144" t="s">
        <v>575</v>
      </c>
      <c r="C885" s="15">
        <v>284.11</v>
      </c>
      <c r="D885" s="15">
        <v>1.01</v>
      </c>
      <c r="E885" s="146">
        <v>2.35</v>
      </c>
      <c r="F885" s="15">
        <v>2.35</v>
      </c>
      <c r="G885" s="15">
        <v>-0.06297094</v>
      </c>
      <c r="H885" s="15">
        <v>-0.16522382</v>
      </c>
      <c r="I885" s="15">
        <v>0.001487</v>
      </c>
      <c r="J885" s="15">
        <v>0.11265858</v>
      </c>
      <c r="K885" s="15">
        <v>2075.85</v>
      </c>
    </row>
    <row r="886" ht="22.5" customHeight="1">
      <c r="A886" s="167">
        <v>46070.93292824074</v>
      </c>
      <c r="B886" s="144" t="s">
        <v>521</v>
      </c>
      <c r="C886" s="15">
        <v>9.33</v>
      </c>
      <c r="D886" s="15">
        <v>1.64</v>
      </c>
      <c r="E886" s="146">
        <v>0.08</v>
      </c>
      <c r="F886" s="15">
        <v>0.08</v>
      </c>
      <c r="G886" s="15">
        <v>0.03355303</v>
      </c>
      <c r="H886" s="15">
        <v>-0.00538609</v>
      </c>
      <c r="I886" s="15">
        <v>0.01675477</v>
      </c>
      <c r="J886" s="15">
        <v>0.00189917</v>
      </c>
      <c r="K886" s="15">
        <v>4.77</v>
      </c>
    </row>
    <row r="887" ht="22.5" customHeight="1">
      <c r="A887" s="167">
        <v>46070.93293981482</v>
      </c>
      <c r="B887" s="144" t="s">
        <v>581</v>
      </c>
      <c r="C887" s="15">
        <v>448.2</v>
      </c>
      <c r="D887" s="15">
        <v>0.32</v>
      </c>
      <c r="E887" s="146">
        <v>1.18</v>
      </c>
      <c r="F887" s="15">
        <v>1.18</v>
      </c>
      <c r="G887" s="15">
        <v>0.06433725</v>
      </c>
      <c r="H887" s="15">
        <v>-0.08800503</v>
      </c>
      <c r="I887" s="15">
        <v>0.00303937</v>
      </c>
      <c r="J887" s="15">
        <v>0.19204584</v>
      </c>
      <c r="K887" s="15">
        <v>4.81</v>
      </c>
    </row>
    <row r="888" ht="22.5" customHeight="1">
      <c r="A888" s="167">
        <v>46070.932962962965</v>
      </c>
      <c r="B888" s="144" t="s">
        <v>565</v>
      </c>
      <c r="C888" s="15">
        <v>242.65</v>
      </c>
      <c r="D888" s="15">
        <v>0.23</v>
      </c>
      <c r="E888" s="146">
        <v>1.51</v>
      </c>
      <c r="F888" s="15">
        <v>1.51</v>
      </c>
      <c r="G888" s="15">
        <v>0.1591209</v>
      </c>
      <c r="H888" s="15">
        <v>-0.06898962</v>
      </c>
      <c r="I888" s="15">
        <v>0.01470551</v>
      </c>
      <c r="J888" s="15">
        <v>0.16719539</v>
      </c>
      <c r="K888" s="15">
        <v>1507.53</v>
      </c>
    </row>
    <row r="889" ht="22.5" customHeight="1">
      <c r="A889" s="167">
        <v>46070.932974537034</v>
      </c>
      <c r="B889" s="144" t="s">
        <v>566</v>
      </c>
      <c r="C889" s="15">
        <v>242.65</v>
      </c>
      <c r="D889" s="15">
        <v>0.25</v>
      </c>
      <c r="E889" s="146">
        <v>0.7</v>
      </c>
      <c r="F889" s="15">
        <v>0.7</v>
      </c>
      <c r="G889" s="15">
        <v>0.07569594</v>
      </c>
      <c r="H889" s="15">
        <v>-0.04300659</v>
      </c>
      <c r="I889" s="15">
        <v>0.00801315</v>
      </c>
      <c r="J889" s="15">
        <v>0.10263606</v>
      </c>
      <c r="K889" s="15">
        <v>42.13</v>
      </c>
    </row>
    <row r="890" ht="22.5" customHeight="1">
      <c r="A890" s="167">
        <v>46070.93300925926</v>
      </c>
      <c r="B890" s="144" t="s">
        <v>519</v>
      </c>
      <c r="C890" s="15">
        <v>66.37</v>
      </c>
      <c r="D890" s="15">
        <v>0.6</v>
      </c>
      <c r="E890" s="146">
        <v>12.13</v>
      </c>
      <c r="F890" s="15">
        <v>1.5</v>
      </c>
      <c r="G890" s="15">
        <v>-0.77237441</v>
      </c>
      <c r="H890" s="15">
        <v>-0.05159195</v>
      </c>
      <c r="I890" s="15">
        <v>0.02705032</v>
      </c>
      <c r="J890" s="15">
        <v>0.05549488</v>
      </c>
      <c r="K890" s="15">
        <v>1104.14</v>
      </c>
    </row>
    <row r="891" ht="22.5" customHeight="1">
      <c r="A891" s="167">
        <v>46070.93361111111</v>
      </c>
      <c r="B891" s="144" t="s">
        <v>497</v>
      </c>
      <c r="C891" s="15">
        <v>30.91</v>
      </c>
      <c r="D891" s="15">
        <v>0.78</v>
      </c>
      <c r="E891" s="146">
        <v>0.0</v>
      </c>
      <c r="F891" s="15">
        <v>0.0</v>
      </c>
      <c r="G891" s="15">
        <v>-0.03357987</v>
      </c>
      <c r="H891" s="15">
        <v>-0.01171597</v>
      </c>
      <c r="I891" s="15">
        <v>0.03041465</v>
      </c>
      <c r="J891" s="15">
        <v>0.00368708</v>
      </c>
      <c r="K891" s="15">
        <v>0.1</v>
      </c>
    </row>
    <row r="892" ht="22.5" customHeight="1">
      <c r="A892" s="167">
        <v>46070.933645833335</v>
      </c>
      <c r="B892" s="144" t="s">
        <v>530</v>
      </c>
      <c r="C892" s="15">
        <v>92.71</v>
      </c>
      <c r="D892" s="15">
        <v>0.29</v>
      </c>
      <c r="E892" s="146">
        <v>0.26</v>
      </c>
      <c r="F892" s="15">
        <v>0.26</v>
      </c>
      <c r="G892" s="15">
        <v>0.18879258</v>
      </c>
      <c r="H892" s="15">
        <v>-0.11398849</v>
      </c>
      <c r="I892" s="15">
        <v>0.10967566</v>
      </c>
      <c r="J892" s="15">
        <v>0.02286912</v>
      </c>
      <c r="K892" s="15">
        <v>19.59</v>
      </c>
    </row>
    <row r="893" ht="22.5" customHeight="1">
      <c r="A893" s="167">
        <v>46070.933657407404</v>
      </c>
      <c r="B893" s="144" t="s">
        <v>480</v>
      </c>
      <c r="C893" s="15">
        <v>48.35</v>
      </c>
      <c r="D893" s="15">
        <v>0.91</v>
      </c>
      <c r="E893" s="146">
        <v>0.01</v>
      </c>
      <c r="F893" s="15">
        <v>0.01</v>
      </c>
      <c r="G893" s="15">
        <v>0.00466836</v>
      </c>
      <c r="H893" s="15">
        <v>-0.00911608</v>
      </c>
      <c r="I893" s="15">
        <v>0.00340946</v>
      </c>
      <c r="J893" s="15">
        <v>5.6078E-4</v>
      </c>
      <c r="K893" s="15">
        <v>0.03</v>
      </c>
    </row>
    <row r="894" ht="22.5" customHeight="1">
      <c r="A894" s="167">
        <v>46070.934270833335</v>
      </c>
      <c r="B894" s="144" t="s">
        <v>529</v>
      </c>
      <c r="C894" s="15">
        <v>10.27</v>
      </c>
      <c r="D894" s="15">
        <v>0.94</v>
      </c>
      <c r="E894" s="146">
        <v>0.0</v>
      </c>
      <c r="F894" s="15">
        <v>0.0</v>
      </c>
      <c r="G894" s="15">
        <v>0.00174501</v>
      </c>
      <c r="H894" s="15">
        <v>-3.2518E-4</v>
      </c>
      <c r="I894" s="15">
        <v>0.00536365</v>
      </c>
      <c r="J894" s="15">
        <v>9.598E-5</v>
      </c>
      <c r="K894" s="15">
        <v>0.05</v>
      </c>
    </row>
    <row r="895" ht="22.5" customHeight="1">
      <c r="A895" s="167">
        <v>46070.93487268518</v>
      </c>
      <c r="B895" s="144" t="s">
        <v>528</v>
      </c>
      <c r="C895" s="15">
        <v>99.7</v>
      </c>
      <c r="D895" s="15">
        <v>0.7</v>
      </c>
      <c r="E895" s="146">
        <v>0.0</v>
      </c>
      <c r="F895" s="15">
        <v>0.0</v>
      </c>
      <c r="G895" s="15">
        <v>-6.852E-5</v>
      </c>
      <c r="H895" s="15">
        <v>-6.886E-5</v>
      </c>
      <c r="I895" s="15">
        <v>5.121E-5</v>
      </c>
      <c r="J895" s="15">
        <v>4.2E-5</v>
      </c>
      <c r="K895" s="15">
        <v>0.05</v>
      </c>
    </row>
    <row r="896" ht="22.5" customHeight="1">
      <c r="A896" s="167">
        <v>46070.93488425926</v>
      </c>
      <c r="B896" s="144" t="s">
        <v>558</v>
      </c>
      <c r="C896" s="15">
        <v>263.04</v>
      </c>
      <c r="D896" s="15">
        <v>0.22</v>
      </c>
      <c r="E896" s="146">
        <v>3.26</v>
      </c>
      <c r="F896" s="15">
        <v>3.26</v>
      </c>
      <c r="G896" s="15">
        <v>0.298655</v>
      </c>
      <c r="H896" s="15">
        <v>-0.10304943</v>
      </c>
      <c r="I896" s="15">
        <v>0.0213706</v>
      </c>
      <c r="J896" s="15">
        <v>0.25512945</v>
      </c>
      <c r="K896" s="15">
        <v>20.3</v>
      </c>
    </row>
    <row r="897" ht="22.5" customHeight="1">
      <c r="A897" s="167">
        <v>46070.934895833336</v>
      </c>
      <c r="B897" s="144" t="s">
        <v>478</v>
      </c>
      <c r="C897" s="15">
        <v>684.6</v>
      </c>
      <c r="D897" s="15">
        <v>0.21</v>
      </c>
      <c r="E897" s="146">
        <v>0.02</v>
      </c>
      <c r="F897" s="15">
        <v>0.02</v>
      </c>
      <c r="G897" s="15">
        <v>0.01078627</v>
      </c>
      <c r="H897" s="15">
        <v>-0.02</v>
      </c>
      <c r="I897" s="15">
        <v>0.00215308</v>
      </c>
      <c r="J897" s="15">
        <v>0.01761619</v>
      </c>
      <c r="K897" s="15">
        <v>0.01</v>
      </c>
    </row>
    <row r="898" ht="22.5" customHeight="1">
      <c r="A898" s="167">
        <v>46070.93549768518</v>
      </c>
      <c r="B898" s="144" t="s">
        <v>567</v>
      </c>
      <c r="C898" s="15">
        <v>64.39</v>
      </c>
      <c r="D898" s="15">
        <v>0.28</v>
      </c>
      <c r="E898" s="146">
        <v>0.0</v>
      </c>
      <c r="F898" s="15">
        <v>0.0</v>
      </c>
      <c r="G898" s="15">
        <v>0.05171888</v>
      </c>
      <c r="H898" s="15">
        <v>-0.00876564</v>
      </c>
      <c r="I898" s="15">
        <v>0.01969678</v>
      </c>
      <c r="J898" s="15">
        <v>0.02180903</v>
      </c>
      <c r="K898" s="15">
        <v>5.17</v>
      </c>
    </row>
    <row r="899" ht="22.5" customHeight="1">
      <c r="A899" s="167">
        <v>46070.935532407406</v>
      </c>
      <c r="B899" s="144" t="s">
        <v>518</v>
      </c>
      <c r="C899" s="15">
        <v>11.18</v>
      </c>
      <c r="D899" s="15">
        <v>0.32</v>
      </c>
      <c r="E899" s="146">
        <v>0.15</v>
      </c>
      <c r="F899" s="15">
        <v>0.15</v>
      </c>
      <c r="G899" s="15">
        <v>0.19842531</v>
      </c>
      <c r="H899" s="15">
        <v>-0.00420726</v>
      </c>
      <c r="I899" s="15">
        <v>0.29191566</v>
      </c>
      <c r="J899" s="15">
        <v>0.00986719</v>
      </c>
      <c r="K899" s="15">
        <v>9.45</v>
      </c>
    </row>
    <row r="900" ht="22.5" customHeight="1">
      <c r="A900" s="167">
        <v>46070.93555555555</v>
      </c>
      <c r="B900" s="144" t="s">
        <v>570</v>
      </c>
      <c r="C900" s="15">
        <v>50.87</v>
      </c>
      <c r="D900" s="15">
        <v>0.3</v>
      </c>
      <c r="E900" s="146">
        <v>0.05</v>
      </c>
      <c r="F900" s="15">
        <v>0.05</v>
      </c>
      <c r="G900" s="15">
        <v>0.03603407</v>
      </c>
      <c r="H900" s="15">
        <v>-0.00590539</v>
      </c>
      <c r="I900" s="15">
        <v>0.01773228</v>
      </c>
      <c r="J900" s="15">
        <v>0.01121438</v>
      </c>
      <c r="K900" s="15">
        <v>10.53</v>
      </c>
    </row>
    <row r="901" ht="22.5" customHeight="1">
      <c r="A901" s="167">
        <v>46070.935590277775</v>
      </c>
      <c r="B901" s="144" t="s">
        <v>550</v>
      </c>
      <c r="C901" s="15">
        <v>9.34</v>
      </c>
      <c r="D901" s="15">
        <v>0.48</v>
      </c>
      <c r="E901" s="146">
        <v>0.25</v>
      </c>
      <c r="F901" s="15">
        <v>0.25</v>
      </c>
      <c r="G901" s="15">
        <v>0.34754096</v>
      </c>
      <c r="H901" s="15">
        <v>-0.00811602</v>
      </c>
      <c r="I901" s="15">
        <v>0.28479969</v>
      </c>
      <c r="J901" s="15">
        <v>0.01000726</v>
      </c>
      <c r="K901" s="15">
        <v>15.1</v>
      </c>
    </row>
    <row r="902" ht="22.5" customHeight="1">
      <c r="A902" s="167">
        <v>46070.93561342593</v>
      </c>
      <c r="B902" s="144" t="s">
        <v>568</v>
      </c>
      <c r="C902" s="15">
        <v>42.32</v>
      </c>
      <c r="D902" s="15">
        <v>0.32</v>
      </c>
      <c r="E902" s="146">
        <v>0.66</v>
      </c>
      <c r="F902" s="15">
        <v>0.66</v>
      </c>
      <c r="G902" s="15">
        <v>-0.24592705</v>
      </c>
      <c r="H902" s="15">
        <v>-0.0190353</v>
      </c>
      <c r="I902" s="15">
        <v>0.08102882</v>
      </c>
      <c r="J902" s="15">
        <v>0.03994824</v>
      </c>
      <c r="K902" s="15">
        <v>46.37</v>
      </c>
    </row>
    <row r="903" ht="22.5" customHeight="1">
      <c r="A903" s="167">
        <v>46070.935636574075</v>
      </c>
      <c r="B903" s="144" t="s">
        <v>571</v>
      </c>
      <c r="C903" s="15">
        <v>12.3</v>
      </c>
      <c r="D903" s="15">
        <v>0.92</v>
      </c>
      <c r="E903" s="146">
        <v>1.67</v>
      </c>
      <c r="F903" s="15">
        <v>0.97</v>
      </c>
      <c r="G903" s="15">
        <v>-0.52617277</v>
      </c>
      <c r="H903" s="15">
        <v>-0.02051108</v>
      </c>
      <c r="I903" s="15">
        <v>0.1225921</v>
      </c>
      <c r="J903" s="15">
        <v>0.01395616</v>
      </c>
      <c r="K903" s="15">
        <v>151.71</v>
      </c>
    </row>
    <row r="904" ht="22.5" customHeight="1">
      <c r="A904" s="167">
        <v>46070.9356712963</v>
      </c>
      <c r="B904" s="144" t="s">
        <v>582</v>
      </c>
      <c r="C904" s="15">
        <v>38.39</v>
      </c>
      <c r="D904" s="15">
        <v>0.48</v>
      </c>
      <c r="E904" s="146">
        <v>0.56</v>
      </c>
      <c r="F904" s="15">
        <v>0.56</v>
      </c>
      <c r="G904" s="15">
        <v>0.18091705</v>
      </c>
      <c r="H904" s="15">
        <v>-0.02152575</v>
      </c>
      <c r="I904" s="15">
        <v>0.04437885</v>
      </c>
      <c r="J904" s="15">
        <v>0.03245053</v>
      </c>
      <c r="K904" s="15">
        <v>45.83</v>
      </c>
    </row>
    <row r="905" ht="22.5" customHeight="1">
      <c r="A905" s="167">
        <v>46070.93568287037</v>
      </c>
      <c r="B905" s="144" t="s">
        <v>572</v>
      </c>
      <c r="C905" s="15">
        <v>12.3</v>
      </c>
      <c r="D905" s="15">
        <v>0.86</v>
      </c>
      <c r="E905" s="146">
        <v>0.58</v>
      </c>
      <c r="F905" s="15">
        <v>0.58</v>
      </c>
      <c r="G905" s="15">
        <v>-0.27978496</v>
      </c>
      <c r="H905" s="15">
        <v>-0.01640149</v>
      </c>
      <c r="I905" s="15">
        <v>0.10988737</v>
      </c>
      <c r="J905" s="15">
        <v>0.01177437</v>
      </c>
      <c r="K905" s="15">
        <v>54.03</v>
      </c>
    </row>
    <row r="906" ht="22.5" customHeight="1">
      <c r="A906" s="167">
        <v>46076.924525462964</v>
      </c>
      <c r="B906" s="144" t="s">
        <v>543</v>
      </c>
      <c r="C906" s="15">
        <v>683.96</v>
      </c>
      <c r="D906" s="15">
        <v>0.24</v>
      </c>
      <c r="E906" s="146">
        <v>4.87</v>
      </c>
      <c r="F906" s="15">
        <v>4.87</v>
      </c>
      <c r="G906" s="15">
        <v>-0.19011595</v>
      </c>
      <c r="H906" s="15">
        <v>-0.21850141</v>
      </c>
      <c r="I906" s="15">
        <v>0.00633698</v>
      </c>
      <c r="J906" s="15">
        <v>0.48515803</v>
      </c>
      <c r="K906" s="15">
        <v>2581.08</v>
      </c>
    </row>
    <row r="907" ht="22.5" customHeight="1">
      <c r="A907" s="167">
        <v>46076.92459490741</v>
      </c>
      <c r="B907" s="144" t="s">
        <v>544</v>
      </c>
      <c r="C907" s="15">
        <v>683.96</v>
      </c>
      <c r="D907" s="15">
        <v>0.2</v>
      </c>
      <c r="E907" s="146">
        <v>8.66</v>
      </c>
      <c r="F907" s="15">
        <v>8.66</v>
      </c>
      <c r="G907" s="15">
        <v>-0.32296924</v>
      </c>
      <c r="H907" s="15">
        <v>-0.23324023</v>
      </c>
      <c r="I907" s="15">
        <v>0.01001218</v>
      </c>
      <c r="J907" s="15">
        <v>0.64157169</v>
      </c>
      <c r="K907" s="15">
        <v>2581.28</v>
      </c>
    </row>
    <row r="908" ht="22.5" customHeight="1">
      <c r="A908" s="167">
        <v>46076.92461805556</v>
      </c>
      <c r="B908" s="144" t="s">
        <v>556</v>
      </c>
      <c r="C908" s="15">
        <v>260.49</v>
      </c>
      <c r="D908" s="15">
        <v>0.23</v>
      </c>
      <c r="E908" s="146">
        <v>2.88</v>
      </c>
      <c r="F908" s="15">
        <v>2.88</v>
      </c>
      <c r="G908" s="15">
        <v>0.29653141</v>
      </c>
      <c r="H908" s="15">
        <v>-0.11811801</v>
      </c>
      <c r="I908" s="15">
        <v>0.02273337</v>
      </c>
      <c r="J908" s="15">
        <v>0.22625452</v>
      </c>
      <c r="K908" s="15">
        <v>18.26</v>
      </c>
    </row>
    <row r="909" ht="22.5" customHeight="1">
      <c r="A909" s="167">
        <v>46076.924629629626</v>
      </c>
      <c r="B909" s="144" t="s">
        <v>557</v>
      </c>
      <c r="C909" s="15">
        <v>260.49</v>
      </c>
      <c r="D909" s="15">
        <v>0.32</v>
      </c>
      <c r="E909" s="146">
        <v>1.9</v>
      </c>
      <c r="F909" s="15">
        <v>1.9</v>
      </c>
      <c r="G909" s="15">
        <v>-0.15457128</v>
      </c>
      <c r="H909" s="15">
        <v>-0.10001915</v>
      </c>
      <c r="I909" s="15">
        <v>0.01092086</v>
      </c>
      <c r="J909" s="15">
        <v>0.16866557</v>
      </c>
      <c r="K909" s="15">
        <v>1733.41</v>
      </c>
    </row>
    <row r="910" ht="22.5" customHeight="1">
      <c r="A910" s="167">
        <v>46076.92466435185</v>
      </c>
      <c r="B910" s="144" t="s">
        <v>584</v>
      </c>
      <c r="C910" s="15">
        <v>113.73</v>
      </c>
      <c r="D910" s="15">
        <v>0.48</v>
      </c>
      <c r="E910" s="146">
        <v>3.8</v>
      </c>
      <c r="F910" s="15">
        <v>3.8</v>
      </c>
      <c r="G910" s="15">
        <v>-0.36473942</v>
      </c>
      <c r="H910" s="15">
        <v>-0.10314705</v>
      </c>
      <c r="I910" s="15">
        <v>0.02659964</v>
      </c>
      <c r="J910" s="15">
        <v>0.11086131</v>
      </c>
      <c r="K910" s="15">
        <v>291.6</v>
      </c>
    </row>
    <row r="911" ht="22.5" customHeight="1">
      <c r="A911" s="167">
        <v>46076.924675925926</v>
      </c>
      <c r="B911" s="144" t="s">
        <v>585</v>
      </c>
      <c r="C911" s="15">
        <v>113.73</v>
      </c>
      <c r="D911" s="15">
        <v>0.47</v>
      </c>
      <c r="E911" s="146">
        <v>7.0</v>
      </c>
      <c r="F911" s="15">
        <v>5.73</v>
      </c>
      <c r="G911" s="15">
        <v>-0.50575338</v>
      </c>
      <c r="H911" s="15">
        <v>-0.1055651</v>
      </c>
      <c r="I911" s="15">
        <v>0.02898955</v>
      </c>
      <c r="J911" s="15">
        <v>0.11871099</v>
      </c>
      <c r="K911" s="15">
        <v>990.12</v>
      </c>
    </row>
    <row r="912" ht="22.5" customHeight="1">
      <c r="A912" s="167">
        <v>46076.92469907407</v>
      </c>
      <c r="B912" s="144" t="s">
        <v>515</v>
      </c>
      <c r="C912" s="15">
        <v>16.14</v>
      </c>
      <c r="D912" s="15">
        <v>0.37</v>
      </c>
      <c r="E912" s="146">
        <v>0.31</v>
      </c>
      <c r="F912" s="15">
        <v>0.31</v>
      </c>
      <c r="G912" s="15">
        <v>0.32334332</v>
      </c>
      <c r="H912" s="15">
        <v>-0.0117205</v>
      </c>
      <c r="I912" s="15">
        <v>0.23225898</v>
      </c>
      <c r="J912" s="15">
        <v>0.0154692</v>
      </c>
      <c r="K912" s="15">
        <v>28.78</v>
      </c>
    </row>
    <row r="913" ht="22.5" customHeight="1">
      <c r="A913" s="167">
        <v>46076.92471064815</v>
      </c>
      <c r="B913" s="144" t="s">
        <v>517</v>
      </c>
      <c r="C913" s="15">
        <v>16.14</v>
      </c>
      <c r="D913" s="15">
        <v>0.53</v>
      </c>
      <c r="E913" s="146">
        <v>0.02</v>
      </c>
      <c r="F913" s="15">
        <v>0.02</v>
      </c>
      <c r="G913" s="15">
        <v>-0.01206633</v>
      </c>
      <c r="H913" s="15">
        <v>-0.00137642</v>
      </c>
      <c r="I913" s="15">
        <v>0.0141222</v>
      </c>
      <c r="J913" s="15">
        <v>0.00150898</v>
      </c>
      <c r="K913" s="15">
        <v>0.74</v>
      </c>
    </row>
    <row r="914" ht="22.5" customHeight="1">
      <c r="A914" s="167">
        <v>46076.92474537037</v>
      </c>
      <c r="B914" s="144" t="s">
        <v>536</v>
      </c>
      <c r="C914" s="15">
        <v>28.52</v>
      </c>
      <c r="D914" s="15">
        <v>0.26</v>
      </c>
      <c r="E914" s="146">
        <v>1.79</v>
      </c>
      <c r="F914" s="15">
        <v>0.27</v>
      </c>
      <c r="G914" s="15">
        <v>0.81050331</v>
      </c>
      <c r="H914" s="15">
        <v>-0.0130825</v>
      </c>
      <c r="I914" s="15">
        <v>0.13833759</v>
      </c>
      <c r="J914" s="15">
        <v>0.02167569</v>
      </c>
      <c r="K914" s="15">
        <v>119.14</v>
      </c>
    </row>
    <row r="915" ht="22.5" customHeight="1">
      <c r="A915" s="167">
        <v>46076.92475694444</v>
      </c>
      <c r="B915" s="144" t="s">
        <v>561</v>
      </c>
      <c r="C915" s="15">
        <v>28.52</v>
      </c>
      <c r="D915" s="15">
        <v>0.26</v>
      </c>
      <c r="E915" s="146">
        <v>0.22</v>
      </c>
      <c r="F915" s="15">
        <v>0.22</v>
      </c>
      <c r="G915" s="15">
        <v>-0.1842523</v>
      </c>
      <c r="H915" s="15">
        <v>-0.00970409</v>
      </c>
      <c r="I915" s="15">
        <v>0.1405519</v>
      </c>
      <c r="J915" s="15">
        <v>0.01922712</v>
      </c>
      <c r="K915" s="15">
        <v>15.16</v>
      </c>
    </row>
    <row r="916" ht="22.5" customHeight="1">
      <c r="A916" s="167">
        <v>46076.924780092595</v>
      </c>
      <c r="B916" s="144" t="s">
        <v>573</v>
      </c>
      <c r="C916" s="15">
        <v>370.04</v>
      </c>
      <c r="D916" s="15">
        <v>0.5</v>
      </c>
      <c r="E916" s="146">
        <v>4.7</v>
      </c>
      <c r="F916" s="15">
        <v>4.7</v>
      </c>
      <c r="G916" s="15">
        <v>-0.17191062</v>
      </c>
      <c r="H916" s="15">
        <v>-0.23815624</v>
      </c>
      <c r="I916" s="15">
        <v>0.00534032</v>
      </c>
      <c r="J916" s="15">
        <v>0.23831234</v>
      </c>
      <c r="K916" s="15">
        <v>2920.28</v>
      </c>
    </row>
    <row r="917" ht="22.5" customHeight="1">
      <c r="A917" s="167">
        <v>46076.92481481482</v>
      </c>
      <c r="B917" s="144" t="s">
        <v>578</v>
      </c>
      <c r="C917" s="15">
        <v>80.56</v>
      </c>
      <c r="D917" s="15">
        <v>0.19</v>
      </c>
      <c r="E917" s="146">
        <v>0.26</v>
      </c>
      <c r="F917" s="15">
        <v>0.26</v>
      </c>
      <c r="G917" s="15">
        <v>0.13504729</v>
      </c>
      <c r="H917" s="15">
        <v>-0.0191355</v>
      </c>
      <c r="I917" s="15">
        <v>0.05735694</v>
      </c>
      <c r="J917" s="15">
        <v>0.04825393</v>
      </c>
      <c r="K917" s="15">
        <v>20.08</v>
      </c>
    </row>
    <row r="918" ht="22.5" customHeight="1">
      <c r="A918" s="167">
        <v>46076.924837962964</v>
      </c>
      <c r="B918" s="144" t="s">
        <v>579</v>
      </c>
      <c r="C918" s="15">
        <v>76.02</v>
      </c>
      <c r="D918" s="15">
        <v>0.48</v>
      </c>
      <c r="E918" s="146">
        <v>0.46</v>
      </c>
      <c r="F918" s="15">
        <v>0.46</v>
      </c>
      <c r="G918" s="15">
        <v>-0.0926737</v>
      </c>
      <c r="H918" s="15">
        <v>-0.03141097</v>
      </c>
      <c r="I918" s="15">
        <v>0.01729383</v>
      </c>
      <c r="J918" s="15">
        <v>0.03066794</v>
      </c>
      <c r="K918" s="15">
        <v>35.57</v>
      </c>
    </row>
    <row r="919" ht="22.5" customHeight="1">
      <c r="A919" s="167">
        <v>46076.92487268519</v>
      </c>
      <c r="B919" s="144" t="s">
        <v>577</v>
      </c>
      <c r="C919" s="15">
        <v>70.72</v>
      </c>
      <c r="D919" s="15">
        <v>0.46</v>
      </c>
      <c r="E919" s="146">
        <v>0.29</v>
      </c>
      <c r="F919" s="15">
        <v>0.29</v>
      </c>
      <c r="G919" s="15">
        <v>-0.07443702</v>
      </c>
      <c r="H919" s="15">
        <v>-0.02365937</v>
      </c>
      <c r="I919" s="15">
        <v>0.01647965</v>
      </c>
      <c r="J919" s="15">
        <v>0.02825786</v>
      </c>
      <c r="K919" s="15">
        <v>18.38</v>
      </c>
    </row>
    <row r="920" ht="22.5" customHeight="1">
      <c r="A920" s="167">
        <v>46076.924895833334</v>
      </c>
      <c r="B920" s="144" t="s">
        <v>583</v>
      </c>
      <c r="C920" s="15">
        <v>132.03</v>
      </c>
      <c r="D920" s="15">
        <v>0.21</v>
      </c>
      <c r="E920" s="146">
        <v>0.56</v>
      </c>
      <c r="F920" s="15">
        <v>0.56</v>
      </c>
      <c r="G920" s="15">
        <v>0.16241712</v>
      </c>
      <c r="H920" s="15">
        <v>-0.03816626</v>
      </c>
      <c r="I920" s="15">
        <v>0.03385419</v>
      </c>
      <c r="J920" s="15">
        <v>0.08124952</v>
      </c>
      <c r="K920" s="15">
        <v>47.16</v>
      </c>
    </row>
    <row r="921" ht="22.5" customHeight="1">
      <c r="A921" s="167">
        <v>46076.92493055556</v>
      </c>
      <c r="B921" s="144" t="s">
        <v>511</v>
      </c>
      <c r="C921" s="15">
        <v>35.24</v>
      </c>
      <c r="D921" s="15">
        <v>0.44</v>
      </c>
      <c r="E921" s="146">
        <v>0.29</v>
      </c>
      <c r="F921" s="15">
        <v>0.29</v>
      </c>
      <c r="G921" s="15">
        <v>0.14143749</v>
      </c>
      <c r="H921" s="15">
        <v>-0.01847547</v>
      </c>
      <c r="I921" s="15">
        <v>0.05628254</v>
      </c>
      <c r="J921" s="15">
        <v>0.02187162</v>
      </c>
      <c r="K921" s="15">
        <v>20.36</v>
      </c>
    </row>
    <row r="922" ht="22.5" customHeight="1">
      <c r="A922" s="167">
        <v>46076.9249537037</v>
      </c>
      <c r="B922" s="144" t="s">
        <v>552</v>
      </c>
      <c r="C922" s="15">
        <v>66.68</v>
      </c>
      <c r="D922" s="15">
        <v>0.23</v>
      </c>
      <c r="E922" s="146">
        <v>2.45</v>
      </c>
      <c r="F922" s="15">
        <v>0.77</v>
      </c>
      <c r="G922" s="15">
        <v>0.6624067</v>
      </c>
      <c r="H922" s="15">
        <v>-0.03975002</v>
      </c>
      <c r="I922" s="15">
        <v>0.11208889</v>
      </c>
      <c r="J922" s="15">
        <v>0.06242313</v>
      </c>
      <c r="K922" s="15">
        <v>189.6</v>
      </c>
    </row>
    <row r="923" ht="22.5" customHeight="1">
      <c r="A923" s="167">
        <v>46076.924988425926</v>
      </c>
      <c r="B923" s="144" t="s">
        <v>574</v>
      </c>
      <c r="C923" s="15">
        <v>72.98</v>
      </c>
      <c r="D923" s="15">
        <v>0.27</v>
      </c>
      <c r="E923" s="146">
        <v>0.225</v>
      </c>
      <c r="F923" s="15">
        <v>0.225</v>
      </c>
      <c r="G923" s="15">
        <v>0.10122723</v>
      </c>
      <c r="H923" s="15">
        <v>-0.01836764</v>
      </c>
      <c r="I923" s="15">
        <v>0.03415484</v>
      </c>
      <c r="J923" s="15">
        <v>0.03792038</v>
      </c>
      <c r="K923" s="15">
        <v>17.01</v>
      </c>
    </row>
    <row r="924" ht="22.5" customHeight="1">
      <c r="A924" s="167">
        <v>46076.92501157407</v>
      </c>
      <c r="B924" s="144" t="s">
        <v>523</v>
      </c>
      <c r="C924" s="15">
        <v>6113.92</v>
      </c>
      <c r="D924" s="15">
        <v>0.14</v>
      </c>
      <c r="E924" s="146">
        <v>28.8</v>
      </c>
      <c r="F924" s="15">
        <v>28.8</v>
      </c>
      <c r="G924" s="15">
        <v>0.21741413</v>
      </c>
      <c r="H924" s="15">
        <v>-1.41403752</v>
      </c>
      <c r="I924" s="15">
        <v>0.00128985</v>
      </c>
      <c r="J924" s="15">
        <v>4.66176165</v>
      </c>
      <c r="K924" s="15">
        <v>9.39</v>
      </c>
    </row>
    <row r="925" ht="22.5" customHeight="1">
      <c r="A925" s="167">
        <v>46076.92503472222</v>
      </c>
      <c r="B925" s="144" t="s">
        <v>587</v>
      </c>
      <c r="C925" s="15">
        <v>71.78</v>
      </c>
      <c r="D925" s="15">
        <v>0.89</v>
      </c>
      <c r="E925" s="146">
        <v>0.36</v>
      </c>
      <c r="F925" s="15">
        <v>0.36</v>
      </c>
      <c r="G925" s="15">
        <v>-0.04530291</v>
      </c>
      <c r="H925" s="15">
        <v>-0.03148677</v>
      </c>
      <c r="I925" s="15">
        <v>0.00573917</v>
      </c>
      <c r="J925" s="15">
        <v>0.01973452</v>
      </c>
      <c r="K925" s="15">
        <v>27.71</v>
      </c>
    </row>
    <row r="926" ht="22.5" customHeight="1">
      <c r="A926" s="167">
        <v>46076.92506944444</v>
      </c>
      <c r="B926" s="144" t="s">
        <v>576</v>
      </c>
      <c r="C926" s="15">
        <v>49.68</v>
      </c>
      <c r="D926" s="15">
        <v>0.22</v>
      </c>
      <c r="E926" s="146">
        <v>0.28</v>
      </c>
      <c r="F926" s="15">
        <v>0.28</v>
      </c>
      <c r="G926" s="15">
        <v>0.19018944</v>
      </c>
      <c r="H926" s="15">
        <v>-0.01661361</v>
      </c>
      <c r="I926" s="15">
        <v>0.09508662</v>
      </c>
      <c r="J926" s="15">
        <v>0.03705077</v>
      </c>
      <c r="K926" s="15">
        <v>17.94</v>
      </c>
    </row>
    <row r="927" ht="22.5" customHeight="1">
      <c r="A927" s="167">
        <v>46076.925092592595</v>
      </c>
      <c r="B927" s="144" t="s">
        <v>589</v>
      </c>
      <c r="C927" s="15">
        <v>481.28</v>
      </c>
      <c r="D927" s="15">
        <v>0.36</v>
      </c>
      <c r="E927" s="146">
        <v>3.95</v>
      </c>
      <c r="F927" s="15">
        <v>3.95</v>
      </c>
      <c r="G927" s="15">
        <v>-0.15653085</v>
      </c>
      <c r="H927" s="15">
        <v>-0.21289112</v>
      </c>
      <c r="I927" s="15">
        <v>0.00525417</v>
      </c>
      <c r="J927" s="15">
        <v>0.31197191</v>
      </c>
      <c r="K927" s="15">
        <v>553.61</v>
      </c>
    </row>
    <row r="928" ht="22.5" customHeight="1">
      <c r="A928" s="167">
        <v>46076.925104166665</v>
      </c>
      <c r="B928" s="144" t="s">
        <v>524</v>
      </c>
      <c r="C928" s="15">
        <v>6113.92</v>
      </c>
      <c r="D928" s="15">
        <v>0.14</v>
      </c>
      <c r="E928" s="146">
        <v>35.3</v>
      </c>
      <c r="F928" s="15">
        <v>35.3</v>
      </c>
      <c r="G928" s="15">
        <v>0.25114209</v>
      </c>
      <c r="H928" s="15">
        <v>-1.54255616</v>
      </c>
      <c r="I928" s="15">
        <v>0.00139022</v>
      </c>
      <c r="J928" s="15">
        <v>5.04941334</v>
      </c>
      <c r="K928" s="15">
        <v>12.05</v>
      </c>
    </row>
    <row r="929" ht="22.5" customHeight="1">
      <c r="A929" s="167">
        <v>46076.92511574074</v>
      </c>
      <c r="B929" s="144" t="s">
        <v>525</v>
      </c>
      <c r="C929" s="15">
        <v>6113.92</v>
      </c>
      <c r="D929" s="15">
        <v>0.25</v>
      </c>
      <c r="E929" s="146">
        <v>16.2</v>
      </c>
      <c r="F929" s="15">
        <v>16.2</v>
      </c>
      <c r="G929" s="15">
        <v>-0.09213748</v>
      </c>
      <c r="H929" s="15">
        <v>-1.3013298</v>
      </c>
      <c r="I929" s="15">
        <v>4.1973E-4</v>
      </c>
      <c r="J929" s="15">
        <v>2.61933935</v>
      </c>
      <c r="K929" s="15">
        <v>3648.24</v>
      </c>
    </row>
    <row r="930" ht="22.5" customHeight="1">
      <c r="A930" s="167">
        <v>46076.925150462965</v>
      </c>
      <c r="B930" s="144" t="s">
        <v>532</v>
      </c>
      <c r="C930" s="15">
        <v>89.38</v>
      </c>
      <c r="D930" s="15">
        <v>0.4</v>
      </c>
      <c r="E930" s="146">
        <v>0.7</v>
      </c>
      <c r="F930" s="15">
        <v>0.7</v>
      </c>
      <c r="G930" s="15">
        <v>-0.12985465</v>
      </c>
      <c r="H930" s="15">
        <v>-0.03895158</v>
      </c>
      <c r="I930" s="15">
        <v>0.0224609</v>
      </c>
      <c r="J930" s="15">
        <v>0.04695671</v>
      </c>
      <c r="K930" s="15">
        <v>487.43</v>
      </c>
    </row>
    <row r="931" ht="22.5" customHeight="1">
      <c r="A931" s="167">
        <v>46076.925162037034</v>
      </c>
      <c r="B931" s="144" t="s">
        <v>562</v>
      </c>
      <c r="C931" s="15">
        <v>89.38</v>
      </c>
      <c r="D931" s="15">
        <v>0.36</v>
      </c>
      <c r="E931" s="146">
        <v>1.55</v>
      </c>
      <c r="F931" s="15">
        <v>1.55</v>
      </c>
      <c r="G931" s="15">
        <v>-0.27388512</v>
      </c>
      <c r="H931" s="15">
        <v>-0.05441154</v>
      </c>
      <c r="I931" s="15">
        <v>0.0393722</v>
      </c>
      <c r="J931" s="15">
        <v>0.07912267</v>
      </c>
      <c r="K931" s="15">
        <v>295.42</v>
      </c>
    </row>
    <row r="932" ht="22.5" customHeight="1">
      <c r="A932" s="167">
        <v>46076.92518518519</v>
      </c>
      <c r="B932" s="144" t="s">
        <v>588</v>
      </c>
      <c r="C932" s="15">
        <v>16.72</v>
      </c>
      <c r="D932" s="15">
        <v>0.38</v>
      </c>
      <c r="E932" s="146">
        <v>0.36</v>
      </c>
      <c r="F932" s="15">
        <v>0.36</v>
      </c>
      <c r="G932" s="15">
        <v>0.35173208</v>
      </c>
      <c r="H932" s="15">
        <v>-0.01288306</v>
      </c>
      <c r="I932" s="15">
        <v>0.22605768</v>
      </c>
      <c r="J932" s="15">
        <v>0.01593505</v>
      </c>
      <c r="K932" s="15">
        <v>34.36</v>
      </c>
    </row>
    <row r="933" ht="22.5" customHeight="1">
      <c r="A933" s="167">
        <v>46076.92521990741</v>
      </c>
      <c r="B933" s="144" t="s">
        <v>553</v>
      </c>
      <c r="C933" s="15">
        <v>48.24</v>
      </c>
      <c r="D933" s="15">
        <v>0.86</v>
      </c>
      <c r="E933" s="146">
        <v>1.68</v>
      </c>
      <c r="F933" s="15">
        <v>1.68</v>
      </c>
      <c r="G933" s="15">
        <v>-0.22949265</v>
      </c>
      <c r="H933" s="15">
        <v>-0.06534189</v>
      </c>
      <c r="I933" s="15">
        <v>0.02803924</v>
      </c>
      <c r="J933" s="15">
        <v>0.03635803</v>
      </c>
      <c r="K933" s="15">
        <v>604.35</v>
      </c>
    </row>
    <row r="934" ht="22.5" customHeight="1">
      <c r="A934" s="167">
        <v>46076.92523148148</v>
      </c>
      <c r="B934" s="144" t="s">
        <v>554</v>
      </c>
      <c r="C934" s="15">
        <v>48.24</v>
      </c>
      <c r="D934" s="15">
        <v>0.5</v>
      </c>
      <c r="E934" s="146">
        <v>0.29</v>
      </c>
      <c r="F934" s="15">
        <v>0.29</v>
      </c>
      <c r="G934" s="15">
        <v>0.10296272</v>
      </c>
      <c r="H934" s="15">
        <v>-0.02307365</v>
      </c>
      <c r="I934" s="15">
        <v>0.02862821</v>
      </c>
      <c r="J934" s="15">
        <v>0.02417089</v>
      </c>
      <c r="K934" s="15">
        <v>1.35</v>
      </c>
    </row>
    <row r="935" ht="22.5" customHeight="1">
      <c r="A935" s="167">
        <v>46076.92524305556</v>
      </c>
      <c r="B935" s="144" t="s">
        <v>555</v>
      </c>
      <c r="C935" s="15">
        <v>48.24</v>
      </c>
      <c r="D935" s="15">
        <v>0.5</v>
      </c>
      <c r="E935" s="146">
        <v>0.12</v>
      </c>
      <c r="F935" s="15">
        <v>0.12</v>
      </c>
      <c r="G935" s="15">
        <v>0.05533131</v>
      </c>
      <c r="H935" s="15">
        <v>-0.01430999</v>
      </c>
      <c r="I935" s="15">
        <v>0.01784952</v>
      </c>
      <c r="J935" s="15">
        <v>0.0135794</v>
      </c>
      <c r="K935" s="15">
        <v>0.57</v>
      </c>
    </row>
    <row r="936" ht="22.5" customHeight="1">
      <c r="A936" s="167">
        <v>46076.9252662037</v>
      </c>
      <c r="B936" s="144" t="s">
        <v>586</v>
      </c>
      <c r="C936" s="15">
        <v>46.2</v>
      </c>
      <c r="D936" s="15">
        <v>0.21</v>
      </c>
      <c r="E936" s="146">
        <v>0.3</v>
      </c>
      <c r="F936" s="15">
        <v>0.3</v>
      </c>
      <c r="G936" s="15">
        <v>0.20466621</v>
      </c>
      <c r="H936" s="15">
        <v>-0.01095248</v>
      </c>
      <c r="I936" s="15">
        <v>0.07536584</v>
      </c>
      <c r="J936" s="15">
        <v>0.05331037</v>
      </c>
      <c r="K936" s="15">
        <v>29.64</v>
      </c>
    </row>
    <row r="937" ht="22.5" customHeight="1">
      <c r="A937" s="167">
        <v>46076.92528935185</v>
      </c>
      <c r="B937" s="144" t="s">
        <v>512</v>
      </c>
      <c r="C937" s="15">
        <v>43.63</v>
      </c>
      <c r="D937" s="15">
        <v>0.66</v>
      </c>
      <c r="E937" s="146">
        <v>0.49</v>
      </c>
      <c r="F937" s="15">
        <v>0.49</v>
      </c>
      <c r="G937" s="15">
        <v>-0.11165589</v>
      </c>
      <c r="H937" s="15">
        <v>-0.02819053</v>
      </c>
      <c r="I937" s="15">
        <v>0.02529673</v>
      </c>
      <c r="J937" s="15">
        <v>0.02211673</v>
      </c>
      <c r="K937" s="15">
        <v>33.9</v>
      </c>
    </row>
    <row r="938" ht="22.5" customHeight="1">
      <c r="A938" s="167">
        <v>46076.92530092593</v>
      </c>
      <c r="B938" s="144" t="s">
        <v>542</v>
      </c>
      <c r="C938" s="15">
        <v>683.96</v>
      </c>
      <c r="D938" s="15">
        <v>0.19</v>
      </c>
      <c r="E938" s="146">
        <v>9.77</v>
      </c>
      <c r="F938" s="15">
        <v>9.77</v>
      </c>
      <c r="G938" s="15">
        <v>-0.37160079</v>
      </c>
      <c r="H938" s="15">
        <v>-0.23288608</v>
      </c>
      <c r="I938" s="15">
        <v>0.01096308</v>
      </c>
      <c r="J938" s="15">
        <v>0.67569401</v>
      </c>
      <c r="K938" s="15">
        <v>5083.51</v>
      </c>
    </row>
    <row r="939" ht="22.5" customHeight="1">
      <c r="A939" s="167">
        <v>46076.92533564815</v>
      </c>
      <c r="B939" s="144" t="s">
        <v>569</v>
      </c>
      <c r="C939" s="15">
        <v>63.67</v>
      </c>
      <c r="D939" s="15">
        <v>0.37</v>
      </c>
      <c r="E939" s="146">
        <v>0.56</v>
      </c>
      <c r="F939" s="15">
        <v>0.56</v>
      </c>
      <c r="G939" s="15">
        <v>0.18653239</v>
      </c>
      <c r="H939" s="15">
        <v>-0.0348579</v>
      </c>
      <c r="I939" s="15">
        <v>0.04318299</v>
      </c>
      <c r="J939" s="15">
        <v>0.04762213</v>
      </c>
      <c r="K939" s="15">
        <v>46.23</v>
      </c>
    </row>
    <row r="940" ht="22.5" customHeight="1">
      <c r="A940" s="167">
        <v>46076.925358796296</v>
      </c>
      <c r="B940" s="144" t="s">
        <v>575</v>
      </c>
      <c r="C940" s="15">
        <v>280.42</v>
      </c>
      <c r="D940" s="15">
        <v>0.99</v>
      </c>
      <c r="E940" s="146">
        <v>1.75</v>
      </c>
      <c r="F940" s="15">
        <v>1.75</v>
      </c>
      <c r="G940" s="15">
        <v>-0.04976591</v>
      </c>
      <c r="H940" s="15">
        <v>-0.14779539</v>
      </c>
      <c r="I940" s="15">
        <v>0.00141877</v>
      </c>
      <c r="J940" s="15">
        <v>0.07609086</v>
      </c>
      <c r="K940" s="15">
        <v>1901.61</v>
      </c>
    </row>
    <row r="941" ht="22.5" customHeight="1">
      <c r="A941" s="167">
        <v>46076.92539351852</v>
      </c>
      <c r="B941" s="144" t="s">
        <v>521</v>
      </c>
      <c r="C941" s="15">
        <v>10.31</v>
      </c>
      <c r="D941" s="15">
        <v>1.87</v>
      </c>
      <c r="E941" s="146">
        <v>0.08</v>
      </c>
      <c r="F941" s="15">
        <v>0.08</v>
      </c>
      <c r="G941" s="15">
        <v>0.05759974</v>
      </c>
      <c r="H941" s="15">
        <v>-0.01173407</v>
      </c>
      <c r="I941" s="15">
        <v>0.02294964</v>
      </c>
      <c r="J941" s="15">
        <v>0.00267161</v>
      </c>
      <c r="K941" s="15">
        <v>6.82</v>
      </c>
    </row>
    <row r="942" ht="22.5" customHeight="1">
      <c r="A942" s="167">
        <v>46076.925416666665</v>
      </c>
      <c r="B942" s="144" t="s">
        <v>565</v>
      </c>
      <c r="C942" s="15">
        <v>243.06</v>
      </c>
      <c r="D942" s="15">
        <v>0.24</v>
      </c>
      <c r="E942" s="146">
        <v>1.16</v>
      </c>
      <c r="F942" s="15">
        <v>1.16</v>
      </c>
      <c r="G942" s="15">
        <v>0.13696328</v>
      </c>
      <c r="H942" s="15">
        <v>-0.06945183</v>
      </c>
      <c r="I942" s="15">
        <v>0.01469438</v>
      </c>
      <c r="J942" s="15">
        <v>0.1497591</v>
      </c>
      <c r="K942" s="15">
        <v>1487.77</v>
      </c>
    </row>
    <row r="943" ht="22.5" customHeight="1">
      <c r="A943" s="167">
        <v>46076.92542824074</v>
      </c>
      <c r="B943" s="144" t="s">
        <v>566</v>
      </c>
      <c r="C943" s="15">
        <v>243.06</v>
      </c>
      <c r="D943" s="15">
        <v>0.26</v>
      </c>
      <c r="E943" s="146">
        <v>0.45</v>
      </c>
      <c r="F943" s="15">
        <v>0.45</v>
      </c>
      <c r="G943" s="15">
        <v>0.06547007</v>
      </c>
      <c r="H943" s="15">
        <v>-0.04072811</v>
      </c>
      <c r="I943" s="15">
        <v>0.00779335</v>
      </c>
      <c r="J943" s="15">
        <v>0.09766001</v>
      </c>
      <c r="K943" s="15">
        <v>28.55</v>
      </c>
    </row>
    <row r="944" ht="22.5" customHeight="1">
      <c r="A944" s="167">
        <v>46076.92543981481</v>
      </c>
      <c r="B944" s="144" t="s">
        <v>590</v>
      </c>
      <c r="C944" s="15">
        <v>481.28</v>
      </c>
      <c r="D944" s="15">
        <v>0.43</v>
      </c>
      <c r="E944" s="146">
        <v>1.85</v>
      </c>
      <c r="F944" s="15">
        <v>1.85</v>
      </c>
      <c r="G944" s="15">
        <v>0.07793549</v>
      </c>
      <c r="H944" s="15">
        <v>-0.16312798</v>
      </c>
      <c r="I944" s="15">
        <v>0.00267525</v>
      </c>
      <c r="J944" s="15">
        <v>0.18268385</v>
      </c>
      <c r="K944" s="15">
        <v>83.79</v>
      </c>
    </row>
    <row r="945" ht="22.5" customHeight="1">
      <c r="A945" s="167">
        <v>46076.925474537034</v>
      </c>
      <c r="B945" s="144" t="s">
        <v>519</v>
      </c>
      <c r="C945" s="15">
        <v>80.57</v>
      </c>
      <c r="D945" s="15">
        <v>0.94</v>
      </c>
      <c r="E945" s="146">
        <v>5.95</v>
      </c>
      <c r="F945" s="15">
        <v>5.95</v>
      </c>
      <c r="G945" s="15">
        <v>-0.37977224</v>
      </c>
      <c r="H945" s="15">
        <v>-0.14742844</v>
      </c>
      <c r="I945" s="15">
        <v>0.01948404</v>
      </c>
      <c r="J945" s="15">
        <v>0.08097093</v>
      </c>
      <c r="K945" s="15">
        <v>1176.3</v>
      </c>
    </row>
    <row r="946" ht="22.5" customHeight="1">
      <c r="A946" s="167">
        <v>46076.92548611111</v>
      </c>
      <c r="B946" s="144" t="s">
        <v>558</v>
      </c>
      <c r="C946" s="15">
        <v>260.49</v>
      </c>
      <c r="D946" s="15">
        <v>0.23</v>
      </c>
      <c r="E946" s="146">
        <v>1.8</v>
      </c>
      <c r="F946" s="15">
        <v>1.8</v>
      </c>
      <c r="G946" s="15">
        <v>0.23229476</v>
      </c>
      <c r="H946" s="15">
        <v>-0.10222502</v>
      </c>
      <c r="I946" s="15">
        <v>0.02029813</v>
      </c>
      <c r="J946" s="15">
        <v>0.19757726</v>
      </c>
      <c r="K946" s="15">
        <v>12.04</v>
      </c>
    </row>
    <row r="947" ht="22.5" customHeight="1">
      <c r="A947" s="167">
        <v>46076.926087962966</v>
      </c>
      <c r="B947" s="144" t="s">
        <v>567</v>
      </c>
      <c r="C947" s="15">
        <v>62.49</v>
      </c>
      <c r="D947" s="15">
        <v>0.33</v>
      </c>
      <c r="E947" s="146">
        <v>0.0</v>
      </c>
      <c r="F947" s="15">
        <v>0.0</v>
      </c>
      <c r="G947" s="15">
        <v>0.03201202</v>
      </c>
      <c r="H947" s="15">
        <v>-0.00657801</v>
      </c>
      <c r="I947" s="15">
        <v>0.01530809</v>
      </c>
      <c r="J947" s="15">
        <v>0.01357802</v>
      </c>
      <c r="K947" s="15">
        <v>0.55</v>
      </c>
    </row>
    <row r="948" ht="22.5" customHeight="1">
      <c r="A948" s="167">
        <v>46076.92612268519</v>
      </c>
      <c r="B948" s="144" t="s">
        <v>518</v>
      </c>
      <c r="C948" s="15">
        <v>11.08</v>
      </c>
      <c r="D948" s="15">
        <v>0.31</v>
      </c>
      <c r="E948" s="146">
        <v>0.1</v>
      </c>
      <c r="F948" s="15">
        <v>0.1</v>
      </c>
      <c r="G948" s="15">
        <v>0.18545484</v>
      </c>
      <c r="H948" s="15">
        <v>-0.00510459</v>
      </c>
      <c r="I948" s="15">
        <v>0.29488711</v>
      </c>
      <c r="J948" s="15">
        <v>0.00826772</v>
      </c>
      <c r="K948" s="15">
        <v>5.59</v>
      </c>
    </row>
    <row r="949" ht="22.5" customHeight="1">
      <c r="A949" s="167">
        <v>46076.926724537036</v>
      </c>
      <c r="B949" s="144" t="s">
        <v>570</v>
      </c>
      <c r="C949" s="15">
        <v>50.08</v>
      </c>
      <c r="D949" s="15">
        <v>0.35</v>
      </c>
      <c r="E949" s="146">
        <v>0.0</v>
      </c>
      <c r="F949" s="15">
        <v>0.0</v>
      </c>
      <c r="G949" s="15">
        <v>0.04695394</v>
      </c>
      <c r="H949" s="15">
        <v>-0.0101737</v>
      </c>
      <c r="I949" s="15">
        <v>0.01913868</v>
      </c>
      <c r="J949" s="15">
        <v>0.01489739</v>
      </c>
      <c r="K949" s="15">
        <v>3.62</v>
      </c>
    </row>
    <row r="950" ht="22.5" customHeight="1">
      <c r="A950" s="167">
        <v>46076.92675925926</v>
      </c>
      <c r="B950" s="144" t="s">
        <v>550</v>
      </c>
      <c r="C950" s="15">
        <v>9.19</v>
      </c>
      <c r="D950" s="15">
        <v>0.48</v>
      </c>
      <c r="E950" s="146">
        <v>0.16</v>
      </c>
      <c r="F950" s="15">
        <v>0.16</v>
      </c>
      <c r="G950" s="15">
        <v>0.28281675</v>
      </c>
      <c r="H950" s="15">
        <v>-0.0081781</v>
      </c>
      <c r="I950" s="15">
        <v>0.29137979</v>
      </c>
      <c r="J950" s="15">
        <v>0.00792824</v>
      </c>
      <c r="K950" s="15">
        <v>7.84</v>
      </c>
    </row>
    <row r="951" ht="22.5" customHeight="1">
      <c r="A951" s="167">
        <v>46076.926782407405</v>
      </c>
      <c r="B951" s="144" t="s">
        <v>568</v>
      </c>
      <c r="C951" s="15">
        <v>41.53</v>
      </c>
      <c r="D951" s="15">
        <v>0.35</v>
      </c>
      <c r="E951" s="146">
        <v>0.73</v>
      </c>
      <c r="F951" s="15">
        <v>0.73</v>
      </c>
      <c r="G951" s="15">
        <v>-0.31550804</v>
      </c>
      <c r="H951" s="15">
        <v>-0.02601102</v>
      </c>
      <c r="I951" s="15">
        <v>0.09428267</v>
      </c>
      <c r="J951" s="15">
        <v>0.03817231</v>
      </c>
      <c r="K951" s="15">
        <v>61.31</v>
      </c>
    </row>
    <row r="952" ht="22.5" customHeight="1">
      <c r="A952" s="167">
        <v>46076.92681712963</v>
      </c>
      <c r="B952" s="144" t="s">
        <v>571</v>
      </c>
      <c r="C952" s="15">
        <v>10.64</v>
      </c>
      <c r="D952" s="15">
        <v>0.87</v>
      </c>
      <c r="E952" s="146">
        <v>2.5</v>
      </c>
      <c r="F952" s="15">
        <v>0.14</v>
      </c>
      <c r="G952" s="15">
        <v>-0.78004047</v>
      </c>
      <c r="H952" s="15">
        <v>-0.01344502</v>
      </c>
      <c r="I952" s="15">
        <v>0.12566839</v>
      </c>
      <c r="J952" s="15">
        <v>0.00814635</v>
      </c>
      <c r="K952" s="15">
        <v>116.17</v>
      </c>
    </row>
    <row r="953" ht="22.5" customHeight="1">
      <c r="A953" s="167">
        <v>46076.926828703705</v>
      </c>
      <c r="B953" s="144" t="s">
        <v>572</v>
      </c>
      <c r="C953" s="15">
        <v>10.64</v>
      </c>
      <c r="D953" s="15">
        <v>0.8</v>
      </c>
      <c r="E953" s="146">
        <v>1.1</v>
      </c>
      <c r="F953" s="15">
        <v>0.74</v>
      </c>
      <c r="G953" s="15">
        <v>-0.51959359</v>
      </c>
      <c r="H953" s="15">
        <v>-0.01714747</v>
      </c>
      <c r="I953" s="15">
        <v>0.18164631</v>
      </c>
      <c r="J953" s="15">
        <v>0.01118929</v>
      </c>
      <c r="K953" s="15">
        <v>92.58</v>
      </c>
    </row>
    <row r="954" ht="22.5" customHeight="1">
      <c r="A954" s="167">
        <v>46077.99568287037</v>
      </c>
      <c r="B954" s="144" t="s">
        <v>543</v>
      </c>
      <c r="C954" s="15">
        <v>689.1</v>
      </c>
      <c r="D954" s="15">
        <v>0.23</v>
      </c>
      <c r="E954" s="146">
        <v>3.26</v>
      </c>
      <c r="F954" s="15">
        <v>3.26</v>
      </c>
      <c r="G954" s="15">
        <v>-0.14633739</v>
      </c>
      <c r="H954" s="15">
        <v>-0.29207956</v>
      </c>
      <c r="I954" s="15">
        <v>0.00563125</v>
      </c>
      <c r="J954" s="15">
        <v>0.41358655</v>
      </c>
      <c r="K954" s="15">
        <v>4746.36</v>
      </c>
    </row>
    <row r="955" ht="22.5" customHeight="1">
      <c r="A955" s="167">
        <v>46077.99569444444</v>
      </c>
      <c r="B955" s="144" t="s">
        <v>544</v>
      </c>
      <c r="C955" s="15">
        <v>689.1</v>
      </c>
      <c r="D955" s="15">
        <v>0.2</v>
      </c>
      <c r="E955" s="146">
        <v>6.0</v>
      </c>
      <c r="F955" s="15">
        <v>6.0</v>
      </c>
      <c r="G955" s="15">
        <v>-0.33558045</v>
      </c>
      <c r="H955" s="15">
        <v>-0.57217226</v>
      </c>
      <c r="I955" s="15">
        <v>0.00982618</v>
      </c>
      <c r="J955" s="15">
        <v>0.6532742</v>
      </c>
      <c r="K955" s="15">
        <v>4898.2</v>
      </c>
    </row>
    <row r="956" ht="22.5" customHeight="1">
      <c r="A956" s="167">
        <v>46077.995787037034</v>
      </c>
      <c r="B956" s="144" t="s">
        <v>556</v>
      </c>
      <c r="C956" s="15">
        <v>263.33</v>
      </c>
      <c r="D956" s="15">
        <v>0.22</v>
      </c>
      <c r="E956" s="146">
        <v>3.3</v>
      </c>
      <c r="F956" s="15">
        <v>3.3</v>
      </c>
      <c r="G956" s="15">
        <v>0.34713599</v>
      </c>
      <c r="H956" s="15">
        <v>-0.12694265</v>
      </c>
      <c r="I956" s="15">
        <v>0.02543718</v>
      </c>
      <c r="J956" s="15">
        <v>0.24645464</v>
      </c>
      <c r="K956" s="15">
        <v>25.1</v>
      </c>
    </row>
    <row r="957" ht="22.5" customHeight="1">
      <c r="A957" s="167">
        <v>46077.99579861111</v>
      </c>
      <c r="B957" s="144" t="s">
        <v>557</v>
      </c>
      <c r="C957" s="15">
        <v>263.33</v>
      </c>
      <c r="D957" s="15">
        <v>0.31</v>
      </c>
      <c r="E957" s="146">
        <v>1.21</v>
      </c>
      <c r="F957" s="15">
        <v>1.21</v>
      </c>
      <c r="G957" s="15">
        <v>-0.11406819</v>
      </c>
      <c r="H957" s="15">
        <v>-0.08576543</v>
      </c>
      <c r="I957" s="15">
        <v>0.00921264</v>
      </c>
      <c r="J957" s="15">
        <v>0.1352594</v>
      </c>
      <c r="K957" s="15">
        <v>1730.52</v>
      </c>
    </row>
    <row r="958" ht="22.5" customHeight="1">
      <c r="A958" s="167">
        <v>46077.99587962963</v>
      </c>
      <c r="B958" s="144" t="s">
        <v>584</v>
      </c>
      <c r="C958" s="15">
        <v>114.13</v>
      </c>
      <c r="D958" s="15">
        <v>0.47</v>
      </c>
      <c r="E958" s="146">
        <v>3.8</v>
      </c>
      <c r="F958" s="15">
        <v>3.8</v>
      </c>
      <c r="G958" s="15">
        <v>-0.3510279</v>
      </c>
      <c r="H958" s="15">
        <v>-0.10295059</v>
      </c>
      <c r="I958" s="15">
        <v>0.02709943</v>
      </c>
      <c r="J958" s="15">
        <v>0.10857049</v>
      </c>
      <c r="K958" s="15">
        <v>301.57</v>
      </c>
    </row>
    <row r="959" ht="22.5" customHeight="1">
      <c r="A959" s="167">
        <v>46077.99590277778</v>
      </c>
      <c r="B959" s="144" t="s">
        <v>585</v>
      </c>
      <c r="C959" s="15">
        <v>114.13</v>
      </c>
      <c r="D959" s="15">
        <v>0.46</v>
      </c>
      <c r="E959" s="146">
        <v>5.9</v>
      </c>
      <c r="F959" s="15">
        <v>5.03</v>
      </c>
      <c r="G959" s="15">
        <v>-0.49592957</v>
      </c>
      <c r="H959" s="15">
        <v>-0.10662251</v>
      </c>
      <c r="I959" s="15">
        <v>0.03020136</v>
      </c>
      <c r="J959" s="15">
        <v>0.11652669</v>
      </c>
      <c r="K959" s="15">
        <v>1005.82</v>
      </c>
    </row>
    <row r="960" ht="22.5" customHeight="1">
      <c r="A960" s="167">
        <v>46077.99592592593</v>
      </c>
      <c r="B960" s="144" t="s">
        <v>515</v>
      </c>
      <c r="C960" s="15">
        <v>16.54</v>
      </c>
      <c r="D960" s="15">
        <v>0.38</v>
      </c>
      <c r="E960" s="146">
        <v>0.45</v>
      </c>
      <c r="F960" s="15">
        <v>0.45</v>
      </c>
      <c r="G960" s="15">
        <v>0.41854104</v>
      </c>
      <c r="H960" s="15">
        <v>-0.01395713</v>
      </c>
      <c r="I960" s="15">
        <v>0.24244684</v>
      </c>
      <c r="J960" s="15">
        <v>0.01649733</v>
      </c>
      <c r="K960" s="15">
        <v>41.61</v>
      </c>
    </row>
    <row r="961" ht="22.5" customHeight="1">
      <c r="A961" s="167">
        <v>46077.9959375</v>
      </c>
      <c r="B961" s="144" t="s">
        <v>517</v>
      </c>
      <c r="C961" s="15">
        <v>16.54</v>
      </c>
      <c r="D961" s="15">
        <v>0.61</v>
      </c>
      <c r="E961" s="146">
        <v>0.02</v>
      </c>
      <c r="F961" s="15">
        <v>0.02</v>
      </c>
      <c r="G961" s="15">
        <v>-0.01579534</v>
      </c>
      <c r="H961" s="15">
        <v>-0.00191878</v>
      </c>
      <c r="I961" s="15">
        <v>0.01528997</v>
      </c>
      <c r="J961" s="15">
        <v>0.00150972</v>
      </c>
      <c r="K961" s="15">
        <v>1.5</v>
      </c>
    </row>
    <row r="962" ht="22.5" customHeight="1">
      <c r="A962" s="167">
        <v>46077.996030092596</v>
      </c>
      <c r="B962" s="144" t="s">
        <v>536</v>
      </c>
      <c r="C962" s="15">
        <v>28.35</v>
      </c>
      <c r="D962" s="15">
        <v>0.23</v>
      </c>
      <c r="E962" s="146">
        <v>1.59</v>
      </c>
      <c r="F962" s="15">
        <v>0.24</v>
      </c>
      <c r="G962" s="15">
        <v>0.82060758</v>
      </c>
      <c r="H962" s="15">
        <v>-0.01147401</v>
      </c>
      <c r="I962" s="15">
        <v>0.15847821</v>
      </c>
      <c r="J962" s="15">
        <v>0.01816127</v>
      </c>
      <c r="K962" s="15">
        <v>127.04</v>
      </c>
    </row>
    <row r="963" ht="22.5" customHeight="1">
      <c r="A963" s="167">
        <v>46077.996041666665</v>
      </c>
      <c r="B963" s="144" t="s">
        <v>561</v>
      </c>
      <c r="C963" s="15">
        <v>28.35</v>
      </c>
      <c r="D963" s="15">
        <v>0.26</v>
      </c>
      <c r="E963" s="146">
        <v>0.22</v>
      </c>
      <c r="F963" s="15">
        <v>0.22</v>
      </c>
      <c r="G963" s="15">
        <v>-0.20841533</v>
      </c>
      <c r="H963" s="15">
        <v>-0.01111141</v>
      </c>
      <c r="I963" s="15">
        <v>0.15436776</v>
      </c>
      <c r="J963" s="15">
        <v>0.02155506</v>
      </c>
      <c r="K963" s="15">
        <v>7.95</v>
      </c>
    </row>
    <row r="964" ht="22.5" customHeight="1">
      <c r="A964" s="167">
        <v>46077.99606481481</v>
      </c>
      <c r="B964" s="144" t="s">
        <v>573</v>
      </c>
      <c r="C964" s="15">
        <v>385.75</v>
      </c>
      <c r="D964" s="15">
        <v>0.55</v>
      </c>
      <c r="E964" s="146">
        <v>3.25</v>
      </c>
      <c r="F964" s="15">
        <v>3.25</v>
      </c>
      <c r="G964" s="15">
        <v>-0.11685987</v>
      </c>
      <c r="H964" s="15">
        <v>-0.21946764</v>
      </c>
      <c r="I964" s="15">
        <v>0.00364843</v>
      </c>
      <c r="J964" s="15">
        <v>0.19463294</v>
      </c>
      <c r="K964" s="15">
        <v>2645.16</v>
      </c>
    </row>
    <row r="965" ht="22.5" customHeight="1">
      <c r="A965" s="167">
        <v>46077.996087962965</v>
      </c>
      <c r="B965" s="144" t="s">
        <v>578</v>
      </c>
      <c r="C965" s="15">
        <v>80.72</v>
      </c>
      <c r="D965" s="15">
        <v>0.18</v>
      </c>
      <c r="E965" s="146">
        <v>0.24</v>
      </c>
      <c r="F965" s="15">
        <v>0.24</v>
      </c>
      <c r="G965" s="15">
        <v>0.12730932</v>
      </c>
      <c r="H965" s="15">
        <v>-0.01776611</v>
      </c>
      <c r="I965" s="15">
        <v>0.05827696</v>
      </c>
      <c r="J965" s="15">
        <v>0.04179937</v>
      </c>
      <c r="K965" s="15">
        <v>19.48</v>
      </c>
    </row>
    <row r="966" ht="22.5" customHeight="1">
      <c r="A966" s="167">
        <v>46077.99618055556</v>
      </c>
      <c r="B966" s="144" t="s">
        <v>577</v>
      </c>
      <c r="C966" s="15">
        <v>71.38</v>
      </c>
      <c r="D966" s="15">
        <v>0.48</v>
      </c>
      <c r="E966" s="146">
        <v>0.25</v>
      </c>
      <c r="F966" s="15">
        <v>0.25</v>
      </c>
      <c r="G966" s="15">
        <v>-0.06516654</v>
      </c>
      <c r="H966" s="15">
        <v>-0.02274011</v>
      </c>
      <c r="I966" s="15">
        <v>0.01466669</v>
      </c>
      <c r="J966" s="15">
        <v>0.02172288</v>
      </c>
      <c r="K966" s="15">
        <v>16.82</v>
      </c>
    </row>
    <row r="967" ht="22.5" customHeight="1">
      <c r="A967" s="167">
        <v>46077.996203703704</v>
      </c>
      <c r="B967" s="144" t="s">
        <v>583</v>
      </c>
      <c r="C967" s="15">
        <v>132.39</v>
      </c>
      <c r="D967" s="15">
        <v>0.2</v>
      </c>
      <c r="E967" s="146">
        <v>0.63</v>
      </c>
      <c r="F967" s="15">
        <v>0.63</v>
      </c>
      <c r="G967" s="15">
        <v>0.16035166</v>
      </c>
      <c r="H967" s="15">
        <v>-0.03660287</v>
      </c>
      <c r="I967" s="15">
        <v>0.03526528</v>
      </c>
      <c r="J967" s="15">
        <v>0.07976469</v>
      </c>
      <c r="K967" s="15">
        <v>49.26</v>
      </c>
    </row>
    <row r="968" ht="22.5" customHeight="1">
      <c r="A968" s="167">
        <v>46077.99623842593</v>
      </c>
      <c r="B968" s="144" t="s">
        <v>511</v>
      </c>
      <c r="C968" s="15">
        <v>35.79</v>
      </c>
      <c r="D968" s="15">
        <v>0.42</v>
      </c>
      <c r="E968" s="146">
        <v>0.32</v>
      </c>
      <c r="F968" s="15">
        <v>0.32</v>
      </c>
      <c r="G968" s="15">
        <v>0.16501771</v>
      </c>
      <c r="H968" s="15">
        <v>-0.01989163</v>
      </c>
      <c r="I968" s="15">
        <v>0.06421776</v>
      </c>
      <c r="J968" s="15">
        <v>0.02156714</v>
      </c>
      <c r="K968" s="15">
        <v>26.2</v>
      </c>
    </row>
    <row r="969" ht="22.5" customHeight="1">
      <c r="A969" s="167">
        <v>46077.99627314815</v>
      </c>
      <c r="B969" s="144" t="s">
        <v>574</v>
      </c>
      <c r="C969" s="15">
        <v>73.5</v>
      </c>
      <c r="D969" s="15">
        <v>0.27</v>
      </c>
      <c r="E969" s="146">
        <v>0.23</v>
      </c>
      <c r="F969" s="15">
        <v>0.23</v>
      </c>
      <c r="G969" s="15">
        <v>0.11060921</v>
      </c>
      <c r="H969" s="15">
        <v>-0.02210103</v>
      </c>
      <c r="I969" s="15">
        <v>0.03761827</v>
      </c>
      <c r="J969" s="15">
        <v>0.03550225</v>
      </c>
      <c r="K969" s="15">
        <v>19.8</v>
      </c>
    </row>
    <row r="970" ht="22.5" customHeight="1">
      <c r="A970" s="167">
        <v>46077.996296296296</v>
      </c>
      <c r="B970" s="144" t="s">
        <v>523</v>
      </c>
      <c r="C970" s="15">
        <v>6116.6</v>
      </c>
      <c r="D970" s="15">
        <v>0.14</v>
      </c>
      <c r="E970" s="146">
        <v>31.1</v>
      </c>
      <c r="F970" s="15">
        <v>31.1</v>
      </c>
      <c r="G970" s="15">
        <v>0.23038642</v>
      </c>
      <c r="H970" s="15">
        <v>-1.39911115</v>
      </c>
      <c r="I970" s="15">
        <v>0.00139166</v>
      </c>
      <c r="J970" s="15">
        <v>4.84880231</v>
      </c>
      <c r="K970" s="15">
        <v>10.68</v>
      </c>
    </row>
    <row r="971" ht="22.5" customHeight="1">
      <c r="A971" s="167">
        <v>46077.99631944444</v>
      </c>
      <c r="B971" s="144" t="s">
        <v>587</v>
      </c>
      <c r="C971" s="15">
        <v>73.39</v>
      </c>
      <c r="D971" s="15">
        <v>0.89</v>
      </c>
      <c r="E971" s="146">
        <v>0.25</v>
      </c>
      <c r="F971" s="15">
        <v>0.25</v>
      </c>
      <c r="G971" s="15">
        <v>-0.03481721</v>
      </c>
      <c r="H971" s="15">
        <v>-0.02619165</v>
      </c>
      <c r="I971" s="15">
        <v>0.00461821</v>
      </c>
      <c r="J971" s="15">
        <v>0.01414904</v>
      </c>
      <c r="K971" s="15">
        <v>21.93</v>
      </c>
    </row>
    <row r="972" ht="22.5" customHeight="1">
      <c r="A972" s="167">
        <v>46077.996354166666</v>
      </c>
      <c r="B972" s="144" t="s">
        <v>576</v>
      </c>
      <c r="C972" s="15">
        <v>49.86</v>
      </c>
      <c r="D972" s="15">
        <v>0.21</v>
      </c>
      <c r="E972" s="146">
        <v>0.25</v>
      </c>
      <c r="F972" s="15">
        <v>0.25</v>
      </c>
      <c r="G972" s="15">
        <v>0.18397515</v>
      </c>
      <c r="H972" s="15">
        <v>-0.01689626</v>
      </c>
      <c r="I972" s="15">
        <v>0.10096</v>
      </c>
      <c r="J972" s="15">
        <v>0.03645158</v>
      </c>
      <c r="K972" s="15">
        <v>21.22</v>
      </c>
    </row>
    <row r="973" ht="22.5" customHeight="1">
      <c r="A973" s="167">
        <v>46077.99637731481</v>
      </c>
      <c r="B973" s="144" t="s">
        <v>589</v>
      </c>
      <c r="C973" s="15">
        <v>474.61</v>
      </c>
      <c r="D973" s="15">
        <v>0.36</v>
      </c>
      <c r="E973" s="146">
        <v>4.61</v>
      </c>
      <c r="F973" s="15">
        <v>4.61</v>
      </c>
      <c r="G973" s="15">
        <v>-0.18639745</v>
      </c>
      <c r="H973" s="15">
        <v>-0.22335853</v>
      </c>
      <c r="I973" s="15">
        <v>0.00615691</v>
      </c>
      <c r="J973" s="15">
        <v>0.31837904</v>
      </c>
      <c r="K973" s="15">
        <v>1135.03</v>
      </c>
    </row>
    <row r="974" ht="22.5" customHeight="1">
      <c r="A974" s="167">
        <v>46077.99638888889</v>
      </c>
      <c r="B974" s="144" t="s">
        <v>524</v>
      </c>
      <c r="C974" s="15">
        <v>6116.6</v>
      </c>
      <c r="D974" s="15">
        <v>0.14</v>
      </c>
      <c r="E974" s="146">
        <v>33.8</v>
      </c>
      <c r="F974" s="15">
        <v>33.8</v>
      </c>
      <c r="G974" s="15">
        <v>0.26948298</v>
      </c>
      <c r="H974" s="15">
        <v>-1.55077676</v>
      </c>
      <c r="I974" s="15">
        <v>0.00148583</v>
      </c>
      <c r="J974" s="15">
        <v>5.23878913</v>
      </c>
      <c r="K974" s="15">
        <v>13.99</v>
      </c>
    </row>
    <row r="975" ht="22.5" customHeight="1">
      <c r="A975" s="167">
        <v>46077.996400462966</v>
      </c>
      <c r="B975" s="144" t="s">
        <v>525</v>
      </c>
      <c r="C975" s="15">
        <v>6116.6</v>
      </c>
      <c r="D975" s="15">
        <v>0.25</v>
      </c>
      <c r="E975" s="146">
        <v>15.9</v>
      </c>
      <c r="F975" s="15">
        <v>15.9</v>
      </c>
      <c r="G975" s="15">
        <v>-0.07741077</v>
      </c>
      <c r="H975" s="15">
        <v>-1.08935879</v>
      </c>
      <c r="I975" s="15">
        <v>3.6621E-4</v>
      </c>
      <c r="J975" s="15">
        <v>2.41328434</v>
      </c>
      <c r="K975" s="15">
        <v>3689.16</v>
      </c>
    </row>
    <row r="976" ht="22.5" customHeight="1">
      <c r="A976" s="167">
        <v>46077.99643518519</v>
      </c>
      <c r="B976" s="144" t="s">
        <v>532</v>
      </c>
      <c r="C976" s="15">
        <v>91.36</v>
      </c>
      <c r="D976" s="15">
        <v>0.4</v>
      </c>
      <c r="E976" s="146">
        <v>0.5</v>
      </c>
      <c r="F976" s="15">
        <v>0.5</v>
      </c>
      <c r="G976" s="15">
        <v>-0.08588857</v>
      </c>
      <c r="H976" s="15">
        <v>-0.03012557</v>
      </c>
      <c r="I976" s="15">
        <v>0.0166091</v>
      </c>
      <c r="J976" s="15">
        <v>0.03633272</v>
      </c>
      <c r="K976" s="15">
        <v>447.01</v>
      </c>
    </row>
    <row r="977" ht="22.5" customHeight="1">
      <c r="A977" s="167">
        <v>46077.99644675926</v>
      </c>
      <c r="B977" s="144" t="s">
        <v>562</v>
      </c>
      <c r="C977" s="15">
        <v>91.36</v>
      </c>
      <c r="D977" s="15">
        <v>0.37</v>
      </c>
      <c r="E977" s="146">
        <v>1.05</v>
      </c>
      <c r="F977" s="15">
        <v>1.05</v>
      </c>
      <c r="G977" s="15">
        <v>-0.20148893</v>
      </c>
      <c r="H977" s="15">
        <v>-0.052107</v>
      </c>
      <c r="I977" s="15">
        <v>0.03263539</v>
      </c>
      <c r="J977" s="15">
        <v>0.06912352</v>
      </c>
      <c r="K977" s="15">
        <v>318.0</v>
      </c>
    </row>
    <row r="978" ht="22.5" customHeight="1">
      <c r="A978" s="167">
        <v>46077.99652777778</v>
      </c>
      <c r="B978" s="144" t="s">
        <v>588</v>
      </c>
      <c r="C978" s="15">
        <v>16.69</v>
      </c>
      <c r="D978" s="15">
        <v>0.35</v>
      </c>
      <c r="E978" s="146">
        <v>0.35</v>
      </c>
      <c r="F978" s="15">
        <v>0.35</v>
      </c>
      <c r="G978" s="15">
        <v>0.32681483</v>
      </c>
      <c r="H978" s="15">
        <v>-0.01201701</v>
      </c>
      <c r="I978" s="15">
        <v>0.23889473</v>
      </c>
      <c r="J978" s="15">
        <v>0.01560955</v>
      </c>
      <c r="K978" s="15">
        <v>30.29</v>
      </c>
    </row>
    <row r="979" ht="22.5" customHeight="1">
      <c r="A979" s="167">
        <v>46077.9965625</v>
      </c>
      <c r="B979" s="144" t="s">
        <v>553</v>
      </c>
      <c r="C979" s="15">
        <v>49.78</v>
      </c>
      <c r="D979" s="15">
        <v>-1.0</v>
      </c>
      <c r="E979" s="146">
        <v>1.19</v>
      </c>
      <c r="F979" s="15">
        <v>1.19</v>
      </c>
      <c r="G979" s="15" t="s">
        <v>688</v>
      </c>
      <c r="H979" s="15">
        <v>-2.0</v>
      </c>
      <c r="I979" s="15" t="s">
        <v>688</v>
      </c>
      <c r="J979" s="15">
        <v>-2.0</v>
      </c>
      <c r="K979" s="15">
        <v>614.34</v>
      </c>
    </row>
    <row r="980" ht="22.5" customHeight="1">
      <c r="A980" s="167">
        <v>46077.99657407407</v>
      </c>
      <c r="B980" s="144" t="s">
        <v>554</v>
      </c>
      <c r="C980" s="15">
        <v>49.78</v>
      </c>
      <c r="D980" s="15">
        <v>0.47</v>
      </c>
      <c r="E980" s="146">
        <v>0.4</v>
      </c>
      <c r="F980" s="15">
        <v>0.4</v>
      </c>
      <c r="G980" s="15">
        <v>0.13236411</v>
      </c>
      <c r="H980" s="15">
        <v>-0.02687349</v>
      </c>
      <c r="I980" s="15">
        <v>0.03560877</v>
      </c>
      <c r="J980" s="15">
        <v>0.03053264</v>
      </c>
      <c r="K980" s="15">
        <v>1.3</v>
      </c>
    </row>
    <row r="981" ht="22.5" customHeight="1">
      <c r="A981" s="167">
        <v>46077.99658564815</v>
      </c>
      <c r="B981" s="144" t="s">
        <v>555</v>
      </c>
      <c r="C981" s="15">
        <v>49.78</v>
      </c>
      <c r="D981" s="15">
        <v>0.45</v>
      </c>
      <c r="E981" s="146">
        <v>0.14</v>
      </c>
      <c r="F981" s="15">
        <v>0.14</v>
      </c>
      <c r="G981" s="15">
        <v>0.05037429</v>
      </c>
      <c r="H981" s="15">
        <v>-0.01371118</v>
      </c>
      <c r="I981" s="15">
        <v>0.0168235</v>
      </c>
      <c r="J981" s="15">
        <v>0.01357655</v>
      </c>
      <c r="K981" s="15">
        <v>0.17</v>
      </c>
    </row>
    <row r="982" ht="22.5" customHeight="1">
      <c r="A982" s="167">
        <v>46077.9966087963</v>
      </c>
      <c r="B982" s="144" t="s">
        <v>586</v>
      </c>
      <c r="C982" s="15">
        <v>46.42</v>
      </c>
      <c r="D982" s="15">
        <v>0.21</v>
      </c>
      <c r="E982" s="146">
        <v>0.4</v>
      </c>
      <c r="F982" s="15">
        <v>0.4</v>
      </c>
      <c r="G982" s="15">
        <v>0.20921862</v>
      </c>
      <c r="H982" s="15">
        <v>-0.01157643</v>
      </c>
      <c r="I982" s="15">
        <v>0.07709753</v>
      </c>
      <c r="J982" s="15">
        <v>0.05120111</v>
      </c>
      <c r="K982" s="15">
        <v>34.03</v>
      </c>
    </row>
    <row r="983" ht="22.5" customHeight="1">
      <c r="A983" s="167">
        <v>46077.99662037037</v>
      </c>
      <c r="B983" s="144" t="s">
        <v>542</v>
      </c>
      <c r="C983" s="15">
        <v>689.1</v>
      </c>
      <c r="D983" s="15">
        <v>0.19</v>
      </c>
      <c r="E983" s="146">
        <v>6.98</v>
      </c>
      <c r="F983" s="15">
        <v>6.98</v>
      </c>
      <c r="G983" s="15">
        <v>-0.31096887</v>
      </c>
      <c r="H983" s="15">
        <v>-0.49479026</v>
      </c>
      <c r="I983" s="15">
        <v>0.01057946</v>
      </c>
      <c r="J983" s="15">
        <v>0.62682779</v>
      </c>
      <c r="K983" s="15">
        <v>5098.84</v>
      </c>
    </row>
    <row r="984" ht="22.5" customHeight="1">
      <c r="A984" s="167">
        <v>46077.996712962966</v>
      </c>
      <c r="B984" s="144" t="s">
        <v>569</v>
      </c>
      <c r="C984" s="15">
        <v>64.72</v>
      </c>
      <c r="D984" s="15">
        <v>0.36</v>
      </c>
      <c r="E984" s="146">
        <v>0.77</v>
      </c>
      <c r="F984" s="15">
        <v>0.77</v>
      </c>
      <c r="G984" s="15">
        <v>0.22133059</v>
      </c>
      <c r="H984" s="15">
        <v>-0.03911285</v>
      </c>
      <c r="I984" s="15">
        <v>0.04948274</v>
      </c>
      <c r="J984" s="15">
        <v>0.04682521</v>
      </c>
      <c r="K984" s="15">
        <v>67.96</v>
      </c>
    </row>
    <row r="985" ht="22.5" customHeight="1">
      <c r="A985" s="167">
        <v>46077.99673611111</v>
      </c>
      <c r="B985" s="144" t="s">
        <v>521</v>
      </c>
      <c r="C985" s="15">
        <v>10.73</v>
      </c>
      <c r="D985" s="15">
        <v>1.69</v>
      </c>
      <c r="E985" s="146">
        <v>0.06</v>
      </c>
      <c r="F985" s="15">
        <v>0.06</v>
      </c>
      <c r="G985" s="15">
        <v>0.04220565</v>
      </c>
      <c r="H985" s="15">
        <v>-0.00968177</v>
      </c>
      <c r="I985" s="15">
        <v>0.01923427</v>
      </c>
      <c r="J985" s="15">
        <v>0.00269636</v>
      </c>
      <c r="K985" s="15">
        <v>5.47</v>
      </c>
    </row>
    <row r="986" ht="22.5" customHeight="1">
      <c r="A986" s="167">
        <v>46077.996770833335</v>
      </c>
      <c r="B986" s="144" t="s">
        <v>565</v>
      </c>
      <c r="C986" s="15">
        <v>243.61</v>
      </c>
      <c r="D986" s="15">
        <v>0.24</v>
      </c>
      <c r="E986" s="146">
        <v>1.12</v>
      </c>
      <c r="F986" s="15">
        <v>1.12</v>
      </c>
      <c r="G986" s="15">
        <v>0.14327135</v>
      </c>
      <c r="H986" s="15">
        <v>-0.07714695</v>
      </c>
      <c r="I986" s="15">
        <v>0.01533872</v>
      </c>
      <c r="J986" s="15">
        <v>0.14659517</v>
      </c>
      <c r="K986" s="15">
        <v>1550.56</v>
      </c>
    </row>
    <row r="987" ht="22.5" customHeight="1">
      <c r="A987" s="167">
        <v>46077.996782407405</v>
      </c>
      <c r="B987" s="144" t="s">
        <v>566</v>
      </c>
      <c r="C987" s="15">
        <v>243.61</v>
      </c>
      <c r="D987" s="15">
        <v>0.26</v>
      </c>
      <c r="E987" s="146">
        <v>0.35</v>
      </c>
      <c r="F987" s="15">
        <v>0.35</v>
      </c>
      <c r="G987" s="15">
        <v>0.0580825</v>
      </c>
      <c r="H987" s="15">
        <v>-0.03594758</v>
      </c>
      <c r="I987" s="15">
        <v>0.00718558</v>
      </c>
      <c r="J987" s="15">
        <v>0.07619788</v>
      </c>
      <c r="K987" s="15">
        <v>31.1</v>
      </c>
    </row>
    <row r="988" ht="22.5" customHeight="1">
      <c r="A988" s="167">
        <v>46077.99679398148</v>
      </c>
      <c r="B988" s="144" t="s">
        <v>590</v>
      </c>
      <c r="C988" s="15">
        <v>474.61</v>
      </c>
      <c r="D988" s="15">
        <v>0.42</v>
      </c>
      <c r="E988" s="146">
        <v>1.1</v>
      </c>
      <c r="F988" s="15">
        <v>1.1</v>
      </c>
      <c r="G988" s="15">
        <v>0.05202876</v>
      </c>
      <c r="H988" s="15">
        <v>-0.1172807</v>
      </c>
      <c r="I988" s="15">
        <v>0.00208158</v>
      </c>
      <c r="J988" s="15">
        <v>0.12943572</v>
      </c>
      <c r="K988" s="15">
        <v>108.33</v>
      </c>
    </row>
    <row r="989" ht="22.5" customHeight="1">
      <c r="A989" s="167">
        <v>46077.99681712963</v>
      </c>
      <c r="B989" s="144" t="s">
        <v>519</v>
      </c>
      <c r="C989" s="15">
        <v>79.08</v>
      </c>
      <c r="D989" s="15">
        <v>0.84</v>
      </c>
      <c r="E989" s="146">
        <v>5.55</v>
      </c>
      <c r="F989" s="15">
        <v>5.55</v>
      </c>
      <c r="G989" s="15">
        <v>-0.40488359</v>
      </c>
      <c r="H989" s="15">
        <v>-0.13552377</v>
      </c>
      <c r="I989" s="15">
        <v>0.02300983</v>
      </c>
      <c r="J989" s="15">
        <v>0.07889834</v>
      </c>
      <c r="K989" s="15">
        <v>1220.42</v>
      </c>
    </row>
    <row r="990" ht="22.5" customHeight="1">
      <c r="A990" s="167">
        <v>46077.996828703705</v>
      </c>
      <c r="B990" s="144" t="s">
        <v>558</v>
      </c>
      <c r="C990" s="15">
        <v>263.33</v>
      </c>
      <c r="D990" s="15">
        <v>0.21</v>
      </c>
      <c r="E990" s="146">
        <v>2.28</v>
      </c>
      <c r="F990" s="15">
        <v>2.28</v>
      </c>
      <c r="G990" s="15">
        <v>0.22323707</v>
      </c>
      <c r="H990" s="15">
        <v>-0.09926207</v>
      </c>
      <c r="I990" s="15">
        <v>0.01962225</v>
      </c>
      <c r="J990" s="15">
        <v>0.19500046</v>
      </c>
      <c r="K990" s="15">
        <v>17.05</v>
      </c>
    </row>
    <row r="991" ht="22.5" customHeight="1">
      <c r="A991" s="167">
        <v>46077.99690972222</v>
      </c>
      <c r="B991" s="144" t="s">
        <v>591</v>
      </c>
      <c r="C991" s="15">
        <v>61.6</v>
      </c>
      <c r="D991" s="15">
        <v>0.24</v>
      </c>
      <c r="E991" s="146">
        <v>0.22</v>
      </c>
      <c r="F991" s="15">
        <v>0.22</v>
      </c>
      <c r="G991" s="15">
        <v>0.08258872</v>
      </c>
      <c r="H991" s="15">
        <v>-0.00886814</v>
      </c>
      <c r="I991" s="15">
        <v>0.02782253</v>
      </c>
      <c r="J991" s="15">
        <v>0.03532101</v>
      </c>
      <c r="K991" s="15">
        <v>19.41</v>
      </c>
    </row>
    <row r="992" ht="22.5" customHeight="1">
      <c r="A992" s="167">
        <v>46077.99752314815</v>
      </c>
      <c r="B992" s="144" t="s">
        <v>567</v>
      </c>
      <c r="C992" s="15">
        <v>62.07</v>
      </c>
      <c r="D992" s="15">
        <v>0.31</v>
      </c>
      <c r="E992" s="146">
        <v>0.0</v>
      </c>
      <c r="F992" s="15">
        <v>0.0</v>
      </c>
      <c r="G992" s="15">
        <v>0.00974356</v>
      </c>
      <c r="H992" s="15">
        <v>-0.00244321</v>
      </c>
      <c r="I992" s="15">
        <v>0.00529951</v>
      </c>
      <c r="J992" s="15">
        <v>0.00521109</v>
      </c>
      <c r="K992" s="15">
        <v>1.61</v>
      </c>
    </row>
    <row r="993" ht="22.5" customHeight="1">
      <c r="A993" s="167">
        <v>46077.9975462963</v>
      </c>
      <c r="B993" s="144" t="s">
        <v>518</v>
      </c>
      <c r="C993" s="15">
        <v>11.03</v>
      </c>
      <c r="D993" s="15">
        <v>0.28</v>
      </c>
      <c r="E993" s="146">
        <v>0.1</v>
      </c>
      <c r="F993" s="15">
        <v>0.1</v>
      </c>
      <c r="G993" s="15">
        <v>0.13269918</v>
      </c>
      <c r="H993" s="15">
        <v>-0.00393221</v>
      </c>
      <c r="I993" s="15">
        <v>0.2694615</v>
      </c>
      <c r="J993" s="15">
        <v>0.00667246</v>
      </c>
      <c r="K993" s="15">
        <v>3.45</v>
      </c>
    </row>
    <row r="994" ht="22.5" customHeight="1">
      <c r="A994" s="167">
        <v>46077.99763888889</v>
      </c>
      <c r="B994" s="144" t="s">
        <v>570</v>
      </c>
      <c r="C994" s="15">
        <v>51.07</v>
      </c>
      <c r="D994" s="15">
        <v>0.35</v>
      </c>
      <c r="E994" s="146">
        <v>0.11</v>
      </c>
      <c r="F994" s="15">
        <v>0.11</v>
      </c>
      <c r="G994" s="15">
        <v>0.03881951</v>
      </c>
      <c r="H994" s="15">
        <v>-0.00740101</v>
      </c>
      <c r="I994" s="15">
        <v>0.01832315</v>
      </c>
      <c r="J994" s="15">
        <v>0.01145952</v>
      </c>
      <c r="K994" s="15">
        <v>6.46</v>
      </c>
    </row>
    <row r="995" ht="22.5" customHeight="1">
      <c r="A995" s="167">
        <v>46077.998240740744</v>
      </c>
      <c r="B995" s="144" t="s">
        <v>550</v>
      </c>
      <c r="C995" s="15">
        <v>8.93</v>
      </c>
      <c r="D995" s="15">
        <v>0.35</v>
      </c>
      <c r="E995" s="146">
        <v>0.0</v>
      </c>
      <c r="F995" s="15">
        <v>0.0</v>
      </c>
      <c r="G995" s="15">
        <v>0.12035187</v>
      </c>
      <c r="H995" s="15">
        <v>-0.00331529</v>
      </c>
      <c r="I995" s="15">
        <v>0.24768726</v>
      </c>
      <c r="J995" s="15">
        <v>0.00428235</v>
      </c>
      <c r="K995" s="15">
        <v>5.04</v>
      </c>
    </row>
    <row r="996" ht="22.5" customHeight="1">
      <c r="A996" s="167">
        <v>46077.99833333334</v>
      </c>
      <c r="B996" s="144" t="s">
        <v>568</v>
      </c>
      <c r="C996" s="15">
        <v>41.2</v>
      </c>
      <c r="D996" s="15">
        <v>0.34</v>
      </c>
      <c r="E996" s="146">
        <v>0.85</v>
      </c>
      <c r="F996" s="15">
        <v>0.85</v>
      </c>
      <c r="G996" s="15">
        <v>-0.34071225</v>
      </c>
      <c r="H996" s="15">
        <v>-0.0259405</v>
      </c>
      <c r="I996" s="15">
        <v>0.10410179</v>
      </c>
      <c r="J996" s="15">
        <v>0.03922708</v>
      </c>
      <c r="K996" s="15">
        <v>69.82</v>
      </c>
    </row>
    <row r="997" ht="22.5" customHeight="1">
      <c r="A997" s="167">
        <v>46077.99841435185</v>
      </c>
      <c r="B997" s="144" t="s">
        <v>571</v>
      </c>
      <c r="C997" s="15">
        <v>10.97</v>
      </c>
      <c r="D997" s="15">
        <v>0.86</v>
      </c>
      <c r="E997" s="146">
        <v>2.35</v>
      </c>
      <c r="F997" s="15">
        <v>0.32</v>
      </c>
      <c r="G997" s="15">
        <v>-0.74668822</v>
      </c>
      <c r="H997" s="15">
        <v>-0.01531769</v>
      </c>
      <c r="I997" s="15">
        <v>0.13575857</v>
      </c>
      <c r="J997" s="15">
        <v>0.0094827</v>
      </c>
      <c r="K997" s="15">
        <v>153.35</v>
      </c>
    </row>
    <row r="998" ht="22.5" customHeight="1">
      <c r="A998" s="167">
        <v>46077.99842592593</v>
      </c>
      <c r="B998" s="144" t="s">
        <v>572</v>
      </c>
      <c r="C998" s="15">
        <v>10.97</v>
      </c>
      <c r="D998" s="15">
        <v>0.9</v>
      </c>
      <c r="E998" s="146">
        <v>1.01</v>
      </c>
      <c r="F998" s="15">
        <v>0.98</v>
      </c>
      <c r="G998" s="15">
        <v>-0.51541088</v>
      </c>
      <c r="H998" s="15">
        <v>-0.01893077</v>
      </c>
      <c r="I998" s="15">
        <v>0.16774276</v>
      </c>
      <c r="J998" s="15">
        <v>0.01116729</v>
      </c>
      <c r="K998" s="15">
        <v>80.68</v>
      </c>
    </row>
    <row r="999" ht="22.5" customHeight="1">
      <c r="A999" s="167">
        <v>46078.95175925926</v>
      </c>
      <c r="B999" s="144" t="s">
        <v>543</v>
      </c>
      <c r="C999" s="15">
        <v>694.69</v>
      </c>
      <c r="D999" s="15">
        <v>0.23</v>
      </c>
      <c r="E999" s="146">
        <v>2.1</v>
      </c>
      <c r="F999" s="15">
        <v>2.1</v>
      </c>
      <c r="G999" s="15">
        <v>-0.10359832</v>
      </c>
      <c r="H999" s="15">
        <v>-0.1464266</v>
      </c>
      <c r="I999" s="15">
        <v>0.00457977</v>
      </c>
      <c r="J999" s="15">
        <v>0.31373847</v>
      </c>
      <c r="K999" s="15">
        <v>4742.72</v>
      </c>
    </row>
    <row r="1000" ht="22.5" customHeight="1">
      <c r="A1000" s="167">
        <v>46078.95177083334</v>
      </c>
      <c r="B1000" s="144" t="s">
        <v>544</v>
      </c>
      <c r="C1000" s="15">
        <v>694.69</v>
      </c>
      <c r="D1000" s="15">
        <v>0.19</v>
      </c>
      <c r="E1000" s="146">
        <v>4.15</v>
      </c>
      <c r="F1000" s="15">
        <v>4.15</v>
      </c>
      <c r="G1000" s="15">
        <v>-0.20131809</v>
      </c>
      <c r="H1000" s="15">
        <v>-0.19123704</v>
      </c>
      <c r="I1000" s="15">
        <v>0.0083323</v>
      </c>
      <c r="J1000" s="15">
        <v>0.48970058</v>
      </c>
      <c r="K1000" s="15">
        <v>4904.13</v>
      </c>
    </row>
    <row r="1001" ht="22.5" customHeight="1">
      <c r="A1001" s="167">
        <v>46078.95180555555</v>
      </c>
      <c r="B1001" s="144" t="s">
        <v>556</v>
      </c>
      <c r="C1001" s="15">
        <v>264.58</v>
      </c>
      <c r="D1001" s="15">
        <v>0.21</v>
      </c>
      <c r="E1001" s="146">
        <v>3.29</v>
      </c>
      <c r="F1001" s="15">
        <v>3.29</v>
      </c>
      <c r="G1001" s="15">
        <v>0.36974549</v>
      </c>
      <c r="H1001" s="15">
        <v>-0.12614768</v>
      </c>
      <c r="I1001" s="15">
        <v>0.02826489</v>
      </c>
      <c r="J1001" s="15">
        <v>0.24495197</v>
      </c>
      <c r="K1001" s="15">
        <v>25.03</v>
      </c>
    </row>
    <row r="1002" ht="22.5" customHeight="1">
      <c r="A1002" s="167">
        <v>46078.95181712963</v>
      </c>
      <c r="B1002" s="144" t="s">
        <v>557</v>
      </c>
      <c r="C1002" s="15">
        <v>264.58</v>
      </c>
      <c r="D1002" s="15">
        <v>0.3</v>
      </c>
      <c r="E1002" s="146">
        <v>0.88</v>
      </c>
      <c r="F1002" s="15">
        <v>0.88</v>
      </c>
      <c r="G1002" s="15">
        <v>-0.09310464</v>
      </c>
      <c r="H1002" s="15">
        <v>-0.06994128</v>
      </c>
      <c r="I1002" s="15">
        <v>0.00838373</v>
      </c>
      <c r="J1002" s="15">
        <v>0.10389776</v>
      </c>
      <c r="K1002" s="15">
        <v>1728.42</v>
      </c>
    </row>
    <row r="1003" ht="22.5" customHeight="1">
      <c r="A1003" s="167">
        <v>46078.951840277776</v>
      </c>
      <c r="B1003" s="144" t="s">
        <v>515</v>
      </c>
      <c r="C1003" s="15">
        <v>16.71</v>
      </c>
      <c r="D1003" s="15">
        <v>0.36</v>
      </c>
      <c r="E1003" s="146">
        <v>0.51</v>
      </c>
      <c r="F1003" s="15">
        <v>0.51</v>
      </c>
      <c r="G1003" s="15">
        <v>0.45346602</v>
      </c>
      <c r="H1003" s="15">
        <v>-0.01400804</v>
      </c>
      <c r="I1003" s="15">
        <v>0.26193732</v>
      </c>
      <c r="J1003" s="15">
        <v>0.01684795</v>
      </c>
      <c r="K1003" s="15">
        <v>41.98</v>
      </c>
    </row>
    <row r="1004" ht="22.5" customHeight="1">
      <c r="A1004" s="167">
        <v>46078.95243055555</v>
      </c>
      <c r="B1004" s="144" t="s">
        <v>517</v>
      </c>
      <c r="C1004" s="15">
        <v>16.71</v>
      </c>
      <c r="D1004" s="15">
        <v>0.58</v>
      </c>
      <c r="E1004" s="146">
        <v>0.0</v>
      </c>
      <c r="F1004" s="15">
        <v>0.0</v>
      </c>
      <c r="G1004" s="15">
        <v>-0.01579534</v>
      </c>
      <c r="H1004" s="15">
        <v>-0.00191878</v>
      </c>
      <c r="I1004" s="15">
        <v>0.01528997</v>
      </c>
      <c r="J1004" s="15">
        <v>0.00150972</v>
      </c>
      <c r="K1004" s="15">
        <v>0.75</v>
      </c>
    </row>
    <row r="1005" ht="22.5" customHeight="1">
      <c r="A1005" s="167">
        <v>46078.952465277776</v>
      </c>
      <c r="B1005" s="144" t="s">
        <v>561</v>
      </c>
      <c r="C1005" s="15">
        <v>27.87</v>
      </c>
      <c r="D1005" s="15">
        <v>0.24</v>
      </c>
      <c r="E1005" s="146">
        <v>0.29</v>
      </c>
      <c r="F1005" s="15">
        <v>0.29</v>
      </c>
      <c r="G1005" s="15">
        <v>-0.27054048</v>
      </c>
      <c r="H1005" s="15">
        <v>-0.01116789</v>
      </c>
      <c r="I1005" s="15">
        <v>0.2027909</v>
      </c>
      <c r="J1005" s="15">
        <v>0.02371418</v>
      </c>
      <c r="K1005" s="15">
        <v>27.29</v>
      </c>
    </row>
    <row r="1006" ht="22.5" customHeight="1">
      <c r="A1006" s="167">
        <v>46078.95248842592</v>
      </c>
      <c r="B1006" s="144" t="s">
        <v>573</v>
      </c>
      <c r="C1006" s="15">
        <v>387.73</v>
      </c>
      <c r="D1006" s="15">
        <v>0.56</v>
      </c>
      <c r="E1006" s="146">
        <v>3.15</v>
      </c>
      <c r="F1006" s="15">
        <v>3.15</v>
      </c>
      <c r="G1006" s="15">
        <v>-0.11171241</v>
      </c>
      <c r="H1006" s="15">
        <v>-0.22084283</v>
      </c>
      <c r="I1006" s="15">
        <v>0.0035075</v>
      </c>
      <c r="J1006" s="15">
        <v>0.19081069</v>
      </c>
      <c r="K1006" s="15">
        <v>2662.63</v>
      </c>
    </row>
    <row r="1007" ht="22.5" customHeight="1">
      <c r="A1007" s="167">
        <v>46078.952511574076</v>
      </c>
      <c r="B1007" s="144" t="s">
        <v>578</v>
      </c>
      <c r="C1007" s="15">
        <v>80.47</v>
      </c>
      <c r="D1007" s="15">
        <v>0.2</v>
      </c>
      <c r="E1007" s="146">
        <v>0.17</v>
      </c>
      <c r="F1007" s="15">
        <v>0.17</v>
      </c>
      <c r="G1007" s="15">
        <v>0.12644362</v>
      </c>
      <c r="H1007" s="15">
        <v>-0.01962916</v>
      </c>
      <c r="I1007" s="15">
        <v>0.05476163</v>
      </c>
      <c r="J1007" s="15">
        <v>0.04164448</v>
      </c>
      <c r="K1007" s="15">
        <v>13.8</v>
      </c>
    </row>
    <row r="1008" ht="22.5" customHeight="1">
      <c r="A1008" s="167">
        <v>46078.9525462963</v>
      </c>
      <c r="B1008" s="144" t="s">
        <v>592</v>
      </c>
      <c r="C1008" s="15">
        <v>82.7</v>
      </c>
      <c r="D1008" s="15">
        <v>0.43</v>
      </c>
      <c r="E1008" s="146">
        <v>1.17</v>
      </c>
      <c r="F1008" s="15">
        <v>1.17</v>
      </c>
      <c r="G1008" s="15">
        <v>0.2366564</v>
      </c>
      <c r="H1008" s="15">
        <v>-0.06181645</v>
      </c>
      <c r="I1008" s="15">
        <v>0.03511124</v>
      </c>
      <c r="J1008" s="15">
        <v>0.06869023</v>
      </c>
      <c r="K1008" s="15">
        <v>628.5</v>
      </c>
    </row>
    <row r="1009" ht="22.5" customHeight="1">
      <c r="A1009" s="167">
        <v>46078.95255787037</v>
      </c>
      <c r="B1009" s="144" t="s">
        <v>593</v>
      </c>
      <c r="C1009" s="15">
        <v>82.7</v>
      </c>
      <c r="D1009" s="15">
        <v>0.44</v>
      </c>
      <c r="E1009" s="146">
        <v>0.51</v>
      </c>
      <c r="F1009" s="15">
        <v>0.51</v>
      </c>
      <c r="G1009" s="15">
        <v>0.11911045</v>
      </c>
      <c r="H1009" s="15">
        <v>-0.04073391</v>
      </c>
      <c r="I1009" s="15">
        <v>0.02184506</v>
      </c>
      <c r="J1009" s="15">
        <v>0.03901791</v>
      </c>
      <c r="K1009" s="15">
        <v>44.89</v>
      </c>
    </row>
    <row r="1010" ht="22.5" customHeight="1">
      <c r="A1010" s="167">
        <v>46078.952581018515</v>
      </c>
      <c r="B1010" s="144" t="s">
        <v>577</v>
      </c>
      <c r="C1010" s="15">
        <v>72.83</v>
      </c>
      <c r="D1010" s="15">
        <v>0.49</v>
      </c>
      <c r="E1010" s="146">
        <v>0.19</v>
      </c>
      <c r="F1010" s="15">
        <v>0.19</v>
      </c>
      <c r="G1010" s="15">
        <v>-0.04706372</v>
      </c>
      <c r="H1010" s="15">
        <v>-0.01875531</v>
      </c>
      <c r="I1010" s="15">
        <v>0.01110654</v>
      </c>
      <c r="J1010" s="15">
        <v>0.02069006</v>
      </c>
      <c r="K1010" s="15">
        <v>12.18</v>
      </c>
    </row>
    <row r="1011" ht="22.5" customHeight="1">
      <c r="A1011" s="167">
        <v>46078.95260416667</v>
      </c>
      <c r="B1011" s="144" t="s">
        <v>583</v>
      </c>
      <c r="C1011" s="15">
        <v>132.46</v>
      </c>
      <c r="D1011" s="15">
        <v>0.2</v>
      </c>
      <c r="E1011" s="146">
        <v>0.55</v>
      </c>
      <c r="F1011" s="15">
        <v>0.55</v>
      </c>
      <c r="G1011" s="15">
        <v>0.15240118</v>
      </c>
      <c r="H1011" s="15">
        <v>-0.03648179</v>
      </c>
      <c r="I1011" s="15">
        <v>0.03534966</v>
      </c>
      <c r="J1011" s="15">
        <v>0.07816538</v>
      </c>
      <c r="K1011" s="15">
        <v>41.94</v>
      </c>
    </row>
    <row r="1012" ht="22.5" customHeight="1">
      <c r="A1012" s="167">
        <v>46078.95263888889</v>
      </c>
      <c r="B1012" s="144" t="s">
        <v>511</v>
      </c>
      <c r="C1012" s="15">
        <v>35.27</v>
      </c>
      <c r="D1012" s="15">
        <v>0.43</v>
      </c>
      <c r="E1012" s="146">
        <v>0.17</v>
      </c>
      <c r="F1012" s="15">
        <v>0.17</v>
      </c>
      <c r="G1012" s="15">
        <v>0.12443875</v>
      </c>
      <c r="H1012" s="15">
        <v>-0.01730283</v>
      </c>
      <c r="I1012" s="15">
        <v>0.0549496</v>
      </c>
      <c r="J1012" s="15">
        <v>0.01692004</v>
      </c>
      <c r="K1012" s="15">
        <v>16.05</v>
      </c>
    </row>
    <row r="1013" ht="22.5" customHeight="1">
      <c r="A1013" s="167">
        <v>46078.95266203704</v>
      </c>
      <c r="B1013" s="144" t="s">
        <v>574</v>
      </c>
      <c r="C1013" s="15">
        <v>73.97</v>
      </c>
      <c r="D1013" s="15">
        <v>0.27</v>
      </c>
      <c r="E1013" s="146">
        <v>0.39</v>
      </c>
      <c r="F1013" s="15">
        <v>0.39</v>
      </c>
      <c r="G1013" s="15">
        <v>0.11659421</v>
      </c>
      <c r="H1013" s="15">
        <v>-0.02245195</v>
      </c>
      <c r="I1013" s="15">
        <v>0.04097574</v>
      </c>
      <c r="J1013" s="15">
        <v>0.03514334</v>
      </c>
      <c r="K1013" s="15">
        <v>21.1</v>
      </c>
    </row>
    <row r="1014" ht="22.5" customHeight="1">
      <c r="A1014" s="167">
        <v>46078.952685185184</v>
      </c>
      <c r="B1014" s="144" t="s">
        <v>523</v>
      </c>
      <c r="C1014" s="15">
        <v>6173.32</v>
      </c>
      <c r="D1014" s="15">
        <v>0.13</v>
      </c>
      <c r="E1014" s="146">
        <v>34.0</v>
      </c>
      <c r="F1014" s="15">
        <v>34.0</v>
      </c>
      <c r="G1014" s="15">
        <v>0.28348172</v>
      </c>
      <c r="H1014" s="15">
        <v>-1.59633652</v>
      </c>
      <c r="I1014" s="15">
        <v>0.00166438</v>
      </c>
      <c r="J1014" s="15">
        <v>5.19579126</v>
      </c>
      <c r="K1014" s="15">
        <v>11.81</v>
      </c>
    </row>
    <row r="1015" ht="22.5" customHeight="1">
      <c r="A1015" s="167">
        <v>46078.95271990741</v>
      </c>
      <c r="B1015" s="144" t="s">
        <v>576</v>
      </c>
      <c r="C1015" s="15">
        <v>49.23</v>
      </c>
      <c r="D1015" s="15">
        <v>0.21</v>
      </c>
      <c r="E1015" s="146">
        <v>0.17</v>
      </c>
      <c r="F1015" s="15">
        <v>0.17</v>
      </c>
      <c r="G1015" s="15">
        <v>0.12699333</v>
      </c>
      <c r="H1015" s="15">
        <v>-0.01255156</v>
      </c>
      <c r="I1015" s="15">
        <v>0.08033739</v>
      </c>
      <c r="J1015" s="15">
        <v>0.0283657</v>
      </c>
      <c r="K1015" s="15">
        <v>13.93</v>
      </c>
    </row>
    <row r="1016" ht="22.5" customHeight="1">
      <c r="A1016" s="167">
        <v>46078.95274305555</v>
      </c>
      <c r="B1016" s="144" t="s">
        <v>589</v>
      </c>
      <c r="C1016" s="15">
        <v>473.42</v>
      </c>
      <c r="D1016" s="15">
        <v>0.34</v>
      </c>
      <c r="E1016" s="146">
        <v>3.95</v>
      </c>
      <c r="F1016" s="15">
        <v>3.95</v>
      </c>
      <c r="G1016" s="15">
        <v>-0.16955035</v>
      </c>
      <c r="H1016" s="15">
        <v>-0.21318027</v>
      </c>
      <c r="I1016" s="15">
        <v>0.00632215</v>
      </c>
      <c r="J1016" s="15">
        <v>0.2973131</v>
      </c>
      <c r="K1016" s="15">
        <v>1052.15</v>
      </c>
    </row>
    <row r="1017" ht="22.5" customHeight="1">
      <c r="A1017" s="167">
        <v>46078.95275462963</v>
      </c>
      <c r="B1017" s="144" t="s">
        <v>524</v>
      </c>
      <c r="C1017" s="15">
        <v>6173.32</v>
      </c>
      <c r="D1017" s="15">
        <v>0.13</v>
      </c>
      <c r="E1017" s="146">
        <v>44.4</v>
      </c>
      <c r="F1017" s="15">
        <v>44.4</v>
      </c>
      <c r="G1017" s="15">
        <v>0.32828913</v>
      </c>
      <c r="H1017" s="15">
        <v>-1.73444074</v>
      </c>
      <c r="I1017" s="15">
        <v>0.0017497</v>
      </c>
      <c r="J1017" s="15">
        <v>5.5449651</v>
      </c>
      <c r="K1017" s="15">
        <v>69.87</v>
      </c>
    </row>
    <row r="1018" ht="22.5" customHeight="1">
      <c r="A1018" s="167">
        <v>46078.95276620371</v>
      </c>
      <c r="B1018" s="144" t="s">
        <v>525</v>
      </c>
      <c r="C1018" s="15">
        <v>6173.32</v>
      </c>
      <c r="D1018" s="15">
        <v>0.25</v>
      </c>
      <c r="E1018" s="146">
        <v>10.9</v>
      </c>
      <c r="F1018" s="15">
        <v>10.9</v>
      </c>
      <c r="G1018" s="15">
        <v>-0.05969586</v>
      </c>
      <c r="H1018" s="15">
        <v>-0.98415584</v>
      </c>
      <c r="I1018" s="15">
        <v>3.1241E-4</v>
      </c>
      <c r="J1018" s="15">
        <v>1.82048388</v>
      </c>
      <c r="K1018" s="15">
        <v>3653.31</v>
      </c>
    </row>
    <row r="1019" ht="22.5" customHeight="1">
      <c r="A1019" s="167">
        <v>46078.95278935185</v>
      </c>
      <c r="B1019" s="144" t="s">
        <v>532</v>
      </c>
      <c r="C1019" s="15">
        <v>90.09</v>
      </c>
      <c r="D1019" s="15">
        <v>0.42</v>
      </c>
      <c r="E1019" s="146">
        <v>0.475</v>
      </c>
      <c r="F1019" s="15">
        <v>0.475</v>
      </c>
      <c r="G1019" s="15">
        <v>-0.08588857</v>
      </c>
      <c r="H1019" s="15">
        <v>-0.03012557</v>
      </c>
      <c r="I1019" s="15">
        <v>0.0166091</v>
      </c>
      <c r="J1019" s="15">
        <v>0.03633272</v>
      </c>
      <c r="K1019" s="15">
        <v>464.29</v>
      </c>
    </row>
    <row r="1020" ht="22.5" customHeight="1">
      <c r="A1020" s="167">
        <v>46078.9528125</v>
      </c>
      <c r="B1020" s="144" t="s">
        <v>562</v>
      </c>
      <c r="C1020" s="15">
        <v>90.09</v>
      </c>
      <c r="D1020" s="15">
        <v>0.37</v>
      </c>
      <c r="E1020" s="146">
        <v>1.175</v>
      </c>
      <c r="F1020" s="15">
        <v>1.175</v>
      </c>
      <c r="G1020" s="15">
        <v>-0.20148893</v>
      </c>
      <c r="H1020" s="15">
        <v>-0.052107</v>
      </c>
      <c r="I1020" s="15">
        <v>0.03263539</v>
      </c>
      <c r="J1020" s="15">
        <v>0.06912352</v>
      </c>
      <c r="K1020" s="15">
        <v>312.7</v>
      </c>
    </row>
    <row r="1021" ht="22.5" customHeight="1">
      <c r="A1021" s="167">
        <v>46078.952835648146</v>
      </c>
      <c r="B1021" s="144" t="s">
        <v>588</v>
      </c>
      <c r="C1021" s="15">
        <v>17.31</v>
      </c>
      <c r="D1021" s="15">
        <v>0.36</v>
      </c>
      <c r="E1021" s="146">
        <v>0.55</v>
      </c>
      <c r="F1021" s="15">
        <v>0.55</v>
      </c>
      <c r="G1021" s="15">
        <v>0.48265703</v>
      </c>
      <c r="H1021" s="15">
        <v>-0.01432059</v>
      </c>
      <c r="I1021" s="15">
        <v>0.2584598</v>
      </c>
      <c r="J1021" s="15">
        <v>0.01737044</v>
      </c>
      <c r="K1021" s="15">
        <v>50.98</v>
      </c>
    </row>
    <row r="1022" ht="22.5" customHeight="1">
      <c r="A1022" s="167">
        <v>46078.9528587963</v>
      </c>
      <c r="B1022" s="144" t="s">
        <v>553</v>
      </c>
      <c r="C1022" s="15">
        <v>51.87</v>
      </c>
      <c r="D1022" s="15">
        <v>0.85</v>
      </c>
      <c r="E1022" s="146">
        <v>0.82</v>
      </c>
      <c r="F1022" s="15">
        <v>0.82</v>
      </c>
      <c r="G1022" s="15">
        <v>-0.13252956</v>
      </c>
      <c r="H1022" s="15">
        <v>-0.05112227</v>
      </c>
      <c r="I1022" s="15">
        <v>0.01956497</v>
      </c>
      <c r="J1022" s="15">
        <v>0.03062457</v>
      </c>
      <c r="K1022" s="15">
        <v>632.5</v>
      </c>
    </row>
    <row r="1023" ht="22.5" customHeight="1">
      <c r="A1023" s="167">
        <v>46078.95287037037</v>
      </c>
      <c r="B1023" s="144" t="s">
        <v>554</v>
      </c>
      <c r="C1023" s="15">
        <v>51.87</v>
      </c>
      <c r="D1023" s="15">
        <v>0.47</v>
      </c>
      <c r="E1023" s="146">
        <v>0.72</v>
      </c>
      <c r="F1023" s="15">
        <v>0.72</v>
      </c>
      <c r="G1023" s="15">
        <v>0.21583564</v>
      </c>
      <c r="H1023" s="15">
        <v>-0.04058313</v>
      </c>
      <c r="I1023" s="15">
        <v>0.04765717</v>
      </c>
      <c r="J1023" s="15">
        <v>0.03702254</v>
      </c>
      <c r="K1023" s="15">
        <v>2.05</v>
      </c>
    </row>
    <row r="1024" ht="22.5" customHeight="1">
      <c r="A1024" s="167">
        <v>46078.952881944446</v>
      </c>
      <c r="B1024" s="144" t="s">
        <v>555</v>
      </c>
      <c r="C1024" s="15">
        <v>51.87</v>
      </c>
      <c r="D1024" s="15">
        <v>0.45</v>
      </c>
      <c r="E1024" s="146">
        <v>0.29</v>
      </c>
      <c r="F1024" s="15">
        <v>0.29</v>
      </c>
      <c r="G1024" s="15">
        <v>0.11118754</v>
      </c>
      <c r="H1024" s="15">
        <v>-0.02464651</v>
      </c>
      <c r="I1024" s="15">
        <v>0.03262071</v>
      </c>
      <c r="J1024" s="15">
        <v>0.02456952</v>
      </c>
      <c r="K1024" s="15">
        <v>0.25</v>
      </c>
    </row>
    <row r="1025" ht="22.5" customHeight="1">
      <c r="A1025" s="167">
        <v>46078.95291666667</v>
      </c>
      <c r="B1025" s="144" t="s">
        <v>595</v>
      </c>
      <c r="C1025" s="15">
        <v>9.88</v>
      </c>
      <c r="D1025" s="15">
        <v>1.07</v>
      </c>
      <c r="E1025" s="146">
        <v>0.43</v>
      </c>
      <c r="F1025" s="15">
        <v>0.43</v>
      </c>
      <c r="G1025" s="15">
        <v>0.28116613</v>
      </c>
      <c r="H1025" s="15">
        <v>-0.01983699</v>
      </c>
      <c r="I1025" s="15">
        <v>0.12723281</v>
      </c>
      <c r="J1025" s="15">
        <v>0.00850707</v>
      </c>
      <c r="K1025" s="15">
        <v>37.63</v>
      </c>
    </row>
    <row r="1026" ht="22.5" customHeight="1">
      <c r="A1026" s="167">
        <v>46078.952939814815</v>
      </c>
      <c r="B1026" s="144" t="s">
        <v>594</v>
      </c>
      <c r="C1026" s="15">
        <v>31.24</v>
      </c>
      <c r="D1026" s="15">
        <v>0.76</v>
      </c>
      <c r="E1026" s="146">
        <v>0.55</v>
      </c>
      <c r="F1026" s="15">
        <v>0.55</v>
      </c>
      <c r="G1026" s="15">
        <v>0.13213152</v>
      </c>
      <c r="H1026" s="15">
        <v>-0.01913777</v>
      </c>
      <c r="I1026" s="15">
        <v>0.02402474</v>
      </c>
      <c r="J1026" s="15">
        <v>0.02428051</v>
      </c>
      <c r="K1026" s="15">
        <v>41.24</v>
      </c>
    </row>
    <row r="1027" ht="22.5" customHeight="1">
      <c r="A1027" s="167">
        <v>46078.95296296296</v>
      </c>
      <c r="B1027" s="144" t="s">
        <v>586</v>
      </c>
      <c r="C1027" s="15">
        <v>46.53</v>
      </c>
      <c r="D1027" s="15">
        <v>0.21</v>
      </c>
      <c r="E1027" s="146">
        <v>0.37</v>
      </c>
      <c r="F1027" s="15">
        <v>0.37</v>
      </c>
      <c r="G1027" s="15">
        <v>0.20921862</v>
      </c>
      <c r="H1027" s="15">
        <v>-0.01157643</v>
      </c>
      <c r="I1027" s="15">
        <v>0.07709753</v>
      </c>
      <c r="J1027" s="15">
        <v>0.05120111</v>
      </c>
      <c r="K1027" s="15">
        <v>33.87</v>
      </c>
    </row>
    <row r="1028" ht="22.5" customHeight="1">
      <c r="A1028" s="167">
        <v>46078.95297453704</v>
      </c>
      <c r="B1028" s="144" t="s">
        <v>542</v>
      </c>
      <c r="C1028" s="15">
        <v>694.69</v>
      </c>
      <c r="D1028" s="15">
        <v>0.18</v>
      </c>
      <c r="E1028" s="146">
        <v>4.75</v>
      </c>
      <c r="F1028" s="15">
        <v>4.75</v>
      </c>
      <c r="G1028" s="15">
        <v>-0.23588336</v>
      </c>
      <c r="H1028" s="15">
        <v>-0.19728898</v>
      </c>
      <c r="I1028" s="15">
        <v>0.00959731</v>
      </c>
      <c r="J1028" s="15">
        <v>0.53657818</v>
      </c>
      <c r="K1028" s="15">
        <v>5111.98</v>
      </c>
    </row>
    <row r="1029" ht="22.5" customHeight="1">
      <c r="A1029" s="167">
        <v>46078.95300925926</v>
      </c>
      <c r="B1029" s="144" t="s">
        <v>569</v>
      </c>
      <c r="C1029" s="15">
        <v>64.81</v>
      </c>
      <c r="D1029" s="15">
        <v>0.34</v>
      </c>
      <c r="E1029" s="146">
        <v>0.75</v>
      </c>
      <c r="F1029" s="15">
        <v>0.75</v>
      </c>
      <c r="G1029" s="15">
        <v>0.20671966</v>
      </c>
      <c r="H1029" s="15">
        <v>-0.03633251</v>
      </c>
      <c r="I1029" s="15">
        <v>0.05107235</v>
      </c>
      <c r="J1029" s="15">
        <v>0.0460155</v>
      </c>
      <c r="K1029" s="15">
        <v>66.86</v>
      </c>
    </row>
    <row r="1030" ht="22.5" customHeight="1">
      <c r="A1030" s="167">
        <v>46078.95303240741</v>
      </c>
      <c r="B1030" s="144" t="s">
        <v>521</v>
      </c>
      <c r="C1030" s="15">
        <v>10.76</v>
      </c>
      <c r="D1030" s="15">
        <v>1.65</v>
      </c>
      <c r="E1030" s="146">
        <v>0.05</v>
      </c>
      <c r="F1030" s="15">
        <v>0.05</v>
      </c>
      <c r="G1030" s="15">
        <v>0.03316357</v>
      </c>
      <c r="H1030" s="15">
        <v>-0.0072142</v>
      </c>
      <c r="I1030" s="15">
        <v>0.01661022</v>
      </c>
      <c r="J1030" s="15">
        <v>0.00176469</v>
      </c>
      <c r="K1030" s="15">
        <v>5.46</v>
      </c>
    </row>
    <row r="1031" ht="22.5" customHeight="1">
      <c r="A1031" s="167">
        <v>46078.95306712963</v>
      </c>
      <c r="B1031" s="144" t="s">
        <v>565</v>
      </c>
      <c r="C1031" s="15">
        <v>242.2</v>
      </c>
      <c r="D1031" s="15">
        <v>0.23</v>
      </c>
      <c r="E1031" s="146">
        <v>0.75</v>
      </c>
      <c r="F1031" s="15">
        <v>0.75</v>
      </c>
      <c r="G1031" s="15">
        <v>0.10721768</v>
      </c>
      <c r="H1031" s="15">
        <v>-0.05886647</v>
      </c>
      <c r="I1031" s="15">
        <v>0.01326256</v>
      </c>
      <c r="J1031" s="15">
        <v>0.11318623</v>
      </c>
      <c r="K1031" s="15">
        <v>1463.75</v>
      </c>
    </row>
    <row r="1032" ht="22.5" customHeight="1">
      <c r="A1032" s="167">
        <v>46078.9530787037</v>
      </c>
      <c r="B1032" s="144" t="s">
        <v>566</v>
      </c>
      <c r="C1032" s="15">
        <v>242.2</v>
      </c>
      <c r="D1032" s="15">
        <v>0.25</v>
      </c>
      <c r="E1032" s="146">
        <v>0.35</v>
      </c>
      <c r="F1032" s="15">
        <v>0.35</v>
      </c>
      <c r="G1032" s="15">
        <v>0.03970434</v>
      </c>
      <c r="H1032" s="15">
        <v>-0.02929962</v>
      </c>
      <c r="I1032" s="15">
        <v>0.00569629</v>
      </c>
      <c r="J1032" s="15">
        <v>0.06012226</v>
      </c>
      <c r="K1032" s="15">
        <v>17.8</v>
      </c>
    </row>
    <row r="1033" ht="22.5" customHeight="1">
      <c r="A1033" s="167">
        <v>46078.95309027778</v>
      </c>
      <c r="B1033" s="144" t="s">
        <v>590</v>
      </c>
      <c r="C1033" s="15">
        <v>473.42</v>
      </c>
      <c r="D1033" s="15">
        <v>0.41</v>
      </c>
      <c r="E1033" s="146">
        <v>0.93</v>
      </c>
      <c r="F1033" s="15">
        <v>0.93</v>
      </c>
      <c r="G1033" s="15">
        <v>0.04062778</v>
      </c>
      <c r="H1033" s="15">
        <v>-0.09420296</v>
      </c>
      <c r="I1033" s="15">
        <v>0.00181631</v>
      </c>
      <c r="J1033" s="15">
        <v>0.12107804</v>
      </c>
      <c r="K1033" s="15">
        <v>90.21</v>
      </c>
    </row>
    <row r="1034" ht="22.5" customHeight="1">
      <c r="A1034" s="167">
        <v>46078.95311342592</v>
      </c>
      <c r="B1034" s="144" t="s">
        <v>519</v>
      </c>
      <c r="C1034" s="15">
        <v>80.04</v>
      </c>
      <c r="D1034" s="15">
        <v>0.78</v>
      </c>
      <c r="E1034" s="146">
        <v>4.65</v>
      </c>
      <c r="F1034" s="15">
        <v>4.65</v>
      </c>
      <c r="G1034" s="15">
        <v>-0.36979237</v>
      </c>
      <c r="H1034" s="15">
        <v>-0.12711689</v>
      </c>
      <c r="I1034" s="15">
        <v>0.02415254</v>
      </c>
      <c r="J1034" s="15">
        <v>0.07479144</v>
      </c>
      <c r="K1034" s="15">
        <v>1178.78</v>
      </c>
    </row>
    <row r="1035" ht="22.5" customHeight="1">
      <c r="A1035" s="167">
        <v>46078.953125</v>
      </c>
      <c r="B1035" s="144" t="s">
        <v>558</v>
      </c>
      <c r="C1035" s="15">
        <v>264.58</v>
      </c>
      <c r="D1035" s="15">
        <v>0.2</v>
      </c>
      <c r="E1035" s="146">
        <v>2.22</v>
      </c>
      <c r="F1035" s="15">
        <v>2.22</v>
      </c>
      <c r="G1035" s="15">
        <v>0.28292936</v>
      </c>
      <c r="H1035" s="15">
        <v>-0.10746917</v>
      </c>
      <c r="I1035" s="15">
        <v>0.02627097</v>
      </c>
      <c r="J1035" s="15">
        <v>0.21893586</v>
      </c>
      <c r="K1035" s="15">
        <v>16.95</v>
      </c>
    </row>
    <row r="1036" ht="22.5" customHeight="1">
      <c r="A1036" s="167">
        <v>46078.95315972222</v>
      </c>
      <c r="B1036" s="144" t="s">
        <v>591</v>
      </c>
      <c r="C1036" s="15">
        <v>61.3</v>
      </c>
      <c r="D1036" s="15">
        <v>0.26</v>
      </c>
      <c r="E1036" s="146">
        <v>0.22</v>
      </c>
      <c r="F1036" s="15">
        <v>0.22</v>
      </c>
      <c r="G1036" s="15">
        <v>0.08566159</v>
      </c>
      <c r="H1036" s="15">
        <v>-0.0096685</v>
      </c>
      <c r="I1036" s="15">
        <v>0.02730742</v>
      </c>
      <c r="J1036" s="15">
        <v>0.03436064</v>
      </c>
      <c r="K1036" s="15">
        <v>15.92</v>
      </c>
    </row>
    <row r="1037" ht="22.5" customHeight="1">
      <c r="A1037" s="167">
        <v>46078.95376157408</v>
      </c>
      <c r="B1037" s="144" t="s">
        <v>567</v>
      </c>
      <c r="C1037" s="15">
        <v>63.06</v>
      </c>
      <c r="D1037" s="15">
        <v>0.33</v>
      </c>
      <c r="E1037" s="146">
        <v>0.0</v>
      </c>
      <c r="F1037" s="15">
        <v>0.0</v>
      </c>
      <c r="G1037" s="15">
        <v>0.00974356</v>
      </c>
      <c r="H1037" s="15">
        <v>-0.00244321</v>
      </c>
      <c r="I1037" s="15">
        <v>0.00529951</v>
      </c>
      <c r="J1037" s="15">
        <v>0.00521109</v>
      </c>
      <c r="K1037" s="15">
        <v>2.54</v>
      </c>
    </row>
    <row r="1038" ht="22.5" customHeight="1">
      <c r="A1038" s="167">
        <v>46078.953784722224</v>
      </c>
      <c r="B1038" s="144" t="s">
        <v>518</v>
      </c>
      <c r="C1038" s="15">
        <v>11.19</v>
      </c>
      <c r="D1038" s="15">
        <v>0.25</v>
      </c>
      <c r="E1038" s="146">
        <v>0.05</v>
      </c>
      <c r="F1038" s="15">
        <v>0.05</v>
      </c>
      <c r="G1038" s="15">
        <v>0.15339196</v>
      </c>
      <c r="H1038" s="15">
        <v>-0.00383697</v>
      </c>
      <c r="I1038" s="15">
        <v>0.3350267</v>
      </c>
      <c r="J1038" s="15">
        <v>0.0065876</v>
      </c>
      <c r="K1038" s="15">
        <v>6.39</v>
      </c>
    </row>
    <row r="1039" ht="22.5" customHeight="1">
      <c r="A1039" s="167">
        <v>46078.95439814815</v>
      </c>
      <c r="B1039" s="144" t="s">
        <v>570</v>
      </c>
      <c r="C1039" s="15">
        <v>50.74</v>
      </c>
      <c r="D1039" s="15">
        <v>0.42</v>
      </c>
      <c r="E1039" s="146">
        <v>0.0</v>
      </c>
      <c r="F1039" s="15">
        <v>0.0</v>
      </c>
      <c r="G1039" s="15">
        <v>0.03881951</v>
      </c>
      <c r="H1039" s="15">
        <v>-0.00740101</v>
      </c>
      <c r="I1039" s="15">
        <v>0.01832315</v>
      </c>
      <c r="J1039" s="15">
        <v>0.01145952</v>
      </c>
      <c r="K1039" s="15">
        <v>4.83</v>
      </c>
    </row>
    <row r="1040" ht="22.5" customHeight="1">
      <c r="A1040" s="167">
        <v>46078.955</v>
      </c>
      <c r="B1040" s="144" t="s">
        <v>550</v>
      </c>
      <c r="C1040" s="15">
        <v>8.76</v>
      </c>
      <c r="D1040" s="15">
        <v>0.4</v>
      </c>
      <c r="E1040" s="146">
        <v>0.0</v>
      </c>
      <c r="F1040" s="15">
        <v>0.0</v>
      </c>
      <c r="G1040" s="15">
        <v>0.12035187</v>
      </c>
      <c r="H1040" s="15">
        <v>-0.00331529</v>
      </c>
      <c r="I1040" s="15">
        <v>0.24768726</v>
      </c>
      <c r="J1040" s="15">
        <v>0.00428235</v>
      </c>
      <c r="K1040" s="15">
        <v>2.32</v>
      </c>
    </row>
    <row r="1041" ht="22.5" customHeight="1">
      <c r="A1041" s="167">
        <v>46078.955034722225</v>
      </c>
      <c r="B1041" s="144" t="s">
        <v>568</v>
      </c>
      <c r="C1041" s="15">
        <v>41.54</v>
      </c>
      <c r="D1041" s="15">
        <v>0.32</v>
      </c>
      <c r="E1041" s="146">
        <v>0.7</v>
      </c>
      <c r="F1041" s="15">
        <v>0.7</v>
      </c>
      <c r="G1041" s="15">
        <v>-0.29762487</v>
      </c>
      <c r="H1041" s="15">
        <v>-0.02414115</v>
      </c>
      <c r="I1041" s="15">
        <v>0.10416896</v>
      </c>
      <c r="J1041" s="15">
        <v>0.03552589</v>
      </c>
      <c r="K1041" s="15">
        <v>52.02</v>
      </c>
    </row>
    <row r="1042" ht="22.5" customHeight="1">
      <c r="A1042" s="167">
        <v>46080.94913194444</v>
      </c>
      <c r="B1042" s="144" t="s">
        <v>543</v>
      </c>
      <c r="C1042" s="15">
        <v>687.8</v>
      </c>
      <c r="D1042" s="15">
        <v>0.24</v>
      </c>
      <c r="E1042" s="146">
        <v>3.13</v>
      </c>
      <c r="F1042" s="15">
        <v>3.13</v>
      </c>
      <c r="G1042" s="15">
        <v>-0.15482707</v>
      </c>
      <c r="H1042" s="15">
        <v>-0.20990924</v>
      </c>
      <c r="I1042" s="15">
        <v>0.0061093</v>
      </c>
      <c r="J1042" s="15">
        <v>0.39109565</v>
      </c>
      <c r="K1042" s="15">
        <v>4736.35</v>
      </c>
    </row>
    <row r="1043" ht="22.5" customHeight="1">
      <c r="A1043" s="167">
        <v>46080.94914351852</v>
      </c>
      <c r="B1043" s="144" t="s">
        <v>544</v>
      </c>
      <c r="C1043" s="15">
        <v>687.8</v>
      </c>
      <c r="D1043" s="15">
        <v>0.2</v>
      </c>
      <c r="E1043" s="146">
        <v>5.7</v>
      </c>
      <c r="F1043" s="15">
        <v>5.7</v>
      </c>
      <c r="G1043" s="15">
        <v>-0.28641227</v>
      </c>
      <c r="H1043" s="15">
        <v>-0.24464072</v>
      </c>
      <c r="I1043" s="15">
        <v>0.01038128</v>
      </c>
      <c r="J1043" s="15">
        <v>0.55893757</v>
      </c>
      <c r="K1043" s="15">
        <v>4886.43</v>
      </c>
    </row>
    <row r="1044" ht="22.5" customHeight="1">
      <c r="A1044" s="167">
        <v>46080.94917824074</v>
      </c>
      <c r="B1044" s="144" t="s">
        <v>556</v>
      </c>
      <c r="C1044" s="15">
        <v>261.41</v>
      </c>
      <c r="D1044" s="15">
        <v>0.21</v>
      </c>
      <c r="E1044" s="146">
        <v>2.15</v>
      </c>
      <c r="F1044" s="15">
        <v>2.15</v>
      </c>
      <c r="G1044" s="15">
        <v>0.26391381</v>
      </c>
      <c r="H1044" s="15">
        <v>-0.11277096</v>
      </c>
      <c r="I1044" s="15">
        <v>0.02537404</v>
      </c>
      <c r="J1044" s="15">
        <v>0.20853888</v>
      </c>
      <c r="K1044" s="15">
        <v>14.44</v>
      </c>
    </row>
    <row r="1045" ht="22.5" customHeight="1">
      <c r="A1045" s="167">
        <v>46080.94918981481</v>
      </c>
      <c r="B1045" s="144" t="s">
        <v>557</v>
      </c>
      <c r="C1045" s="15">
        <v>261.41</v>
      </c>
      <c r="D1045" s="15">
        <v>0.32</v>
      </c>
      <c r="E1045" s="146">
        <v>1.33</v>
      </c>
      <c r="F1045" s="15">
        <v>1.33</v>
      </c>
      <c r="G1045" s="15">
        <v>-0.12928682</v>
      </c>
      <c r="H1045" s="15">
        <v>-0.09571576</v>
      </c>
      <c r="I1045" s="15">
        <v>0.01074324</v>
      </c>
      <c r="J1045" s="15">
        <v>0.12646166</v>
      </c>
      <c r="K1045" s="15">
        <v>1737.53</v>
      </c>
    </row>
    <row r="1046" ht="22.5" customHeight="1">
      <c r="A1046" s="167">
        <v>46080.949212962965</v>
      </c>
      <c r="B1046" s="144" t="s">
        <v>515</v>
      </c>
      <c r="C1046" s="15">
        <v>16.63</v>
      </c>
      <c r="D1046" s="15">
        <v>0.39</v>
      </c>
      <c r="E1046" s="146">
        <v>0.47</v>
      </c>
      <c r="F1046" s="15">
        <v>0.47</v>
      </c>
      <c r="G1046" s="15">
        <v>0.43417705</v>
      </c>
      <c r="H1046" s="15">
        <v>-0.01553256</v>
      </c>
      <c r="I1046" s="15">
        <v>0.25219422</v>
      </c>
      <c r="J1046" s="15">
        <v>0.01543636</v>
      </c>
      <c r="K1046" s="15">
        <v>39.2</v>
      </c>
    </row>
    <row r="1047" ht="22.5" customHeight="1">
      <c r="A1047" s="167">
        <v>46080.94980324074</v>
      </c>
      <c r="B1047" s="144" t="s">
        <v>517</v>
      </c>
      <c r="C1047" s="15">
        <v>16.63</v>
      </c>
      <c r="D1047" s="15">
        <v>0.59</v>
      </c>
      <c r="E1047" s="146">
        <v>0.0</v>
      </c>
      <c r="F1047" s="15">
        <v>0.0</v>
      </c>
      <c r="G1047" s="15">
        <v>-0.00910382</v>
      </c>
      <c r="H1047" s="15">
        <v>-0.00123341</v>
      </c>
      <c r="I1047" s="15">
        <v>0.01024148</v>
      </c>
      <c r="J1047" s="15">
        <v>9.2349E-4</v>
      </c>
      <c r="K1047" s="15">
        <v>0.62</v>
      </c>
    </row>
    <row r="1048" ht="22.5" customHeight="1">
      <c r="A1048" s="167">
        <v>46080.949837962966</v>
      </c>
      <c r="B1048" s="144" t="s">
        <v>561</v>
      </c>
      <c r="C1048" s="15">
        <v>28.01</v>
      </c>
      <c r="D1048" s="15">
        <v>0.26</v>
      </c>
      <c r="E1048" s="146">
        <v>0.31</v>
      </c>
      <c r="F1048" s="15">
        <v>0.31</v>
      </c>
      <c r="G1048" s="15">
        <v>-0.25688828</v>
      </c>
      <c r="H1048" s="15">
        <v>-0.01266649</v>
      </c>
      <c r="I1048" s="15">
        <v>0.18848382</v>
      </c>
      <c r="J1048" s="15">
        <v>0.02272859</v>
      </c>
      <c r="K1048" s="15">
        <v>22.33</v>
      </c>
    </row>
    <row r="1049" ht="22.5" customHeight="1">
      <c r="A1049" s="167">
        <v>46080.94986111111</v>
      </c>
      <c r="B1049" s="144" t="s">
        <v>573</v>
      </c>
      <c r="C1049" s="15">
        <v>374.58</v>
      </c>
      <c r="D1049" s="15">
        <v>0.51</v>
      </c>
      <c r="E1049" s="146">
        <v>3.29</v>
      </c>
      <c r="F1049" s="15">
        <v>3.29</v>
      </c>
      <c r="G1049" s="15">
        <v>-0.1352332</v>
      </c>
      <c r="H1049" s="15">
        <v>-0.23159461</v>
      </c>
      <c r="I1049" s="15">
        <v>0.0048111</v>
      </c>
      <c r="J1049" s="15">
        <v>0.18049743</v>
      </c>
      <c r="K1049" s="15">
        <v>2859.56</v>
      </c>
    </row>
    <row r="1050" ht="22.5" customHeight="1">
      <c r="A1050" s="167">
        <v>46080.949895833335</v>
      </c>
      <c r="B1050" s="144" t="s">
        <v>578</v>
      </c>
      <c r="C1050" s="15">
        <v>81.56</v>
      </c>
      <c r="D1050" s="15">
        <v>0.18</v>
      </c>
      <c r="E1050" s="146">
        <v>0.25</v>
      </c>
      <c r="F1050" s="15">
        <v>0.25</v>
      </c>
      <c r="G1050" s="15">
        <v>0.15593206</v>
      </c>
      <c r="H1050" s="15">
        <v>-0.0220653</v>
      </c>
      <c r="I1050" s="15">
        <v>0.07291154</v>
      </c>
      <c r="J1050" s="15">
        <v>0.04728598</v>
      </c>
      <c r="K1050" s="15">
        <v>19.59</v>
      </c>
    </row>
    <row r="1051" ht="22.5" customHeight="1">
      <c r="A1051" s="167">
        <v>46080.94991898148</v>
      </c>
      <c r="B1051" s="144" t="s">
        <v>592</v>
      </c>
      <c r="C1051" s="15">
        <v>96.24</v>
      </c>
      <c r="D1051" s="15">
        <v>0.42</v>
      </c>
      <c r="E1051" s="146">
        <v>7.89</v>
      </c>
      <c r="F1051" s="15">
        <v>1.65</v>
      </c>
      <c r="G1051" s="15">
        <v>0.77008623</v>
      </c>
      <c r="H1051" s="15">
        <v>-0.07832675</v>
      </c>
      <c r="I1051" s="15">
        <v>0.03112837</v>
      </c>
      <c r="J1051" s="15">
        <v>0.06857465</v>
      </c>
      <c r="K1051" s="15">
        <v>908.38</v>
      </c>
    </row>
    <row r="1052" ht="22.5" customHeight="1">
      <c r="A1052" s="167">
        <v>46080.94993055556</v>
      </c>
      <c r="B1052" s="144" t="s">
        <v>593</v>
      </c>
      <c r="C1052" s="15">
        <v>96.24</v>
      </c>
      <c r="D1052" s="15">
        <v>0.41</v>
      </c>
      <c r="E1052" s="146">
        <v>4.6</v>
      </c>
      <c r="F1052" s="15">
        <v>3.36</v>
      </c>
      <c r="G1052" s="15">
        <v>0.58372071</v>
      </c>
      <c r="H1052" s="15">
        <v>-0.09337086</v>
      </c>
      <c r="I1052" s="15">
        <v>0.04169958</v>
      </c>
      <c r="J1052" s="15">
        <v>0.09061033</v>
      </c>
      <c r="K1052" s="15">
        <v>391.49</v>
      </c>
    </row>
    <row r="1053" ht="22.5" customHeight="1">
      <c r="A1053" s="167">
        <v>46080.949953703705</v>
      </c>
      <c r="B1053" s="144" t="s">
        <v>577</v>
      </c>
      <c r="C1053" s="15">
        <v>75.42</v>
      </c>
      <c r="D1053" s="15">
        <v>0.51</v>
      </c>
      <c r="E1053" s="146">
        <v>0.08</v>
      </c>
      <c r="F1053" s="15">
        <v>0.08</v>
      </c>
      <c r="G1053" s="15">
        <v>-0.0246972</v>
      </c>
      <c r="H1053" s="15">
        <v>-0.012411</v>
      </c>
      <c r="I1053" s="15">
        <v>0.00634362</v>
      </c>
      <c r="J1053" s="15">
        <v>0.01009456</v>
      </c>
      <c r="K1053" s="15">
        <v>5.36</v>
      </c>
    </row>
    <row r="1054" ht="22.5" customHeight="1">
      <c r="A1054" s="167">
        <v>46080.94998842593</v>
      </c>
      <c r="B1054" s="144" t="s">
        <v>583</v>
      </c>
      <c r="C1054" s="15">
        <v>133.82</v>
      </c>
      <c r="D1054" s="15">
        <v>0.2</v>
      </c>
      <c r="E1054" s="146">
        <v>0.7</v>
      </c>
      <c r="F1054" s="15">
        <v>0.7</v>
      </c>
      <c r="G1054" s="15">
        <v>0.19108894</v>
      </c>
      <c r="H1054" s="15">
        <v>-0.04444102</v>
      </c>
      <c r="I1054" s="15">
        <v>0.04264996</v>
      </c>
      <c r="J1054" s="15">
        <v>0.09094319</v>
      </c>
      <c r="K1054" s="15">
        <v>50.82</v>
      </c>
    </row>
    <row r="1055" ht="22.5" customHeight="1">
      <c r="A1055" s="167">
        <v>46080.950011574074</v>
      </c>
      <c r="B1055" s="144" t="s">
        <v>511</v>
      </c>
      <c r="C1055" s="15">
        <v>36.0</v>
      </c>
      <c r="D1055" s="15">
        <v>0.44</v>
      </c>
      <c r="E1055" s="146">
        <v>0.32</v>
      </c>
      <c r="F1055" s="15">
        <v>0.32</v>
      </c>
      <c r="G1055" s="15">
        <v>0.16621811</v>
      </c>
      <c r="H1055" s="15">
        <v>-0.02326138</v>
      </c>
      <c r="I1055" s="15">
        <v>0.06607636</v>
      </c>
      <c r="J1055" s="15">
        <v>0.02015202</v>
      </c>
      <c r="K1055" s="15">
        <v>24.43</v>
      </c>
    </row>
    <row r="1056" ht="22.5" customHeight="1">
      <c r="A1056" s="167">
        <v>46080.9500462963</v>
      </c>
      <c r="B1056" s="144" t="s">
        <v>574</v>
      </c>
      <c r="C1056" s="15">
        <v>74.72</v>
      </c>
      <c r="D1056" s="15">
        <v>0.27</v>
      </c>
      <c r="E1056" s="146">
        <v>0.38</v>
      </c>
      <c r="F1056" s="15">
        <v>0.38</v>
      </c>
      <c r="G1056" s="15">
        <v>0.1443652</v>
      </c>
      <c r="H1056" s="15">
        <v>-0.02817744</v>
      </c>
      <c r="I1056" s="15">
        <v>0.04845685</v>
      </c>
      <c r="J1056" s="15">
        <v>0.04229211</v>
      </c>
      <c r="K1056" s="15">
        <v>25.06</v>
      </c>
    </row>
    <row r="1057" ht="22.5" customHeight="1">
      <c r="A1057" s="167">
        <v>46080.95006944444</v>
      </c>
      <c r="B1057" s="144" t="s">
        <v>523</v>
      </c>
      <c r="C1057" s="15">
        <v>6138.41</v>
      </c>
      <c r="D1057" s="15">
        <v>0.13</v>
      </c>
      <c r="E1057" s="146">
        <v>24.8</v>
      </c>
      <c r="F1057" s="15">
        <v>24.8</v>
      </c>
      <c r="G1057" s="15">
        <v>0.21401229</v>
      </c>
      <c r="H1057" s="15">
        <v>-1.4079504</v>
      </c>
      <c r="I1057" s="15">
        <v>0.00153206</v>
      </c>
      <c r="J1057" s="15">
        <v>4.2444358</v>
      </c>
      <c r="K1057" s="15">
        <v>9.98</v>
      </c>
    </row>
    <row r="1058" ht="22.5" customHeight="1">
      <c r="A1058" s="167">
        <v>46080.950104166666</v>
      </c>
      <c r="B1058" s="144" t="s">
        <v>576</v>
      </c>
      <c r="C1058" s="15">
        <v>50.14</v>
      </c>
      <c r="D1058" s="15">
        <v>0.21</v>
      </c>
      <c r="E1058" s="146">
        <v>0.27</v>
      </c>
      <c r="F1058" s="15">
        <v>0.27</v>
      </c>
      <c r="G1058" s="15">
        <v>0.19649424</v>
      </c>
      <c r="H1058" s="15">
        <v>-0.01772386</v>
      </c>
      <c r="I1058" s="15">
        <v>0.11026065</v>
      </c>
      <c r="J1058" s="15">
        <v>0.03398971</v>
      </c>
      <c r="K1058" s="15">
        <v>21.61</v>
      </c>
    </row>
    <row r="1059" ht="22.5" customHeight="1">
      <c r="A1059" s="167">
        <v>46080.95012731481</v>
      </c>
      <c r="B1059" s="144" t="s">
        <v>589</v>
      </c>
      <c r="C1059" s="15">
        <v>483.75</v>
      </c>
      <c r="D1059" s="15">
        <v>0.34</v>
      </c>
      <c r="E1059" s="146">
        <v>2.07</v>
      </c>
      <c r="F1059" s="15">
        <v>2.07</v>
      </c>
      <c r="G1059" s="15">
        <v>-0.10848642</v>
      </c>
      <c r="H1059" s="15">
        <v>-0.16796501</v>
      </c>
      <c r="I1059" s="15">
        <v>0.00481247</v>
      </c>
      <c r="J1059" s="15">
        <v>0.23291447</v>
      </c>
      <c r="K1059" s="15">
        <v>522.52</v>
      </c>
    </row>
    <row r="1060" ht="22.5" customHeight="1">
      <c r="A1060" s="167">
        <v>46080.95013888889</v>
      </c>
      <c r="B1060" s="144" t="s">
        <v>524</v>
      </c>
      <c r="C1060" s="15">
        <v>6138.41</v>
      </c>
      <c r="D1060" s="15">
        <v>0.14</v>
      </c>
      <c r="E1060" s="146">
        <v>32.1</v>
      </c>
      <c r="F1060" s="15">
        <v>32.1</v>
      </c>
      <c r="G1060" s="15">
        <v>0.26379953</v>
      </c>
      <c r="H1060" s="15">
        <v>-1.65960429</v>
      </c>
      <c r="I1060" s="15">
        <v>0.00163764</v>
      </c>
      <c r="J1060" s="15">
        <v>4.75972919</v>
      </c>
      <c r="K1060" s="15">
        <v>9.06</v>
      </c>
    </row>
    <row r="1061" ht="22.5" customHeight="1">
      <c r="A1061" s="167">
        <v>46080.950150462966</v>
      </c>
      <c r="B1061" s="144" t="s">
        <v>525</v>
      </c>
      <c r="C1061" s="15">
        <v>6138.41</v>
      </c>
      <c r="D1061" s="15">
        <v>0.27</v>
      </c>
      <c r="E1061" s="146">
        <v>13.8</v>
      </c>
      <c r="F1061" s="15">
        <v>13.8</v>
      </c>
      <c r="G1061" s="15">
        <v>-0.0779531</v>
      </c>
      <c r="H1061" s="15">
        <v>-1.36309528</v>
      </c>
      <c r="I1061" s="15">
        <v>3.7312E-4</v>
      </c>
      <c r="J1061" s="15">
        <v>2.1232575</v>
      </c>
      <c r="K1061" s="15">
        <v>3714.59</v>
      </c>
    </row>
    <row r="1062" ht="22.5" customHeight="1">
      <c r="A1062" s="167">
        <v>46080.95017361111</v>
      </c>
      <c r="B1062" s="144" t="s">
        <v>599</v>
      </c>
      <c r="C1062" s="15">
        <v>9.0</v>
      </c>
      <c r="D1062" s="15">
        <v>0.81</v>
      </c>
      <c r="E1062" s="146">
        <v>0.35</v>
      </c>
      <c r="F1062" s="15">
        <v>0.35</v>
      </c>
      <c r="G1062" s="15">
        <v>0.33400962</v>
      </c>
      <c r="H1062" s="15">
        <v>-0.01552644</v>
      </c>
      <c r="I1062" s="15">
        <v>0.20875235</v>
      </c>
      <c r="J1062" s="15">
        <v>0.00802271</v>
      </c>
      <c r="K1062" s="15">
        <v>30.36</v>
      </c>
    </row>
    <row r="1063" ht="22.5" customHeight="1">
      <c r="A1063" s="167">
        <v>46080.950208333335</v>
      </c>
      <c r="B1063" s="144" t="s">
        <v>532</v>
      </c>
      <c r="C1063" s="15">
        <v>91.95</v>
      </c>
      <c r="D1063" s="15">
        <v>0.41</v>
      </c>
      <c r="E1063" s="146">
        <v>0.3</v>
      </c>
      <c r="F1063" s="15">
        <v>0.3</v>
      </c>
      <c r="G1063" s="15">
        <v>-0.05787612</v>
      </c>
      <c r="H1063" s="15">
        <v>-0.02376436</v>
      </c>
      <c r="I1063" s="15">
        <v>0.01270674</v>
      </c>
      <c r="J1063" s="15">
        <v>0.02632775</v>
      </c>
      <c r="K1063" s="15">
        <v>381.37</v>
      </c>
    </row>
    <row r="1064" ht="22.5" customHeight="1">
      <c r="A1064" s="167">
        <v>46080.950219907405</v>
      </c>
      <c r="B1064" s="144" t="s">
        <v>562</v>
      </c>
      <c r="C1064" s="15">
        <v>91.95</v>
      </c>
      <c r="D1064" s="15">
        <v>0.39</v>
      </c>
      <c r="E1064" s="146">
        <v>0.85</v>
      </c>
      <c r="F1064" s="15">
        <v>0.85</v>
      </c>
      <c r="G1064" s="15">
        <v>-0.18048642</v>
      </c>
      <c r="H1064" s="15">
        <v>-0.05196862</v>
      </c>
      <c r="I1064" s="15">
        <v>0.03102677</v>
      </c>
      <c r="J1064" s="15">
        <v>0.05529831</v>
      </c>
      <c r="K1064" s="15">
        <v>355.97</v>
      </c>
    </row>
    <row r="1065" ht="22.5" customHeight="1">
      <c r="A1065" s="167">
        <v>46080.95024305556</v>
      </c>
      <c r="B1065" s="144" t="s">
        <v>588</v>
      </c>
      <c r="C1065" s="15">
        <v>17.11</v>
      </c>
      <c r="D1065" s="15">
        <v>0.44</v>
      </c>
      <c r="E1065" s="146">
        <v>0.45</v>
      </c>
      <c r="F1065" s="15">
        <v>0.45</v>
      </c>
      <c r="G1065" s="15">
        <v>0.44366215</v>
      </c>
      <c r="H1065" s="15">
        <v>-0.01779114</v>
      </c>
      <c r="I1065" s="15">
        <v>0.22155529</v>
      </c>
      <c r="J1065" s="15">
        <v>0.01586904</v>
      </c>
      <c r="K1065" s="15">
        <v>39.15</v>
      </c>
    </row>
    <row r="1066" ht="22.5" customHeight="1">
      <c r="A1066" s="167">
        <v>46080.950266203705</v>
      </c>
      <c r="B1066" s="144" t="s">
        <v>553</v>
      </c>
      <c r="C1066" s="15">
        <v>49.52</v>
      </c>
      <c r="D1066" s="15">
        <v>0.84</v>
      </c>
      <c r="E1066" s="146">
        <v>1.04</v>
      </c>
      <c r="F1066" s="15">
        <v>1.04</v>
      </c>
      <c r="G1066" s="15">
        <v>-0.17604599</v>
      </c>
      <c r="H1066" s="15">
        <v>-0.06126981</v>
      </c>
      <c r="I1066" s="15">
        <v>0.02601203</v>
      </c>
      <c r="J1066" s="15">
        <v>0.02872739</v>
      </c>
      <c r="K1066" s="15">
        <v>613.37</v>
      </c>
    </row>
    <row r="1067" ht="22.5" customHeight="1">
      <c r="A1067" s="167">
        <v>46080.95028935185</v>
      </c>
      <c r="B1067" s="144" t="s">
        <v>554</v>
      </c>
      <c r="C1067" s="15">
        <v>49.52</v>
      </c>
      <c r="D1067" s="15">
        <v>0.45</v>
      </c>
      <c r="E1067" s="146">
        <v>0.23</v>
      </c>
      <c r="F1067" s="15">
        <v>0.23</v>
      </c>
      <c r="G1067" s="15">
        <v>0.09301423</v>
      </c>
      <c r="H1067" s="15">
        <v>-0.02168669</v>
      </c>
      <c r="I1067" s="15">
        <v>0.03148061</v>
      </c>
      <c r="J1067" s="15">
        <v>0.02247631</v>
      </c>
      <c r="K1067" s="15">
        <v>1.2</v>
      </c>
    </row>
    <row r="1068" ht="22.5" customHeight="1">
      <c r="A1068" s="167">
        <v>46080.95030092593</v>
      </c>
      <c r="B1068" s="144" t="s">
        <v>555</v>
      </c>
      <c r="C1068" s="15">
        <v>49.52</v>
      </c>
      <c r="D1068" s="15">
        <v>0.45</v>
      </c>
      <c r="E1068" s="146">
        <v>0.08</v>
      </c>
      <c r="F1068" s="15">
        <v>0.08</v>
      </c>
      <c r="G1068" s="15">
        <v>0.04399028</v>
      </c>
      <c r="H1068" s="15">
        <v>-0.01215094</v>
      </c>
      <c r="I1068" s="15">
        <v>0.01741997</v>
      </c>
      <c r="J1068" s="15">
        <v>0.01263811</v>
      </c>
      <c r="K1068" s="15">
        <v>0.42</v>
      </c>
    </row>
    <row r="1069" ht="22.5" customHeight="1">
      <c r="A1069" s="167">
        <v>46080.950324074074</v>
      </c>
      <c r="B1069" s="144" t="s">
        <v>595</v>
      </c>
      <c r="C1069" s="15">
        <v>9.0</v>
      </c>
      <c r="D1069" s="15">
        <v>1.07</v>
      </c>
      <c r="E1069" s="146">
        <v>0.17</v>
      </c>
      <c r="F1069" s="15">
        <v>0.17</v>
      </c>
      <c r="G1069" s="15">
        <v>0.16192501</v>
      </c>
      <c r="H1069" s="15">
        <v>-0.01362438</v>
      </c>
      <c r="I1069" s="15">
        <v>0.10679589</v>
      </c>
      <c r="J1069" s="15">
        <v>0.00543389</v>
      </c>
      <c r="K1069" s="15">
        <v>13.29</v>
      </c>
    </row>
    <row r="1070" ht="22.5" customHeight="1">
      <c r="A1070" s="167">
        <v>46080.95034722222</v>
      </c>
      <c r="B1070" s="144" t="s">
        <v>594</v>
      </c>
      <c r="C1070" s="15">
        <v>29.39</v>
      </c>
      <c r="D1070" s="15">
        <v>0.78</v>
      </c>
      <c r="E1070" s="146">
        <v>0.32</v>
      </c>
      <c r="F1070" s="15">
        <v>0.32</v>
      </c>
      <c r="G1070" s="15">
        <v>0.09233522</v>
      </c>
      <c r="H1070" s="15">
        <v>-0.01451904</v>
      </c>
      <c r="I1070" s="15">
        <v>0.01964366</v>
      </c>
      <c r="J1070" s="15">
        <v>0.01745</v>
      </c>
      <c r="K1070" s="15">
        <v>24.66</v>
      </c>
    </row>
    <row r="1071" ht="22.5" customHeight="1">
      <c r="A1071" s="167">
        <v>46080.95038194444</v>
      </c>
      <c r="B1071" s="144" t="s">
        <v>586</v>
      </c>
      <c r="C1071" s="15">
        <v>47.3</v>
      </c>
      <c r="D1071" s="15">
        <v>0.2</v>
      </c>
      <c r="E1071" s="146">
        <v>0.45</v>
      </c>
      <c r="F1071" s="15">
        <v>0.45</v>
      </c>
      <c r="G1071" s="15">
        <v>0.25338356</v>
      </c>
      <c r="H1071" s="15">
        <v>-0.01250915</v>
      </c>
      <c r="I1071" s="15">
        <v>0.09368129</v>
      </c>
      <c r="J1071" s="15">
        <v>0.05842846</v>
      </c>
      <c r="K1071" s="15">
        <v>45.33</v>
      </c>
    </row>
    <row r="1072" ht="22.5" customHeight="1">
      <c r="A1072" s="167">
        <v>46080.95040509259</v>
      </c>
      <c r="B1072" s="144" t="s">
        <v>600</v>
      </c>
      <c r="C1072" s="15">
        <v>14.68</v>
      </c>
      <c r="D1072" s="15">
        <v>0.54</v>
      </c>
      <c r="E1072" s="146">
        <v>0.27</v>
      </c>
      <c r="F1072" s="15">
        <v>0.27</v>
      </c>
      <c r="G1072" s="15">
        <v>0.20421201</v>
      </c>
      <c r="H1072" s="15">
        <v>-0.00862062</v>
      </c>
      <c r="I1072" s="15">
        <v>0.10011869</v>
      </c>
      <c r="J1072" s="15">
        <v>0.0158334</v>
      </c>
      <c r="K1072" s="15">
        <v>28.96</v>
      </c>
    </row>
    <row r="1073" ht="22.5" customHeight="1">
      <c r="A1073" s="167">
        <v>46080.95041666667</v>
      </c>
      <c r="B1073" s="144" t="s">
        <v>542</v>
      </c>
      <c r="C1073" s="15">
        <v>687.8</v>
      </c>
      <c r="D1073" s="15">
        <v>0.21</v>
      </c>
      <c r="E1073" s="146">
        <v>6.87</v>
      </c>
      <c r="F1073" s="15">
        <v>6.87</v>
      </c>
      <c r="G1073" s="15">
        <v>-0.35101523</v>
      </c>
      <c r="H1073" s="15">
        <v>-0.28381394</v>
      </c>
      <c r="I1073" s="15">
        <v>0.01057121</v>
      </c>
      <c r="J1073" s="15">
        <v>0.60892623</v>
      </c>
      <c r="K1073" s="15">
        <v>5094.78</v>
      </c>
    </row>
    <row r="1074" ht="22.5" customHeight="1">
      <c r="A1074" s="167">
        <v>46080.95045138889</v>
      </c>
      <c r="B1074" s="144" t="s">
        <v>569</v>
      </c>
      <c r="C1074" s="15">
        <v>65.26</v>
      </c>
      <c r="D1074" s="15">
        <v>0.37</v>
      </c>
      <c r="E1074" s="146">
        <v>0.75</v>
      </c>
      <c r="F1074" s="15">
        <v>0.75</v>
      </c>
      <c r="G1074" s="15">
        <v>0.23384851</v>
      </c>
      <c r="H1074" s="15">
        <v>-0.04418773</v>
      </c>
      <c r="I1074" s="15">
        <v>0.05330861</v>
      </c>
      <c r="J1074" s="15">
        <v>0.05152558</v>
      </c>
      <c r="K1074" s="15">
        <v>63.8</v>
      </c>
    </row>
    <row r="1075" ht="22.5" customHeight="1">
      <c r="A1075" s="167">
        <v>46080.950474537036</v>
      </c>
      <c r="B1075" s="144" t="s">
        <v>521</v>
      </c>
      <c r="C1075" s="15">
        <v>10.15</v>
      </c>
      <c r="D1075" s="15">
        <v>1.79</v>
      </c>
      <c r="E1075" s="146">
        <v>0.04</v>
      </c>
      <c r="F1075" s="15">
        <v>0.04</v>
      </c>
      <c r="G1075" s="15">
        <v>0.02889586</v>
      </c>
      <c r="H1075" s="15">
        <v>-0.00684901</v>
      </c>
      <c r="I1075" s="15">
        <v>0.01516319</v>
      </c>
      <c r="J1075" s="15">
        <v>0.00163222</v>
      </c>
      <c r="K1075" s="15">
        <v>2.4</v>
      </c>
    </row>
    <row r="1076" ht="22.5" customHeight="1">
      <c r="A1076" s="167">
        <v>46080.95050925926</v>
      </c>
      <c r="B1076" s="144" t="s">
        <v>565</v>
      </c>
      <c r="C1076" s="15">
        <v>243.59</v>
      </c>
      <c r="D1076" s="15">
        <v>0.23</v>
      </c>
      <c r="E1076" s="146">
        <v>0.95</v>
      </c>
      <c r="F1076" s="15">
        <v>0.95</v>
      </c>
      <c r="G1076" s="15">
        <v>0.13563523</v>
      </c>
      <c r="H1076" s="15">
        <v>-0.07461542</v>
      </c>
      <c r="I1076" s="15">
        <v>0.0160345</v>
      </c>
      <c r="J1076" s="15">
        <v>0.13719817</v>
      </c>
      <c r="K1076" s="15">
        <v>1532.35</v>
      </c>
    </row>
    <row r="1077" ht="22.5" customHeight="1">
      <c r="A1077" s="167">
        <v>46080.950520833336</v>
      </c>
      <c r="B1077" s="144" t="s">
        <v>566</v>
      </c>
      <c r="C1077" s="15">
        <v>243.59</v>
      </c>
      <c r="D1077" s="15">
        <v>0.26</v>
      </c>
      <c r="E1077" s="146">
        <v>0.3</v>
      </c>
      <c r="F1077" s="15">
        <v>0.3</v>
      </c>
      <c r="G1077" s="15">
        <v>0.05906269</v>
      </c>
      <c r="H1077" s="15">
        <v>-0.04511536</v>
      </c>
      <c r="I1077" s="15">
        <v>0.0076395</v>
      </c>
      <c r="J1077" s="15">
        <v>0.07516973</v>
      </c>
      <c r="K1077" s="15">
        <v>20.52</v>
      </c>
    </row>
    <row r="1078" ht="22.5" customHeight="1">
      <c r="A1078" s="167">
        <v>46080.950532407405</v>
      </c>
      <c r="B1078" s="144" t="s">
        <v>590</v>
      </c>
      <c r="C1078" s="15">
        <v>483.75</v>
      </c>
      <c r="D1078" s="15">
        <v>0.39</v>
      </c>
      <c r="E1078" s="146">
        <v>0.76</v>
      </c>
      <c r="F1078" s="15">
        <v>0.76</v>
      </c>
      <c r="G1078" s="15">
        <v>0.04260184</v>
      </c>
      <c r="H1078" s="15">
        <v>-0.0993847</v>
      </c>
      <c r="I1078" s="15">
        <v>0.00203183</v>
      </c>
      <c r="J1078" s="15">
        <v>0.12245026</v>
      </c>
      <c r="K1078" s="15">
        <v>18.45</v>
      </c>
    </row>
    <row r="1079" ht="22.5" customHeight="1">
      <c r="A1079" s="167">
        <v>46080.95056712963</v>
      </c>
      <c r="B1079" s="144" t="s">
        <v>519</v>
      </c>
      <c r="C1079" s="15">
        <v>84.99</v>
      </c>
      <c r="D1079" s="15">
        <v>0.82</v>
      </c>
      <c r="E1079" s="146">
        <v>3.08</v>
      </c>
      <c r="F1079" s="15">
        <v>3.08</v>
      </c>
      <c r="G1079" s="15">
        <v>-0.27311662</v>
      </c>
      <c r="H1079" s="15">
        <v>-0.12934919</v>
      </c>
      <c r="I1079" s="15">
        <v>0.02014716</v>
      </c>
      <c r="J1079" s="15">
        <v>0.06752886</v>
      </c>
      <c r="K1079" s="15">
        <v>989.33</v>
      </c>
    </row>
    <row r="1080" ht="22.5" customHeight="1">
      <c r="A1080" s="167">
        <v>46080.950578703705</v>
      </c>
      <c r="B1080" s="144" t="s">
        <v>558</v>
      </c>
      <c r="C1080" s="15">
        <v>261.41</v>
      </c>
      <c r="D1080" s="15">
        <v>0.21</v>
      </c>
      <c r="E1080" s="146">
        <v>1.24</v>
      </c>
      <c r="F1080" s="15">
        <v>1.24</v>
      </c>
      <c r="G1080" s="15">
        <v>0.1899804</v>
      </c>
      <c r="H1080" s="15">
        <v>-0.09078406</v>
      </c>
      <c r="I1080" s="15">
        <v>0.02156714</v>
      </c>
      <c r="J1080" s="15">
        <v>0.17896336</v>
      </c>
      <c r="K1080" s="15">
        <v>8.93</v>
      </c>
    </row>
    <row r="1081" ht="22.5" customHeight="1">
      <c r="A1081" s="167">
        <v>46080.95060185185</v>
      </c>
      <c r="B1081" s="144" t="s">
        <v>591</v>
      </c>
      <c r="C1081" s="15">
        <v>62.37</v>
      </c>
      <c r="D1081" s="15">
        <v>0.24</v>
      </c>
      <c r="E1081" s="146">
        <v>0.27</v>
      </c>
      <c r="F1081" s="15">
        <v>0.27</v>
      </c>
      <c r="G1081" s="15">
        <v>0.09766971</v>
      </c>
      <c r="H1081" s="15">
        <v>-0.01060949</v>
      </c>
      <c r="I1081" s="15">
        <v>0.0320833</v>
      </c>
      <c r="J1081" s="15">
        <v>0.04361411</v>
      </c>
      <c r="K1081" s="15">
        <v>23.32</v>
      </c>
    </row>
    <row r="1082" ht="22.5" customHeight="1">
      <c r="A1082" s="167">
        <v>46080.951215277775</v>
      </c>
      <c r="B1082" s="144" t="s">
        <v>567</v>
      </c>
      <c r="C1082" s="15">
        <v>60.19</v>
      </c>
      <c r="D1082" s="15">
        <v>0.32</v>
      </c>
      <c r="E1082" s="146">
        <v>0.0</v>
      </c>
      <c r="F1082" s="15">
        <v>0.0</v>
      </c>
      <c r="G1082" s="15">
        <v>0.01484087</v>
      </c>
      <c r="H1082" s="15">
        <v>-0.00352542</v>
      </c>
      <c r="I1082" s="15">
        <v>0.00812958</v>
      </c>
      <c r="J1082" s="15">
        <v>0.00677525</v>
      </c>
      <c r="K1082" s="15">
        <v>0.44</v>
      </c>
    </row>
    <row r="1083" ht="22.5" customHeight="1">
      <c r="A1083" s="167">
        <v>46080.95123842593</v>
      </c>
      <c r="B1083" s="144" t="s">
        <v>518</v>
      </c>
      <c r="C1083" s="15">
        <v>11.6</v>
      </c>
      <c r="D1083" s="15">
        <v>0.29</v>
      </c>
      <c r="E1083" s="146">
        <v>0.13</v>
      </c>
      <c r="F1083" s="15">
        <v>0.13</v>
      </c>
      <c r="G1083" s="15">
        <v>0.34006547</v>
      </c>
      <c r="H1083" s="15">
        <v>-0.00742835</v>
      </c>
      <c r="I1083" s="15">
        <v>0.45936233</v>
      </c>
      <c r="J1083" s="15">
        <v>0.0101042</v>
      </c>
      <c r="K1083" s="15">
        <v>13.28</v>
      </c>
    </row>
    <row r="1084" ht="22.5" customHeight="1">
      <c r="A1084" s="167">
        <v>46080.95185185185</v>
      </c>
      <c r="B1084" s="144" t="s">
        <v>570</v>
      </c>
      <c r="C1084" s="15">
        <v>50.04</v>
      </c>
      <c r="D1084" s="15">
        <v>0.47</v>
      </c>
      <c r="E1084" s="146">
        <v>0.0</v>
      </c>
      <c r="F1084" s="15">
        <v>0.0</v>
      </c>
      <c r="G1084" s="15">
        <v>0.02651285</v>
      </c>
      <c r="H1084" s="15">
        <v>-0.0057607</v>
      </c>
      <c r="I1084" s="15">
        <v>0.01365067</v>
      </c>
      <c r="J1084" s="15">
        <v>0.00918723</v>
      </c>
      <c r="K1084" s="15">
        <v>3.04</v>
      </c>
    </row>
    <row r="1085" ht="22.5" customHeight="1">
      <c r="A1085" s="167">
        <v>46080.95245370371</v>
      </c>
      <c r="B1085" s="144" t="s">
        <v>550</v>
      </c>
      <c r="C1085" s="15">
        <v>8.87</v>
      </c>
      <c r="D1085" s="15">
        <v>0.36</v>
      </c>
      <c r="E1085" s="146">
        <v>0.0</v>
      </c>
      <c r="F1085" s="15">
        <v>0.0</v>
      </c>
      <c r="G1085" s="15">
        <v>0.19159727</v>
      </c>
      <c r="H1085" s="15">
        <v>-0.00674554</v>
      </c>
      <c r="I1085" s="15">
        <v>0.27389687</v>
      </c>
      <c r="J1085" s="15">
        <v>0.00630907</v>
      </c>
      <c r="K1085" s="15">
        <v>4.28</v>
      </c>
    </row>
    <row r="1086" ht="22.5" customHeight="1">
      <c r="A1086" s="167">
        <v>46080.95247685185</v>
      </c>
      <c r="B1086" s="144" t="s">
        <v>601</v>
      </c>
      <c r="C1086" s="15">
        <v>5.73</v>
      </c>
      <c r="D1086" s="15">
        <v>0.66</v>
      </c>
      <c r="E1086" s="146">
        <v>0.19</v>
      </c>
      <c r="F1086" s="15">
        <v>0.19</v>
      </c>
      <c r="G1086" s="15">
        <v>0.38200098</v>
      </c>
      <c r="H1086" s="15">
        <v>-0.00921681</v>
      </c>
      <c r="I1086" s="15">
        <v>0.4881417</v>
      </c>
      <c r="J1086" s="15">
        <v>0.00489132</v>
      </c>
      <c r="K1086" s="15">
        <v>10.78</v>
      </c>
    </row>
    <row r="1087" ht="22.5" customHeight="1">
      <c r="A1087" s="167">
        <v>46080.952511574076</v>
      </c>
      <c r="B1087" s="144" t="s">
        <v>568</v>
      </c>
      <c r="C1087" s="15">
        <v>41.43</v>
      </c>
      <c r="D1087" s="15">
        <v>0.34</v>
      </c>
      <c r="E1087" s="146">
        <v>0.75</v>
      </c>
      <c r="F1087" s="15">
        <v>0.75</v>
      </c>
      <c r="G1087" s="15">
        <v>-0.3115155</v>
      </c>
      <c r="H1087" s="15">
        <v>-0.02721925</v>
      </c>
      <c r="I1087" s="15">
        <v>0.1062253</v>
      </c>
      <c r="J1087" s="15">
        <v>0.03400292</v>
      </c>
      <c r="K1087" s="15">
        <v>55.91</v>
      </c>
    </row>
    <row r="1088" ht="22.5" customHeight="1">
      <c r="A1088" s="167">
        <v>46080.95253472222</v>
      </c>
      <c r="B1088" s="144" t="s">
        <v>597</v>
      </c>
      <c r="C1088" s="15">
        <v>56.19</v>
      </c>
      <c r="D1088" s="15">
        <v>1.09</v>
      </c>
      <c r="E1088" s="146">
        <v>2.85</v>
      </c>
      <c r="F1088" s="15">
        <v>2.85</v>
      </c>
      <c r="G1088" s="15">
        <v>0.33795185</v>
      </c>
      <c r="H1088" s="15">
        <v>-0.13081999</v>
      </c>
      <c r="I1088" s="15">
        <v>0.02491349</v>
      </c>
      <c r="J1088" s="15">
        <v>0.05079674</v>
      </c>
      <c r="K1088" s="15">
        <v>1115.17</v>
      </c>
    </row>
    <row r="1089" ht="22.5" customHeight="1">
      <c r="A1089" s="167">
        <v>46080.9525462963</v>
      </c>
      <c r="B1089" s="144" t="s">
        <v>598</v>
      </c>
      <c r="C1089" s="15">
        <v>56.19</v>
      </c>
      <c r="D1089" s="15">
        <v>1.06</v>
      </c>
      <c r="E1089" s="146">
        <v>2.0</v>
      </c>
      <c r="F1089" s="15">
        <v>2.0</v>
      </c>
      <c r="G1089" s="15">
        <v>0.23108107</v>
      </c>
      <c r="H1089" s="15">
        <v>-0.10478664</v>
      </c>
      <c r="I1089" s="15">
        <v>0.02147971</v>
      </c>
      <c r="J1089" s="15">
        <v>0.03996224</v>
      </c>
      <c r="K1089" s="15">
        <v>149.81</v>
      </c>
    </row>
    <row r="1090" ht="22.5" customHeight="1">
      <c r="A1090" s="167">
        <v>46080.952569444446</v>
      </c>
      <c r="B1090" s="144" t="s">
        <v>596</v>
      </c>
      <c r="C1090" s="15">
        <v>85.3</v>
      </c>
      <c r="D1090" s="15">
        <v>0.25</v>
      </c>
      <c r="E1090" s="146">
        <v>0.55</v>
      </c>
      <c r="F1090" s="15">
        <v>0.55</v>
      </c>
      <c r="G1090" s="15">
        <v>0.14304876</v>
      </c>
      <c r="H1090" s="15">
        <v>-0.01956054</v>
      </c>
      <c r="I1090" s="15">
        <v>0.02866089</v>
      </c>
      <c r="J1090" s="15">
        <v>0.07621561</v>
      </c>
      <c r="K1090" s="15">
        <v>39.57</v>
      </c>
    </row>
    <row r="1091" ht="22.5" customHeight="1">
      <c r="A1091" s="167">
        <v>46083.9187962963</v>
      </c>
      <c r="B1091" s="144" t="s">
        <v>543</v>
      </c>
      <c r="C1091" s="15">
        <v>688.01</v>
      </c>
      <c r="D1091" s="15">
        <v>0.26</v>
      </c>
      <c r="E1091" s="146">
        <v>2.9</v>
      </c>
      <c r="F1091" s="15">
        <v>2.9</v>
      </c>
      <c r="G1091" s="15">
        <v>-0.14765859</v>
      </c>
      <c r="H1091" s="15">
        <v>-0.23867793</v>
      </c>
      <c r="I1091" s="15">
        <v>0.00592928</v>
      </c>
      <c r="J1091" s="15">
        <v>0.35169067</v>
      </c>
      <c r="K1091" s="15">
        <v>4807.89</v>
      </c>
    </row>
    <row r="1092" ht="22.5" customHeight="1">
      <c r="A1092" s="167">
        <v>46083.918807870374</v>
      </c>
      <c r="B1092" s="144" t="s">
        <v>544</v>
      </c>
      <c r="C1092" s="15">
        <v>688.01</v>
      </c>
      <c r="D1092" s="15">
        <v>0.21</v>
      </c>
      <c r="E1092" s="146">
        <v>6.15</v>
      </c>
      <c r="F1092" s="15">
        <v>6.15</v>
      </c>
      <c r="G1092" s="15">
        <v>-0.26788063</v>
      </c>
      <c r="H1092" s="15">
        <v>-0.26854021</v>
      </c>
      <c r="I1092" s="15">
        <v>0.01044951</v>
      </c>
      <c r="J1092" s="15">
        <v>0.50201837</v>
      </c>
      <c r="K1092" s="15">
        <v>4959.05</v>
      </c>
    </row>
    <row r="1093" ht="22.5" customHeight="1">
      <c r="A1093" s="167">
        <v>46083.91883101852</v>
      </c>
      <c r="B1093" s="144" t="s">
        <v>556</v>
      </c>
      <c r="C1093" s="15">
        <v>263.81</v>
      </c>
      <c r="D1093" s="15">
        <v>0.22</v>
      </c>
      <c r="E1093" s="146">
        <v>2.77</v>
      </c>
      <c r="F1093" s="15">
        <v>2.77</v>
      </c>
      <c r="G1093" s="15">
        <v>0.33384409</v>
      </c>
      <c r="H1093" s="15">
        <v>-0.14430224</v>
      </c>
      <c r="I1093" s="15">
        <v>0.02886748</v>
      </c>
      <c r="J1093" s="15">
        <v>0.21411229</v>
      </c>
      <c r="K1093" s="15">
        <v>14.76</v>
      </c>
    </row>
    <row r="1094" ht="22.5" customHeight="1">
      <c r="A1094" s="167">
        <v>46083.918912037036</v>
      </c>
      <c r="B1094" s="144" t="s">
        <v>557</v>
      </c>
      <c r="C1094" s="15">
        <v>263.81</v>
      </c>
      <c r="D1094" s="15">
        <v>0.35</v>
      </c>
      <c r="E1094" s="146">
        <v>1.04</v>
      </c>
      <c r="F1094" s="15">
        <v>1.04</v>
      </c>
      <c r="G1094" s="15">
        <v>-0.10400734</v>
      </c>
      <c r="H1094" s="15">
        <v>-0.09922578</v>
      </c>
      <c r="I1094" s="15">
        <v>0.00899215</v>
      </c>
      <c r="J1094" s="15">
        <v>0.11785411</v>
      </c>
      <c r="K1094" s="15">
        <v>1759.75</v>
      </c>
    </row>
    <row r="1095" ht="22.5" customHeight="1">
      <c r="A1095" s="167">
        <v>46083.91893518518</v>
      </c>
      <c r="B1095" s="144" t="s">
        <v>515</v>
      </c>
      <c r="C1095" s="15">
        <v>17.32</v>
      </c>
      <c r="D1095" s="15">
        <v>0.44</v>
      </c>
      <c r="E1095" s="146">
        <v>0.86</v>
      </c>
      <c r="F1095" s="15">
        <v>0.54</v>
      </c>
      <c r="G1095" s="15">
        <v>0.6012816</v>
      </c>
      <c r="H1095" s="15">
        <v>-0.01938795</v>
      </c>
      <c r="I1095" s="15">
        <v>0.2289317</v>
      </c>
      <c r="J1095" s="15">
        <v>0.01505257</v>
      </c>
      <c r="K1095" s="15">
        <v>69.24</v>
      </c>
    </row>
    <row r="1096" ht="22.5" customHeight="1">
      <c r="A1096" s="167">
        <v>46083.91894675926</v>
      </c>
      <c r="B1096" s="144" t="s">
        <v>517</v>
      </c>
      <c r="C1096" s="15">
        <v>17.32</v>
      </c>
      <c r="D1096" s="15">
        <v>0.72</v>
      </c>
      <c r="E1096" s="146">
        <v>0.01</v>
      </c>
      <c r="F1096" s="15">
        <v>0.01</v>
      </c>
      <c r="G1096" s="15">
        <v>-0.00801084</v>
      </c>
      <c r="H1096" s="15">
        <v>-0.00166185</v>
      </c>
      <c r="I1096" s="15">
        <v>0.00796842</v>
      </c>
      <c r="J1096" s="15">
        <v>8.5875E-4</v>
      </c>
      <c r="K1096" s="15">
        <v>0.14</v>
      </c>
    </row>
    <row r="1097" ht="22.5" customHeight="1">
      <c r="A1097" s="167">
        <v>46083.91898148148</v>
      </c>
      <c r="B1097" s="144" t="s">
        <v>561</v>
      </c>
      <c r="C1097" s="15">
        <v>28.01</v>
      </c>
      <c r="D1097" s="15">
        <v>0.27</v>
      </c>
      <c r="E1097" s="146">
        <v>0.26</v>
      </c>
      <c r="F1097" s="15">
        <v>0.26</v>
      </c>
      <c r="G1097" s="15">
        <v>-0.25111586</v>
      </c>
      <c r="H1097" s="15">
        <v>-0.01400513</v>
      </c>
      <c r="I1097" s="15">
        <v>0.19516196</v>
      </c>
      <c r="J1097" s="15">
        <v>0.02006115</v>
      </c>
      <c r="K1097" s="15">
        <v>21.64</v>
      </c>
    </row>
    <row r="1098" ht="22.5" customHeight="1">
      <c r="A1098" s="167">
        <v>46083.91900462963</v>
      </c>
      <c r="B1098" s="144" t="s">
        <v>573</v>
      </c>
      <c r="C1098" s="15">
        <v>369.11</v>
      </c>
      <c r="D1098" s="15">
        <v>0.51</v>
      </c>
      <c r="E1098" s="146">
        <v>3.4</v>
      </c>
      <c r="F1098" s="15">
        <v>3.4</v>
      </c>
      <c r="G1098" s="15">
        <v>-0.14945538</v>
      </c>
      <c r="H1098" s="15">
        <v>-0.26633759</v>
      </c>
      <c r="I1098" s="15">
        <v>0.00557364</v>
      </c>
      <c r="J1098" s="15">
        <v>0.20233468</v>
      </c>
      <c r="K1098" s="15">
        <v>3006.39</v>
      </c>
    </row>
    <row r="1099" ht="22.5" customHeight="1">
      <c r="A1099" s="167">
        <v>46083.91903935185</v>
      </c>
      <c r="B1099" s="144" t="s">
        <v>578</v>
      </c>
      <c r="C1099" s="15">
        <v>80.22</v>
      </c>
      <c r="D1099" s="15">
        <v>0.19</v>
      </c>
      <c r="E1099" s="146">
        <v>0.14</v>
      </c>
      <c r="F1099" s="15">
        <v>0.14</v>
      </c>
      <c r="G1099" s="15">
        <v>0.06921883</v>
      </c>
      <c r="H1099" s="15">
        <v>-0.01320394</v>
      </c>
      <c r="I1099" s="15">
        <v>0.04147468</v>
      </c>
      <c r="J1099" s="15">
        <v>0.02564569</v>
      </c>
      <c r="K1099" s="15">
        <v>6.44</v>
      </c>
    </row>
    <row r="1100" ht="22.5" customHeight="1">
      <c r="A1100" s="167">
        <v>46083.9190625</v>
      </c>
      <c r="B1100" s="144" t="s">
        <v>592</v>
      </c>
      <c r="C1100" s="15">
        <v>97.09</v>
      </c>
      <c r="D1100" s="15">
        <v>0.42</v>
      </c>
      <c r="E1100" s="146">
        <v>8.26</v>
      </c>
      <c r="F1100" s="15">
        <v>1.17</v>
      </c>
      <c r="G1100" s="15">
        <v>0.81154213</v>
      </c>
      <c r="H1100" s="15">
        <v>-0.07577059</v>
      </c>
      <c r="I1100" s="15">
        <v>0.03014836</v>
      </c>
      <c r="J1100" s="15">
        <v>0.05693964</v>
      </c>
      <c r="K1100" s="15">
        <v>907.12</v>
      </c>
    </row>
    <row r="1101" ht="22.5" customHeight="1">
      <c r="A1101" s="167">
        <v>46083.919074074074</v>
      </c>
      <c r="B1101" s="144" t="s">
        <v>593</v>
      </c>
      <c r="C1101" s="15">
        <v>97.09</v>
      </c>
      <c r="D1101" s="15">
        <v>0.41</v>
      </c>
      <c r="E1101" s="146">
        <v>4.7</v>
      </c>
      <c r="F1101" s="15">
        <v>2.61</v>
      </c>
      <c r="G1101" s="15">
        <v>0.61994819</v>
      </c>
      <c r="H1101" s="15">
        <v>-0.09888369</v>
      </c>
      <c r="I1101" s="15">
        <v>0.04385559</v>
      </c>
      <c r="J1101" s="15">
        <v>0.08084097</v>
      </c>
      <c r="K1101" s="15">
        <v>401.18</v>
      </c>
    </row>
    <row r="1102" ht="22.5" customHeight="1">
      <c r="A1102" s="167">
        <v>46083.9191087963</v>
      </c>
      <c r="B1102" s="144" t="s">
        <v>577</v>
      </c>
      <c r="C1102" s="15">
        <v>75.95</v>
      </c>
      <c r="D1102" s="15">
        <v>0.63</v>
      </c>
      <c r="E1102" s="146">
        <v>0.09</v>
      </c>
      <c r="F1102" s="15">
        <v>0.09</v>
      </c>
      <c r="G1102" s="15">
        <v>-0.03703506</v>
      </c>
      <c r="H1102" s="15">
        <v>-0.02342533</v>
      </c>
      <c r="I1102" s="15">
        <v>0.00769112</v>
      </c>
      <c r="J1102" s="15">
        <v>0.01365009</v>
      </c>
      <c r="K1102" s="15">
        <v>4.13</v>
      </c>
    </row>
    <row r="1103" ht="22.5" customHeight="1">
      <c r="A1103" s="167">
        <v>46083.91913194444</v>
      </c>
      <c r="B1103" s="144" t="s">
        <v>583</v>
      </c>
      <c r="C1103" s="15">
        <v>133.29</v>
      </c>
      <c r="D1103" s="15">
        <v>0.22</v>
      </c>
      <c r="E1103" s="146">
        <v>0.58</v>
      </c>
      <c r="F1103" s="15">
        <v>0.58</v>
      </c>
      <c r="G1103" s="15">
        <v>0.16885799</v>
      </c>
      <c r="H1103" s="15">
        <v>-0.04778533</v>
      </c>
      <c r="I1103" s="15">
        <v>0.03931758</v>
      </c>
      <c r="J1103" s="15">
        <v>0.0773683</v>
      </c>
      <c r="K1103" s="15">
        <v>43.82</v>
      </c>
    </row>
    <row r="1104" ht="22.5" customHeight="1">
      <c r="A1104" s="167">
        <v>46083.91916666667</v>
      </c>
      <c r="B1104" s="144" t="s">
        <v>511</v>
      </c>
      <c r="C1104" s="15">
        <v>35.97</v>
      </c>
      <c r="D1104" s="15">
        <v>0.47</v>
      </c>
      <c r="E1104" s="146">
        <v>0.3</v>
      </c>
      <c r="F1104" s="15">
        <v>0.3</v>
      </c>
      <c r="G1104" s="15">
        <v>0.15809807</v>
      </c>
      <c r="H1104" s="15">
        <v>-0.02558404</v>
      </c>
      <c r="I1104" s="15">
        <v>0.06516229</v>
      </c>
      <c r="J1104" s="15">
        <v>0.01862237</v>
      </c>
      <c r="K1104" s="15">
        <v>20.07</v>
      </c>
    </row>
    <row r="1105" ht="22.5" customHeight="1">
      <c r="A1105" s="167">
        <v>46083.91918981481</v>
      </c>
      <c r="B1105" s="144" t="s">
        <v>574</v>
      </c>
      <c r="C1105" s="15">
        <v>76.26</v>
      </c>
      <c r="D1105" s="15">
        <v>0.3</v>
      </c>
      <c r="E1105" s="146">
        <v>0.67</v>
      </c>
      <c r="F1105" s="15">
        <v>0.67</v>
      </c>
      <c r="G1105" s="15">
        <v>0.22861802</v>
      </c>
      <c r="H1105" s="15">
        <v>-0.04612034</v>
      </c>
      <c r="I1105" s="15">
        <v>0.06239422</v>
      </c>
      <c r="J1105" s="15">
        <v>0.0479541</v>
      </c>
      <c r="K1105" s="15">
        <v>44.0</v>
      </c>
    </row>
    <row r="1106" ht="22.5" customHeight="1">
      <c r="A1106" s="167">
        <v>46083.91921296297</v>
      </c>
      <c r="B1106" s="144" t="s">
        <v>523</v>
      </c>
      <c r="C1106" s="15">
        <v>5986.93</v>
      </c>
      <c r="D1106" s="15">
        <v>0.14</v>
      </c>
      <c r="E1106" s="146">
        <v>4.7</v>
      </c>
      <c r="F1106" s="15">
        <v>4.7</v>
      </c>
      <c r="G1106" s="15">
        <v>0.05574885</v>
      </c>
      <c r="H1106" s="15">
        <v>-0.60375944</v>
      </c>
      <c r="I1106" s="15">
        <v>6.0869E-4</v>
      </c>
      <c r="J1106" s="15">
        <v>1.47843649</v>
      </c>
      <c r="K1106" s="15">
        <v>3.17</v>
      </c>
    </row>
    <row r="1107" ht="22.5" customHeight="1">
      <c r="A1107" s="167">
        <v>46083.91924768518</v>
      </c>
      <c r="B1107" s="144" t="s">
        <v>576</v>
      </c>
      <c r="C1107" s="15">
        <v>49.98</v>
      </c>
      <c r="D1107" s="15">
        <v>0.23</v>
      </c>
      <c r="E1107" s="146">
        <v>0.26</v>
      </c>
      <c r="F1107" s="15">
        <v>0.26</v>
      </c>
      <c r="G1107" s="15">
        <v>0.18446902</v>
      </c>
      <c r="H1107" s="15">
        <v>-0.02018004</v>
      </c>
      <c r="I1107" s="15">
        <v>0.10357252</v>
      </c>
      <c r="J1107" s="15">
        <v>0.03128875</v>
      </c>
      <c r="K1107" s="15">
        <v>18.17</v>
      </c>
    </row>
    <row r="1108" ht="22.5" customHeight="1">
      <c r="A1108" s="167">
        <v>46083.91925925926</v>
      </c>
      <c r="B1108" s="144" t="s">
        <v>524</v>
      </c>
      <c r="C1108" s="15">
        <v>5986.93</v>
      </c>
      <c r="D1108" s="15">
        <v>0.14</v>
      </c>
      <c r="E1108" s="146">
        <v>7.4</v>
      </c>
      <c r="F1108" s="15">
        <v>7.4</v>
      </c>
      <c r="G1108" s="15">
        <v>0.07810157</v>
      </c>
      <c r="H1108" s="15">
        <v>-0.8088269</v>
      </c>
      <c r="I1108" s="15">
        <v>7.6674E-4</v>
      </c>
      <c r="J1108" s="15">
        <v>1.91959571</v>
      </c>
      <c r="K1108" s="15">
        <v>1.74</v>
      </c>
    </row>
    <row r="1109" ht="22.5" customHeight="1">
      <c r="A1109" s="167">
        <v>46083.919270833336</v>
      </c>
      <c r="B1109" s="144" t="s">
        <v>525</v>
      </c>
      <c r="C1109" s="15">
        <v>5986.93</v>
      </c>
      <c r="D1109" s="15">
        <v>0.28</v>
      </c>
      <c r="E1109" s="146">
        <v>26.7</v>
      </c>
      <c r="F1109" s="15">
        <v>26.7</v>
      </c>
      <c r="G1109" s="15">
        <v>-0.13913984</v>
      </c>
      <c r="H1109" s="15">
        <v>-2.2515321</v>
      </c>
      <c r="I1109" s="15">
        <v>6.1126E-4</v>
      </c>
      <c r="J1109" s="15">
        <v>2.9144486</v>
      </c>
      <c r="K1109" s="15">
        <v>3787.58</v>
      </c>
    </row>
    <row r="1110" ht="22.5" customHeight="1">
      <c r="A1110" s="167">
        <v>46083.91929398148</v>
      </c>
      <c r="B1110" s="144" t="s">
        <v>599</v>
      </c>
      <c r="C1110" s="15">
        <v>9.4</v>
      </c>
      <c r="D1110" s="15">
        <v>0.78</v>
      </c>
      <c r="E1110" s="146">
        <v>0.4</v>
      </c>
      <c r="F1110" s="15">
        <v>0.4</v>
      </c>
      <c r="G1110" s="15">
        <v>0.39655199</v>
      </c>
      <c r="H1110" s="15">
        <v>-0.01780891</v>
      </c>
      <c r="I1110" s="15">
        <v>0.23896967</v>
      </c>
      <c r="J1110" s="15">
        <v>0.0082152</v>
      </c>
      <c r="K1110" s="15">
        <v>35.79</v>
      </c>
    </row>
    <row r="1111" ht="22.5" customHeight="1">
      <c r="A1111" s="167">
        <v>46083.919328703705</v>
      </c>
      <c r="B1111" s="144" t="s">
        <v>532</v>
      </c>
      <c r="C1111" s="15">
        <v>91.09</v>
      </c>
      <c r="D1111" s="15">
        <v>0.43</v>
      </c>
      <c r="E1111" s="146">
        <v>0.4</v>
      </c>
      <c r="F1111" s="15">
        <v>0.4</v>
      </c>
      <c r="G1111" s="15">
        <v>-0.078119</v>
      </c>
      <c r="H1111" s="15">
        <v>-0.03491802</v>
      </c>
      <c r="I1111" s="15">
        <v>0.01671531</v>
      </c>
      <c r="J1111" s="15">
        <v>0.03153686</v>
      </c>
      <c r="K1111" s="15">
        <v>412.0</v>
      </c>
    </row>
    <row r="1112" ht="22.5" customHeight="1">
      <c r="A1112" s="167">
        <v>46083.919340277775</v>
      </c>
      <c r="B1112" s="144" t="s">
        <v>562</v>
      </c>
      <c r="C1112" s="15">
        <v>91.09</v>
      </c>
      <c r="D1112" s="15">
        <v>0.41</v>
      </c>
      <c r="E1112" s="146">
        <v>0.9</v>
      </c>
      <c r="F1112" s="15">
        <v>0.9</v>
      </c>
      <c r="G1112" s="15">
        <v>-0.20320917</v>
      </c>
      <c r="H1112" s="15">
        <v>-0.06306519</v>
      </c>
      <c r="I1112" s="15">
        <v>0.03455282</v>
      </c>
      <c r="J1112" s="15">
        <v>0.0600076</v>
      </c>
      <c r="K1112" s="15">
        <v>355.91</v>
      </c>
    </row>
    <row r="1113" ht="22.5" customHeight="1">
      <c r="A1113" s="167">
        <v>46083.91936342593</v>
      </c>
      <c r="B1113" s="144" t="s">
        <v>588</v>
      </c>
      <c r="C1113" s="15">
        <v>17.52</v>
      </c>
      <c r="D1113" s="15">
        <v>0.41</v>
      </c>
      <c r="E1113" s="146">
        <v>0.58</v>
      </c>
      <c r="F1113" s="15">
        <v>0.56</v>
      </c>
      <c r="G1113" s="15">
        <v>0.53655776</v>
      </c>
      <c r="H1113" s="15">
        <v>-0.01860134</v>
      </c>
      <c r="I1113" s="15">
        <v>0.25158221</v>
      </c>
      <c r="J1113" s="15">
        <v>0.01542094</v>
      </c>
      <c r="K1113" s="15">
        <v>55.05</v>
      </c>
    </row>
    <row r="1114" ht="22.5" customHeight="1">
      <c r="A1114" s="167">
        <v>46083.91939814815</v>
      </c>
      <c r="B1114" s="144" t="s">
        <v>553</v>
      </c>
      <c r="C1114" s="15">
        <v>49.7</v>
      </c>
      <c r="D1114" s="15">
        <v>0.91</v>
      </c>
      <c r="E1114" s="146">
        <v>1.01</v>
      </c>
      <c r="F1114" s="15">
        <v>1.01</v>
      </c>
      <c r="G1114" s="15">
        <v>-0.17219437</v>
      </c>
      <c r="H1114" s="15">
        <v>-0.0704675</v>
      </c>
      <c r="I1114" s="15">
        <v>0.0256144</v>
      </c>
      <c r="J1114" s="15">
        <v>0.02665475</v>
      </c>
      <c r="K1114" s="15">
        <v>625.9</v>
      </c>
    </row>
    <row r="1115" ht="22.5" customHeight="1">
      <c r="A1115" s="167">
        <v>46083.91940972222</v>
      </c>
      <c r="B1115" s="144" t="s">
        <v>554</v>
      </c>
      <c r="C1115" s="15">
        <v>49.7</v>
      </c>
      <c r="D1115" s="15">
        <v>0.46</v>
      </c>
      <c r="E1115" s="146">
        <v>0.23</v>
      </c>
      <c r="F1115" s="15">
        <v>0.23</v>
      </c>
      <c r="G1115" s="15">
        <v>0.08598261</v>
      </c>
      <c r="H1115" s="15">
        <v>-0.02267167</v>
      </c>
      <c r="I1115" s="15">
        <v>0.03106411</v>
      </c>
      <c r="J1115" s="15">
        <v>0.01570406</v>
      </c>
      <c r="K1115" s="15">
        <v>0.9</v>
      </c>
    </row>
    <row r="1116" ht="22.5" customHeight="1">
      <c r="A1116" s="167">
        <v>46083.9194212963</v>
      </c>
      <c r="B1116" s="144" t="s">
        <v>555</v>
      </c>
      <c r="C1116" s="15">
        <v>49.7</v>
      </c>
      <c r="D1116" s="15">
        <v>0.45</v>
      </c>
      <c r="E1116" s="146">
        <v>0.06</v>
      </c>
      <c r="F1116" s="15">
        <v>0.06</v>
      </c>
      <c r="G1116" s="15">
        <v>0.03418033</v>
      </c>
      <c r="H1116" s="15">
        <v>-0.01064607</v>
      </c>
      <c r="I1116" s="15">
        <v>0.01525948</v>
      </c>
      <c r="J1116" s="15">
        <v>0.00814774</v>
      </c>
      <c r="K1116" s="15">
        <v>0.25</v>
      </c>
    </row>
    <row r="1117" ht="22.5" customHeight="1">
      <c r="A1117" s="167">
        <v>46083.919444444444</v>
      </c>
      <c r="B1117" s="144" t="s">
        <v>595</v>
      </c>
      <c r="C1117" s="15">
        <v>9.55</v>
      </c>
      <c r="D1117" s="15">
        <v>1.02</v>
      </c>
      <c r="E1117" s="146">
        <v>0.22</v>
      </c>
      <c r="F1117" s="15">
        <v>0.22</v>
      </c>
      <c r="G1117" s="15">
        <v>0.18410086</v>
      </c>
      <c r="H1117" s="15">
        <v>-0.01621545</v>
      </c>
      <c r="I1117" s="15">
        <v>0.12411723</v>
      </c>
      <c r="J1117" s="15">
        <v>0.00518147</v>
      </c>
      <c r="K1117" s="15">
        <v>18.75</v>
      </c>
    </row>
    <row r="1118" ht="22.5" customHeight="1">
      <c r="A1118" s="167">
        <v>46083.91947916667</v>
      </c>
      <c r="B1118" s="144" t="s">
        <v>594</v>
      </c>
      <c r="C1118" s="15">
        <v>29.29</v>
      </c>
      <c r="D1118" s="15">
        <v>0.83</v>
      </c>
      <c r="E1118" s="146">
        <v>0.35</v>
      </c>
      <c r="F1118" s="15">
        <v>0.35</v>
      </c>
      <c r="G1118" s="15">
        <v>0.09545348</v>
      </c>
      <c r="H1118" s="15">
        <v>-0.01609966</v>
      </c>
      <c r="I1118" s="15">
        <v>0.0198037</v>
      </c>
      <c r="J1118" s="15">
        <v>0.01683553</v>
      </c>
      <c r="K1118" s="15">
        <v>22.03</v>
      </c>
    </row>
    <row r="1119" ht="22.5" customHeight="1">
      <c r="A1119" s="167">
        <v>46083.91950231481</v>
      </c>
      <c r="B1119" s="144" t="s">
        <v>586</v>
      </c>
      <c r="C1119" s="15">
        <v>47.05</v>
      </c>
      <c r="D1119" s="15">
        <v>0.21</v>
      </c>
      <c r="E1119" s="146">
        <v>0.5</v>
      </c>
      <c r="F1119" s="15">
        <v>0.5</v>
      </c>
      <c r="G1119" s="15">
        <v>0.2303346</v>
      </c>
      <c r="H1119" s="15">
        <v>-0.01251161</v>
      </c>
      <c r="I1119" s="15">
        <v>0.0888951</v>
      </c>
      <c r="J1119" s="15">
        <v>0.04818451</v>
      </c>
      <c r="K1119" s="15">
        <v>41.21</v>
      </c>
    </row>
    <row r="1120" ht="22.5" customHeight="1">
      <c r="A1120" s="167">
        <v>46083.919537037036</v>
      </c>
      <c r="B1120" s="144" t="s">
        <v>600</v>
      </c>
      <c r="C1120" s="15">
        <v>14.31</v>
      </c>
      <c r="D1120" s="15">
        <v>0.55</v>
      </c>
      <c r="E1120" s="146">
        <v>0.16</v>
      </c>
      <c r="F1120" s="15">
        <v>0.16</v>
      </c>
      <c r="G1120" s="15">
        <v>0.2203751</v>
      </c>
      <c r="H1120" s="15">
        <v>-0.00964624</v>
      </c>
      <c r="I1120" s="15">
        <v>0.09890391</v>
      </c>
      <c r="J1120" s="15">
        <v>0.01579778</v>
      </c>
      <c r="K1120" s="15">
        <v>19.42</v>
      </c>
    </row>
    <row r="1121" ht="22.5" customHeight="1">
      <c r="A1121" s="167">
        <v>46083.91954861111</v>
      </c>
      <c r="B1121" s="144" t="s">
        <v>542</v>
      </c>
      <c r="C1121" s="15">
        <v>688.01</v>
      </c>
      <c r="D1121" s="15">
        <v>0.21</v>
      </c>
      <c r="E1121" s="146">
        <v>6.91</v>
      </c>
      <c r="F1121" s="15">
        <v>6.91</v>
      </c>
      <c r="G1121" s="15">
        <v>-0.3239156</v>
      </c>
      <c r="H1121" s="15">
        <v>-0.28844616</v>
      </c>
      <c r="I1121" s="15">
        <v>0.01148327</v>
      </c>
      <c r="J1121" s="15">
        <v>0.54778225</v>
      </c>
      <c r="K1121" s="15">
        <v>5154.66</v>
      </c>
    </row>
    <row r="1122" ht="22.5" customHeight="1">
      <c r="A1122" s="167">
        <v>46083.91957175926</v>
      </c>
      <c r="B1122" s="144" t="s">
        <v>569</v>
      </c>
      <c r="C1122" s="15">
        <v>64.83</v>
      </c>
      <c r="D1122" s="15">
        <v>0.42</v>
      </c>
      <c r="E1122" s="146">
        <v>0.75</v>
      </c>
      <c r="F1122" s="15">
        <v>0.75</v>
      </c>
      <c r="G1122" s="15">
        <v>0.22378393</v>
      </c>
      <c r="H1122" s="15">
        <v>-0.05213684</v>
      </c>
      <c r="I1122" s="15">
        <v>0.04963004</v>
      </c>
      <c r="J1122" s="15">
        <v>0.04040908</v>
      </c>
      <c r="K1122" s="15">
        <v>48.75</v>
      </c>
    </row>
    <row r="1123" ht="22.5" customHeight="1">
      <c r="A1123" s="167">
        <v>46083.91960648148</v>
      </c>
      <c r="B1123" s="144" t="s">
        <v>521</v>
      </c>
      <c r="C1123" s="15">
        <v>10.82</v>
      </c>
      <c r="D1123" s="15">
        <v>1.8</v>
      </c>
      <c r="E1123" s="146">
        <v>0.05</v>
      </c>
      <c r="F1123" s="15">
        <v>0.05</v>
      </c>
      <c r="G1123" s="15">
        <v>0.02880871</v>
      </c>
      <c r="H1123" s="15">
        <v>-0.00793418</v>
      </c>
      <c r="I1123" s="15">
        <v>0.01518151</v>
      </c>
      <c r="J1123" s="15">
        <v>0.00156364</v>
      </c>
      <c r="K1123" s="15">
        <v>2.55</v>
      </c>
    </row>
    <row r="1124" ht="22.5" customHeight="1">
      <c r="A1124" s="167">
        <v>46083.91962962963</v>
      </c>
      <c r="B1124" s="144" t="s">
        <v>565</v>
      </c>
      <c r="C1124" s="15">
        <v>248.04</v>
      </c>
      <c r="D1124" s="15">
        <v>0.24</v>
      </c>
      <c r="E1124" s="146">
        <v>1.4</v>
      </c>
      <c r="F1124" s="15">
        <v>1.4</v>
      </c>
      <c r="G1124" s="15">
        <v>0.20288762</v>
      </c>
      <c r="H1124" s="15">
        <v>-0.10815307</v>
      </c>
      <c r="I1124" s="15">
        <v>0.02166246</v>
      </c>
      <c r="J1124" s="15">
        <v>0.15469346</v>
      </c>
      <c r="K1124" s="15">
        <v>1732.67</v>
      </c>
    </row>
    <row r="1125" ht="22.5" customHeight="1">
      <c r="A1125" s="167">
        <v>46083.919652777775</v>
      </c>
      <c r="B1125" s="144" t="s">
        <v>566</v>
      </c>
      <c r="C1125" s="15">
        <v>248.04</v>
      </c>
      <c r="D1125" s="15">
        <v>0.26</v>
      </c>
      <c r="E1125" s="146">
        <v>0.5</v>
      </c>
      <c r="F1125" s="15">
        <v>0.5</v>
      </c>
      <c r="G1125" s="15">
        <v>0.07881258</v>
      </c>
      <c r="H1125" s="15">
        <v>-0.0605869</v>
      </c>
      <c r="I1125" s="15">
        <v>0.01030365</v>
      </c>
      <c r="J1125" s="15">
        <v>0.07769994</v>
      </c>
      <c r="K1125" s="15">
        <v>29.76</v>
      </c>
    </row>
    <row r="1126" ht="22.5" customHeight="1">
      <c r="A1126" s="167">
        <v>46083.9197337963</v>
      </c>
      <c r="B1126" s="144" t="s">
        <v>519</v>
      </c>
      <c r="C1126" s="15">
        <v>81.57</v>
      </c>
      <c r="D1126" s="15">
        <v>0.82</v>
      </c>
      <c r="E1126" s="146">
        <v>3.85</v>
      </c>
      <c r="F1126" s="15">
        <v>3.85</v>
      </c>
      <c r="G1126" s="15">
        <v>-0.33739519</v>
      </c>
      <c r="H1126" s="15">
        <v>-0.14793005</v>
      </c>
      <c r="I1126" s="15">
        <v>0.02478198</v>
      </c>
      <c r="J1126" s="15">
        <v>0.06665962</v>
      </c>
      <c r="K1126" s="15">
        <v>1132.72</v>
      </c>
    </row>
    <row r="1127" ht="22.5" customHeight="1">
      <c r="A1127" s="167">
        <v>46083.919756944444</v>
      </c>
      <c r="B1127" s="144" t="s">
        <v>603</v>
      </c>
      <c r="C1127" s="15">
        <v>490.0</v>
      </c>
      <c r="D1127" s="15">
        <v>0.3</v>
      </c>
      <c r="E1127" s="146">
        <v>5.74</v>
      </c>
      <c r="F1127" s="15">
        <v>5.74</v>
      </c>
      <c r="G1127" s="15">
        <v>-0.18505968</v>
      </c>
      <c r="H1127" s="15">
        <v>-0.14504085</v>
      </c>
      <c r="I1127" s="15">
        <v>0.00511216</v>
      </c>
      <c r="J1127" s="15">
        <v>0.50177401</v>
      </c>
      <c r="K1127" s="15">
        <v>3417.05</v>
      </c>
    </row>
    <row r="1128" ht="22.5" customHeight="1">
      <c r="A1128" s="167">
        <v>46083.91976851852</v>
      </c>
      <c r="B1128" s="144" t="s">
        <v>604</v>
      </c>
      <c r="C1128" s="15">
        <v>490.0</v>
      </c>
      <c r="D1128" s="15">
        <v>0.3</v>
      </c>
      <c r="E1128" s="146">
        <v>7.8</v>
      </c>
      <c r="F1128" s="15">
        <v>7.8</v>
      </c>
      <c r="G1128" s="15">
        <v>-0.24393762</v>
      </c>
      <c r="H1128" s="15">
        <v>-0.1680472</v>
      </c>
      <c r="I1128" s="15">
        <v>0.00605472</v>
      </c>
      <c r="J1128" s="15">
        <v>0.57708318</v>
      </c>
      <c r="K1128" s="15">
        <v>3222.89</v>
      </c>
    </row>
    <row r="1129" ht="22.5" customHeight="1">
      <c r="A1129" s="167">
        <v>46083.91978009259</v>
      </c>
      <c r="B1129" s="144" t="s">
        <v>605</v>
      </c>
      <c r="C1129" s="15">
        <v>490.0</v>
      </c>
      <c r="D1129" s="15">
        <v>0.3</v>
      </c>
      <c r="E1129" s="146">
        <v>9.25</v>
      </c>
      <c r="F1129" s="15">
        <v>9.25</v>
      </c>
      <c r="G1129" s="15">
        <v>-0.2750225</v>
      </c>
      <c r="H1129" s="15">
        <v>-0.17394751</v>
      </c>
      <c r="I1129" s="15">
        <v>0.00652968</v>
      </c>
      <c r="J1129" s="15">
        <v>0.58293993</v>
      </c>
      <c r="K1129" s="15">
        <v>4193.16</v>
      </c>
    </row>
    <row r="1130" ht="22.5" customHeight="1">
      <c r="A1130" s="167">
        <v>46083.91979166667</v>
      </c>
      <c r="B1130" s="144" t="s">
        <v>558</v>
      </c>
      <c r="C1130" s="15">
        <v>263.81</v>
      </c>
      <c r="D1130" s="15">
        <v>0.21</v>
      </c>
      <c r="E1130" s="146">
        <v>1.72</v>
      </c>
      <c r="F1130" s="15">
        <v>1.72</v>
      </c>
      <c r="G1130" s="15">
        <v>0.24002162</v>
      </c>
      <c r="H1130" s="15">
        <v>-0.11686309</v>
      </c>
      <c r="I1130" s="15">
        <v>0.02593948</v>
      </c>
      <c r="J1130" s="15">
        <v>0.19355414</v>
      </c>
      <c r="K1130" s="15">
        <v>8.97</v>
      </c>
    </row>
    <row r="1131" ht="22.5" customHeight="1">
      <c r="A1131" s="167">
        <v>46083.91982638889</v>
      </c>
      <c r="B1131" s="144" t="s">
        <v>591</v>
      </c>
      <c r="C1131" s="15">
        <v>62.34</v>
      </c>
      <c r="D1131" s="15">
        <v>0.24</v>
      </c>
      <c r="E1131" s="146">
        <v>0.24</v>
      </c>
      <c r="F1131" s="15">
        <v>0.24</v>
      </c>
      <c r="G1131" s="15">
        <v>0.08937381</v>
      </c>
      <c r="H1131" s="15">
        <v>-0.01019141</v>
      </c>
      <c r="I1131" s="15">
        <v>0.03077717</v>
      </c>
      <c r="J1131" s="15">
        <v>0.03363645</v>
      </c>
      <c r="K1131" s="15">
        <v>18.8</v>
      </c>
    </row>
    <row r="1132" ht="22.5" customHeight="1">
      <c r="A1132" s="167">
        <v>46083.92042824074</v>
      </c>
      <c r="B1132" s="144" t="s">
        <v>567</v>
      </c>
      <c r="C1132" s="15">
        <v>61.09</v>
      </c>
      <c r="D1132" s="15">
        <v>0.34</v>
      </c>
      <c r="E1132" s="146">
        <v>0.0</v>
      </c>
      <c r="F1132" s="15">
        <v>0.0</v>
      </c>
      <c r="G1132" s="15">
        <v>0.00211534</v>
      </c>
      <c r="H1132" s="15">
        <v>-7.6625E-4</v>
      </c>
      <c r="I1132" s="15">
        <v>0.00144863</v>
      </c>
      <c r="J1132" s="15">
        <v>9.7923E-4</v>
      </c>
      <c r="K1132" s="15">
        <v>0.28</v>
      </c>
    </row>
    <row r="1133" ht="22.5" customHeight="1">
      <c r="A1133" s="167">
        <v>46083.92046296296</v>
      </c>
      <c r="B1133" s="144" t="s">
        <v>518</v>
      </c>
      <c r="C1133" s="15">
        <v>11.48</v>
      </c>
      <c r="D1133" s="15">
        <v>0.32</v>
      </c>
      <c r="E1133" s="146">
        <v>0.13</v>
      </c>
      <c r="F1133" s="15">
        <v>0.13</v>
      </c>
      <c r="G1133" s="15">
        <v>0.28573966</v>
      </c>
      <c r="H1133" s="15">
        <v>-0.00805281</v>
      </c>
      <c r="I1133" s="15">
        <v>0.42131202</v>
      </c>
      <c r="J1133" s="15">
        <v>0.0082683</v>
      </c>
      <c r="K1133" s="15">
        <v>9.37</v>
      </c>
    </row>
    <row r="1134" ht="22.5" customHeight="1">
      <c r="A1134" s="167">
        <v>46083.92107638889</v>
      </c>
      <c r="B1134" s="144" t="s">
        <v>570</v>
      </c>
      <c r="C1134" s="15">
        <v>49.64</v>
      </c>
      <c r="D1134" s="15">
        <v>0.51</v>
      </c>
      <c r="E1134" s="146">
        <v>0.0</v>
      </c>
      <c r="F1134" s="15">
        <v>0.0</v>
      </c>
      <c r="G1134" s="15">
        <v>0.05768022</v>
      </c>
      <c r="H1134" s="15">
        <v>-0.01464269</v>
      </c>
      <c r="I1134" s="15">
        <v>0.0205975</v>
      </c>
      <c r="J1134" s="15">
        <v>0.0126326</v>
      </c>
      <c r="K1134" s="15">
        <v>7.68</v>
      </c>
    </row>
    <row r="1135" ht="22.5" customHeight="1">
      <c r="A1135" s="167">
        <v>46083.92167824074</v>
      </c>
      <c r="B1135" s="144" t="s">
        <v>550</v>
      </c>
      <c r="C1135" s="15">
        <v>8.67</v>
      </c>
      <c r="D1135" s="15">
        <v>0.41</v>
      </c>
      <c r="E1135" s="146">
        <v>0.0</v>
      </c>
      <c r="F1135" s="15">
        <v>0.0</v>
      </c>
      <c r="G1135" s="15">
        <v>0.09581706</v>
      </c>
      <c r="H1135" s="15">
        <v>-0.00344892</v>
      </c>
      <c r="I1135" s="15">
        <v>0.2232776</v>
      </c>
      <c r="J1135" s="15">
        <v>0.00399983</v>
      </c>
      <c r="K1135" s="15">
        <v>0.68</v>
      </c>
    </row>
    <row r="1136" ht="22.5" customHeight="1">
      <c r="A1136" s="167">
        <v>46083.92171296296</v>
      </c>
      <c r="B1136" s="144" t="s">
        <v>601</v>
      </c>
      <c r="C1136" s="15">
        <v>5.96</v>
      </c>
      <c r="D1136" s="15">
        <v>0.82</v>
      </c>
      <c r="E1136" s="146">
        <v>0.33</v>
      </c>
      <c r="F1136" s="15">
        <v>0.33</v>
      </c>
      <c r="G1136" s="15">
        <v>0.49630436</v>
      </c>
      <c r="H1136" s="15">
        <v>-0.0138102</v>
      </c>
      <c r="I1136" s="15">
        <v>0.43311753</v>
      </c>
      <c r="J1136" s="15">
        <v>0.00499235</v>
      </c>
      <c r="K1136" s="15">
        <v>19.22</v>
      </c>
    </row>
    <row r="1137" ht="22.5" customHeight="1">
      <c r="A1137" s="167">
        <v>46083.92173611111</v>
      </c>
      <c r="B1137" s="144" t="s">
        <v>568</v>
      </c>
      <c r="C1137" s="15">
        <v>40.88</v>
      </c>
      <c r="D1137" s="15">
        <v>0.35</v>
      </c>
      <c r="E1137" s="146">
        <v>0.95</v>
      </c>
      <c r="F1137" s="15">
        <v>0.95</v>
      </c>
      <c r="G1137" s="15">
        <v>-0.36740625</v>
      </c>
      <c r="H1137" s="15">
        <v>-0.03152683</v>
      </c>
      <c r="I1137" s="15">
        <v>0.1207978</v>
      </c>
      <c r="J1137" s="15">
        <v>0.03400514</v>
      </c>
      <c r="K1137" s="15">
        <v>68.31</v>
      </c>
    </row>
    <row r="1138" ht="22.5" customHeight="1">
      <c r="A1138" s="167">
        <v>46083.92175925926</v>
      </c>
      <c r="B1138" s="144" t="s">
        <v>597</v>
      </c>
      <c r="C1138" s="15">
        <v>67.69</v>
      </c>
      <c r="D1138" s="15">
        <v>1.15</v>
      </c>
      <c r="E1138" s="146">
        <v>8.3</v>
      </c>
      <c r="F1138" s="15">
        <v>5.61</v>
      </c>
      <c r="G1138" s="15">
        <v>0.61599309</v>
      </c>
      <c r="H1138" s="15">
        <v>-0.18840897</v>
      </c>
      <c r="I1138" s="15">
        <v>0.02217177</v>
      </c>
      <c r="J1138" s="15">
        <v>0.05793589</v>
      </c>
      <c r="K1138" s="15">
        <v>1321.04</v>
      </c>
    </row>
    <row r="1139" ht="22.5" customHeight="1">
      <c r="A1139" s="167">
        <v>46083.92177083333</v>
      </c>
      <c r="B1139" s="144" t="s">
        <v>598</v>
      </c>
      <c r="C1139" s="15">
        <v>67.69</v>
      </c>
      <c r="D1139" s="15">
        <v>1.21</v>
      </c>
      <c r="E1139" s="146">
        <v>6.5</v>
      </c>
      <c r="F1139" s="15">
        <v>6.5</v>
      </c>
      <c r="G1139" s="15">
        <v>0.50645698</v>
      </c>
      <c r="H1139" s="15">
        <v>-0.20465919</v>
      </c>
      <c r="I1139" s="15">
        <v>0.02209309</v>
      </c>
      <c r="J1139" s="15">
        <v>0.06020081</v>
      </c>
      <c r="K1139" s="15">
        <v>494.17</v>
      </c>
    </row>
    <row r="1140" ht="22.5" customHeight="1">
      <c r="A1140" s="167">
        <v>46083.921805555554</v>
      </c>
      <c r="B1140" s="144" t="s">
        <v>602</v>
      </c>
      <c r="C1140" s="15">
        <v>75.15</v>
      </c>
      <c r="D1140" s="15">
        <v>0.33</v>
      </c>
      <c r="E1140" s="146">
        <v>0.68</v>
      </c>
      <c r="F1140" s="15">
        <v>0.68</v>
      </c>
      <c r="G1140" s="15">
        <v>0.21151016</v>
      </c>
      <c r="H1140" s="15">
        <v>-0.0456279</v>
      </c>
      <c r="I1140" s="15">
        <v>0.05332586</v>
      </c>
      <c r="J1140" s="15">
        <v>0.04679535</v>
      </c>
      <c r="K1140" s="15">
        <v>62.31</v>
      </c>
    </row>
    <row r="1141" ht="22.5" customHeight="1">
      <c r="A1141" s="167">
        <v>46083.9218287037</v>
      </c>
      <c r="B1141" s="144" t="s">
        <v>596</v>
      </c>
      <c r="C1141" s="15">
        <v>81.06</v>
      </c>
      <c r="D1141" s="15">
        <v>0.26</v>
      </c>
      <c r="E1141" s="146">
        <v>0.2</v>
      </c>
      <c r="F1141" s="15">
        <v>0.2</v>
      </c>
      <c r="G1141" s="15">
        <v>0.13387289</v>
      </c>
      <c r="H1141" s="15">
        <v>-0.01625416</v>
      </c>
      <c r="I1141" s="15">
        <v>0.02851162</v>
      </c>
      <c r="J1141" s="15">
        <v>0.07479348</v>
      </c>
      <c r="K1141" s="15">
        <v>10.12</v>
      </c>
    </row>
    <row r="1142" ht="22.5" customHeight="1">
      <c r="A1142" s="167">
        <v>46084.933020833334</v>
      </c>
      <c r="B1142" s="144" t="s">
        <v>543</v>
      </c>
      <c r="C1142" s="15">
        <v>681.66</v>
      </c>
      <c r="D1142" s="15">
        <v>0.27</v>
      </c>
      <c r="E1142" s="146">
        <v>4.2</v>
      </c>
      <c r="F1142" s="15">
        <v>4.2</v>
      </c>
      <c r="G1142" s="15">
        <v>-0.19478768</v>
      </c>
      <c r="H1142" s="15">
        <v>-0.3032455</v>
      </c>
      <c r="I1142" s="15">
        <v>0.00704402</v>
      </c>
      <c r="J1142" s="15">
        <v>0.40399816</v>
      </c>
      <c r="K1142" s="15">
        <v>4969.0</v>
      </c>
    </row>
    <row r="1143" ht="22.5" customHeight="1">
      <c r="A1143" s="167">
        <v>46084.93303240741</v>
      </c>
      <c r="B1143" s="144" t="s">
        <v>544</v>
      </c>
      <c r="C1143" s="15">
        <v>681.66</v>
      </c>
      <c r="D1143" s="15">
        <v>0.23</v>
      </c>
      <c r="E1143" s="146">
        <v>7.75</v>
      </c>
      <c r="F1143" s="15">
        <v>7.75</v>
      </c>
      <c r="G1143" s="15">
        <v>-0.35033426</v>
      </c>
      <c r="H1143" s="15">
        <v>-0.33481968</v>
      </c>
      <c r="I1143" s="15">
        <v>0.01120874</v>
      </c>
      <c r="J1143" s="15">
        <v>0.54329636</v>
      </c>
      <c r="K1143" s="15">
        <v>5129.76</v>
      </c>
    </row>
    <row r="1144" ht="22.5" customHeight="1">
      <c r="A1144" s="167">
        <v>46084.93306712963</v>
      </c>
      <c r="B1144" s="144" t="s">
        <v>556</v>
      </c>
      <c r="C1144" s="15">
        <v>259.24</v>
      </c>
      <c r="D1144" s="15">
        <v>0.23</v>
      </c>
      <c r="E1144" s="146">
        <v>1.55</v>
      </c>
      <c r="F1144" s="15">
        <v>1.55</v>
      </c>
      <c r="G1144" s="15">
        <v>0.21123439</v>
      </c>
      <c r="H1144" s="15">
        <v>-0.11858114</v>
      </c>
      <c r="I1144" s="15">
        <v>0.02293422</v>
      </c>
      <c r="J1144" s="15">
        <v>0.15978702</v>
      </c>
      <c r="K1144" s="15">
        <v>10.0</v>
      </c>
    </row>
    <row r="1145" ht="22.5" customHeight="1">
      <c r="A1145" s="167">
        <v>46084.9330787037</v>
      </c>
      <c r="B1145" s="144" t="s">
        <v>557</v>
      </c>
      <c r="C1145" s="15">
        <v>259.24</v>
      </c>
      <c r="D1145" s="15">
        <v>0.36</v>
      </c>
      <c r="E1145" s="146">
        <v>1.69</v>
      </c>
      <c r="F1145" s="15">
        <v>1.69</v>
      </c>
      <c r="G1145" s="15">
        <v>-0.15770885</v>
      </c>
      <c r="H1145" s="15">
        <v>-0.13866963</v>
      </c>
      <c r="I1145" s="15">
        <v>0.01205414</v>
      </c>
      <c r="J1145" s="15">
        <v>0.13971556</v>
      </c>
      <c r="K1145" s="15">
        <v>1768.34</v>
      </c>
    </row>
    <row r="1146" ht="22.5" customHeight="1">
      <c r="A1146" s="167">
        <v>46084.93310185185</v>
      </c>
      <c r="B1146" s="144" t="s">
        <v>515</v>
      </c>
      <c r="C1146" s="15">
        <v>16.96</v>
      </c>
      <c r="D1146" s="15">
        <v>0.4</v>
      </c>
      <c r="E1146" s="146">
        <v>0.63</v>
      </c>
      <c r="F1146" s="15">
        <v>0.63</v>
      </c>
      <c r="G1146" s="15">
        <v>0.52033223</v>
      </c>
      <c r="H1146" s="15">
        <v>-0.01839691</v>
      </c>
      <c r="I1146" s="15">
        <v>0.27100333</v>
      </c>
      <c r="J1146" s="15">
        <v>0.01453997</v>
      </c>
      <c r="K1146" s="15">
        <v>53.68</v>
      </c>
    </row>
    <row r="1147" ht="22.5" customHeight="1">
      <c r="A1147" s="167">
        <v>46084.93311342593</v>
      </c>
      <c r="B1147" s="144" t="s">
        <v>517</v>
      </c>
      <c r="C1147" s="15">
        <v>16.96</v>
      </c>
      <c r="D1147" s="15">
        <v>0.79</v>
      </c>
      <c r="E1147" s="146">
        <v>0.01</v>
      </c>
      <c r="F1147" s="15">
        <v>0.01</v>
      </c>
      <c r="G1147" s="15">
        <v>-0.01626297</v>
      </c>
      <c r="H1147" s="15">
        <v>-0.00345136</v>
      </c>
      <c r="I1147" s="15">
        <v>0.01402376</v>
      </c>
      <c r="J1147" s="15">
        <v>0.00130094</v>
      </c>
      <c r="K1147" s="15">
        <v>0.92</v>
      </c>
    </row>
    <row r="1148" ht="22.5" customHeight="1">
      <c r="A1148" s="167">
        <v>46084.93314814815</v>
      </c>
      <c r="B1148" s="144" t="s">
        <v>561</v>
      </c>
      <c r="C1148" s="15">
        <v>28.67</v>
      </c>
      <c r="D1148" s="15">
        <v>0.29</v>
      </c>
      <c r="E1148" s="146">
        <v>0.16</v>
      </c>
      <c r="F1148" s="15">
        <v>0.16</v>
      </c>
      <c r="G1148" s="15">
        <v>-0.15451238</v>
      </c>
      <c r="H1148" s="15">
        <v>-0.0122967</v>
      </c>
      <c r="I1148" s="15">
        <v>0.13191541</v>
      </c>
      <c r="J1148" s="15">
        <v>0.01554622</v>
      </c>
      <c r="K1148" s="15">
        <v>11.35</v>
      </c>
    </row>
    <row r="1149" ht="22.5" customHeight="1">
      <c r="A1149" s="167">
        <v>46084.93318287037</v>
      </c>
      <c r="B1149" s="144" t="s">
        <v>573</v>
      </c>
      <c r="C1149" s="15">
        <v>353.13</v>
      </c>
      <c r="D1149" s="15">
        <v>0.53</v>
      </c>
      <c r="E1149" s="146">
        <v>6.6</v>
      </c>
      <c r="F1149" s="15">
        <v>6.6</v>
      </c>
      <c r="G1149" s="15">
        <v>-0.25779329</v>
      </c>
      <c r="H1149" s="15">
        <v>-0.37342575</v>
      </c>
      <c r="I1149" s="15">
        <v>0.00811502</v>
      </c>
      <c r="J1149" s="15">
        <v>0.2562911</v>
      </c>
      <c r="K1149" s="15">
        <v>3482.41</v>
      </c>
    </row>
    <row r="1150" ht="22.5" customHeight="1">
      <c r="A1150" s="167">
        <v>46084.93320601852</v>
      </c>
      <c r="B1150" s="144" t="s">
        <v>578</v>
      </c>
      <c r="C1150" s="15">
        <v>79.34</v>
      </c>
      <c r="D1150" s="15">
        <v>0.21</v>
      </c>
      <c r="E1150" s="146">
        <v>0.1</v>
      </c>
      <c r="F1150" s="15">
        <v>0.1</v>
      </c>
      <c r="G1150" s="15">
        <v>0.0576175</v>
      </c>
      <c r="H1150" s="15">
        <v>-0.01307589</v>
      </c>
      <c r="I1150" s="15">
        <v>0.03248159</v>
      </c>
      <c r="J1150" s="15">
        <v>0.02070407</v>
      </c>
      <c r="K1150" s="15">
        <v>6.3</v>
      </c>
    </row>
    <row r="1151" ht="22.5" customHeight="1">
      <c r="A1151" s="167">
        <v>46084.933229166665</v>
      </c>
      <c r="B1151" s="144" t="s">
        <v>592</v>
      </c>
      <c r="C1151" s="15">
        <v>97.7</v>
      </c>
      <c r="D1151" s="15">
        <v>0.42</v>
      </c>
      <c r="E1151" s="146">
        <v>8.5</v>
      </c>
      <c r="F1151" s="15">
        <v>0.8</v>
      </c>
      <c r="G1151" s="15">
        <v>0.83685961</v>
      </c>
      <c r="H1151" s="15">
        <v>-0.07176206</v>
      </c>
      <c r="I1151" s="15">
        <v>0.02817237</v>
      </c>
      <c r="J1151" s="15">
        <v>0.05277475</v>
      </c>
      <c r="K1151" s="15">
        <v>911.43</v>
      </c>
    </row>
    <row r="1152" ht="22.5" customHeight="1">
      <c r="A1152" s="167">
        <v>46084.93325231481</v>
      </c>
      <c r="B1152" s="144" t="s">
        <v>593</v>
      </c>
      <c r="C1152" s="15">
        <v>97.7</v>
      </c>
      <c r="D1152" s="15">
        <v>0.4</v>
      </c>
      <c r="E1152" s="146">
        <v>4.95</v>
      </c>
      <c r="F1152" s="15">
        <v>2.25</v>
      </c>
      <c r="G1152" s="15">
        <v>0.65216528</v>
      </c>
      <c r="H1152" s="15">
        <v>-0.09828325</v>
      </c>
      <c r="I1152" s="15">
        <v>0.04408852</v>
      </c>
      <c r="J1152" s="15">
        <v>0.07866139</v>
      </c>
      <c r="K1152" s="15">
        <v>427.69</v>
      </c>
    </row>
    <row r="1153" ht="22.5" customHeight="1">
      <c r="A1153" s="167">
        <v>46084.933275462965</v>
      </c>
      <c r="B1153" s="144" t="s">
        <v>577</v>
      </c>
      <c r="C1153" s="15">
        <v>76.36</v>
      </c>
      <c r="D1153" s="15">
        <v>0.59</v>
      </c>
      <c r="E1153" s="146">
        <v>0.08</v>
      </c>
      <c r="F1153" s="15">
        <v>0.08</v>
      </c>
      <c r="G1153" s="15">
        <v>-0.02384032</v>
      </c>
      <c r="H1153" s="15">
        <v>-0.01589874</v>
      </c>
      <c r="I1153" s="15">
        <v>0.00578033</v>
      </c>
      <c r="J1153" s="15">
        <v>0.00921248</v>
      </c>
      <c r="K1153" s="15">
        <v>5.09</v>
      </c>
    </row>
    <row r="1154" ht="22.5" customHeight="1">
      <c r="A1154" s="167">
        <v>46084.93329861111</v>
      </c>
      <c r="B1154" s="144" t="s">
        <v>583</v>
      </c>
      <c r="C1154" s="15">
        <v>131.92</v>
      </c>
      <c r="D1154" s="15">
        <v>0.21</v>
      </c>
      <c r="E1154" s="146">
        <v>0.4</v>
      </c>
      <c r="F1154" s="15">
        <v>0.4</v>
      </c>
      <c r="G1154" s="15">
        <v>0.10079046</v>
      </c>
      <c r="H1154" s="15">
        <v>-0.03197092</v>
      </c>
      <c r="I1154" s="15">
        <v>0.03016387</v>
      </c>
      <c r="J1154" s="15">
        <v>0.05279127</v>
      </c>
      <c r="K1154" s="15">
        <v>29.43</v>
      </c>
    </row>
    <row r="1155" ht="22.5" customHeight="1">
      <c r="A1155" s="167">
        <v>46084.933333333334</v>
      </c>
      <c r="B1155" s="144" t="s">
        <v>511</v>
      </c>
      <c r="C1155" s="15">
        <v>35.26</v>
      </c>
      <c r="D1155" s="15">
        <v>0.53</v>
      </c>
      <c r="E1155" s="146">
        <v>0.18</v>
      </c>
      <c r="F1155" s="15">
        <v>0.18</v>
      </c>
      <c r="G1155" s="15">
        <v>0.14193412</v>
      </c>
      <c r="H1155" s="15">
        <v>-0.02725434</v>
      </c>
      <c r="I1155" s="15">
        <v>0.05590616</v>
      </c>
      <c r="J1155" s="15">
        <v>0.01787401</v>
      </c>
      <c r="K1155" s="15">
        <v>15.52</v>
      </c>
    </row>
    <row r="1156" ht="22.5" customHeight="1">
      <c r="A1156" s="167">
        <v>46084.93335648148</v>
      </c>
      <c r="B1156" s="144" t="s">
        <v>574</v>
      </c>
      <c r="C1156" s="15">
        <v>75.88</v>
      </c>
      <c r="D1156" s="15">
        <v>0.32</v>
      </c>
      <c r="E1156" s="146">
        <v>0.7</v>
      </c>
      <c r="F1156" s="15">
        <v>0.7</v>
      </c>
      <c r="G1156" s="15">
        <v>0.21729114</v>
      </c>
      <c r="H1156" s="15">
        <v>-0.04892861</v>
      </c>
      <c r="I1156" s="15">
        <v>0.05775276</v>
      </c>
      <c r="J1156" s="15">
        <v>0.04583507</v>
      </c>
      <c r="K1156" s="15">
        <v>38.35</v>
      </c>
    </row>
    <row r="1157" ht="22.5" customHeight="1">
      <c r="A1157" s="167">
        <v>46084.93337962963</v>
      </c>
      <c r="B1157" s="144" t="s">
        <v>523</v>
      </c>
      <c r="C1157" s="15">
        <v>5771.73</v>
      </c>
      <c r="D1157" s="15">
        <v>0.18</v>
      </c>
      <c r="E1157" s="146">
        <v>0.8</v>
      </c>
      <c r="F1157" s="15">
        <v>0.8</v>
      </c>
      <c r="G1157" s="15">
        <v>0.01070845</v>
      </c>
      <c r="H1157" s="15">
        <v>-0.18709797</v>
      </c>
      <c r="I1157" s="15">
        <v>1.3077E-4</v>
      </c>
      <c r="J1157" s="15">
        <v>0.34787774</v>
      </c>
      <c r="K1157" s="15">
        <v>0.16</v>
      </c>
    </row>
    <row r="1158" ht="22.5" customHeight="1">
      <c r="A1158" s="167">
        <v>46084.93341435185</v>
      </c>
      <c r="B1158" s="144" t="s">
        <v>576</v>
      </c>
      <c r="C1158" s="15">
        <v>50.87</v>
      </c>
      <c r="D1158" s="15">
        <v>0.23</v>
      </c>
      <c r="E1158" s="146">
        <v>0.47</v>
      </c>
      <c r="F1158" s="15">
        <v>0.47</v>
      </c>
      <c r="G1158" s="15">
        <v>0.27931218</v>
      </c>
      <c r="H1158" s="15">
        <v>-0.02630243</v>
      </c>
      <c r="I1158" s="15">
        <v>0.13547586</v>
      </c>
      <c r="J1158" s="15">
        <v>0.03559285</v>
      </c>
      <c r="K1158" s="15">
        <v>39.7</v>
      </c>
    </row>
    <row r="1159" ht="22.5" customHeight="1">
      <c r="A1159" s="167">
        <v>46084.93342592593</v>
      </c>
      <c r="B1159" s="144" t="s">
        <v>606</v>
      </c>
      <c r="C1159" s="15">
        <v>681.66</v>
      </c>
      <c r="D1159" s="15">
        <v>0.27</v>
      </c>
      <c r="E1159" s="146">
        <v>5.57</v>
      </c>
      <c r="F1159" s="15">
        <v>5.57</v>
      </c>
      <c r="G1159" s="15">
        <v>-0.14497841</v>
      </c>
      <c r="H1159" s="15">
        <v>-0.15486971</v>
      </c>
      <c r="I1159" s="15">
        <v>0.00347928</v>
      </c>
      <c r="J1159" s="15">
        <v>0.54382049</v>
      </c>
      <c r="K1159" s="15">
        <v>4533.61</v>
      </c>
    </row>
    <row r="1160" ht="22.5" customHeight="1">
      <c r="A1160" s="167">
        <v>46084.9334375</v>
      </c>
      <c r="B1160" s="144" t="s">
        <v>607</v>
      </c>
      <c r="C1160" s="15">
        <v>681.66</v>
      </c>
      <c r="D1160" s="15">
        <v>0.22</v>
      </c>
      <c r="E1160" s="146">
        <v>10.68</v>
      </c>
      <c r="F1160" s="15">
        <v>10.68</v>
      </c>
      <c r="G1160" s="15">
        <v>-0.30968488</v>
      </c>
      <c r="H1160" s="15">
        <v>-0.17840155</v>
      </c>
      <c r="I1160" s="15">
        <v>0.00683789</v>
      </c>
      <c r="J1160" s="15">
        <v>0.84149355</v>
      </c>
      <c r="K1160" s="15">
        <v>4970.01</v>
      </c>
    </row>
    <row r="1161" ht="22.5" customHeight="1">
      <c r="A1161" s="167">
        <v>46084.93344907407</v>
      </c>
      <c r="B1161" s="144" t="s">
        <v>524</v>
      </c>
      <c r="C1161" s="15">
        <v>5771.73</v>
      </c>
      <c r="D1161" s="15">
        <v>0.17</v>
      </c>
      <c r="E1161" s="146">
        <v>0.9</v>
      </c>
      <c r="F1161" s="15">
        <v>0.9</v>
      </c>
      <c r="G1161" s="15">
        <v>0.01219533</v>
      </c>
      <c r="H1161" s="15">
        <v>-0.20441524</v>
      </c>
      <c r="I1161" s="15">
        <v>1.5011E-4</v>
      </c>
      <c r="J1161" s="15">
        <v>0.38947735</v>
      </c>
      <c r="K1161" s="15">
        <v>0.36</v>
      </c>
    </row>
    <row r="1162" ht="22.5" customHeight="1">
      <c r="A1162" s="167">
        <v>46084.93346064815</v>
      </c>
      <c r="B1162" s="144" t="s">
        <v>525</v>
      </c>
      <c r="C1162" s="15">
        <v>5771.73</v>
      </c>
      <c r="D1162" s="15">
        <v>0.3</v>
      </c>
      <c r="E1162" s="146">
        <v>90.0</v>
      </c>
      <c r="F1162" s="15">
        <v>90.0</v>
      </c>
      <c r="G1162" s="15">
        <v>-0.32793828</v>
      </c>
      <c r="H1162" s="15">
        <v>-3.9379771</v>
      </c>
      <c r="I1162" s="15">
        <v>9.8095E-4</v>
      </c>
      <c r="J1162" s="15">
        <v>4.44189099</v>
      </c>
      <c r="K1162" s="15">
        <v>3913.0</v>
      </c>
    </row>
    <row r="1163" ht="22.5" customHeight="1">
      <c r="A1163" s="167">
        <v>46084.93349537037</v>
      </c>
      <c r="B1163" s="144" t="s">
        <v>599</v>
      </c>
      <c r="C1163" s="15">
        <v>9.08</v>
      </c>
      <c r="D1163" s="15">
        <v>0.76</v>
      </c>
      <c r="E1163" s="146">
        <v>0.32</v>
      </c>
      <c r="F1163" s="15">
        <v>0.32</v>
      </c>
      <c r="G1163" s="15">
        <v>0.31263963</v>
      </c>
      <c r="H1163" s="15">
        <v>-0.01598612</v>
      </c>
      <c r="I1163" s="15">
        <v>0.23803213</v>
      </c>
      <c r="J1163" s="15">
        <v>0.00726362</v>
      </c>
      <c r="K1163" s="15">
        <v>25.6</v>
      </c>
    </row>
    <row r="1164" ht="22.5" customHeight="1">
      <c r="A1164" s="167">
        <v>46084.93351851852</v>
      </c>
      <c r="B1164" s="144" t="s">
        <v>532</v>
      </c>
      <c r="C1164" s="15">
        <v>91.6</v>
      </c>
      <c r="D1164" s="15">
        <v>0.45</v>
      </c>
      <c r="E1164" s="146">
        <v>0.45</v>
      </c>
      <c r="F1164" s="15">
        <v>0.45</v>
      </c>
      <c r="G1164" s="15">
        <v>-0.07504172</v>
      </c>
      <c r="H1164" s="15">
        <v>-0.03589577</v>
      </c>
      <c r="I1164" s="15">
        <v>0.01629537</v>
      </c>
      <c r="J1164" s="15">
        <v>0.03155031</v>
      </c>
      <c r="K1164" s="15">
        <v>419.07</v>
      </c>
    </row>
    <row r="1165" ht="22.5" customHeight="1">
      <c r="A1165" s="167">
        <v>46084.933530092596</v>
      </c>
      <c r="B1165" s="144" t="s">
        <v>562</v>
      </c>
      <c r="C1165" s="15">
        <v>91.6</v>
      </c>
      <c r="D1165" s="15">
        <v>0.43</v>
      </c>
      <c r="E1165" s="146">
        <v>1.0</v>
      </c>
      <c r="F1165" s="15">
        <v>1.0</v>
      </c>
      <c r="G1165" s="15">
        <v>-0.18988141</v>
      </c>
      <c r="H1165" s="15">
        <v>-0.06624609</v>
      </c>
      <c r="I1165" s="15">
        <v>0.03234108</v>
      </c>
      <c r="J1165" s="15">
        <v>0.05350977</v>
      </c>
      <c r="K1165" s="15">
        <v>346.59</v>
      </c>
    </row>
    <row r="1166" ht="22.5" customHeight="1">
      <c r="A1166" s="167">
        <v>46084.93356481481</v>
      </c>
      <c r="B1166" s="144" t="s">
        <v>588</v>
      </c>
      <c r="C1166" s="15">
        <v>16.99</v>
      </c>
      <c r="D1166" s="15">
        <v>0.42</v>
      </c>
      <c r="E1166" s="146">
        <v>0.45</v>
      </c>
      <c r="F1166" s="15">
        <v>0.45</v>
      </c>
      <c r="G1166" s="15">
        <v>0.53392349</v>
      </c>
      <c r="H1166" s="15">
        <v>-0.01811596</v>
      </c>
      <c r="I1166" s="15">
        <v>0.26061852</v>
      </c>
      <c r="J1166" s="15">
        <v>0.01542024</v>
      </c>
      <c r="K1166" s="15">
        <v>33.84</v>
      </c>
    </row>
    <row r="1167" ht="22.5" customHeight="1">
      <c r="A1167" s="167">
        <v>46084.933587962965</v>
      </c>
      <c r="B1167" s="144" t="s">
        <v>553</v>
      </c>
      <c r="C1167" s="15">
        <v>48.1</v>
      </c>
      <c r="D1167" s="15">
        <v>0.94</v>
      </c>
      <c r="E1167" s="146">
        <v>1.33</v>
      </c>
      <c r="F1167" s="15">
        <v>1.33</v>
      </c>
      <c r="G1167" s="15">
        <v>-0.21790739</v>
      </c>
      <c r="H1167" s="15">
        <v>-0.0836693</v>
      </c>
      <c r="I1167" s="15">
        <v>0.0303488</v>
      </c>
      <c r="J1167" s="15">
        <v>0.02995292</v>
      </c>
      <c r="K1167" s="15">
        <v>614.3</v>
      </c>
    </row>
    <row r="1168" ht="22.5" customHeight="1">
      <c r="A1168" s="167">
        <v>46084.933599537035</v>
      </c>
      <c r="B1168" s="144" t="s">
        <v>554</v>
      </c>
      <c r="C1168" s="15">
        <v>48.1</v>
      </c>
      <c r="D1168" s="15">
        <v>0.47</v>
      </c>
      <c r="E1168" s="146">
        <v>0.08</v>
      </c>
      <c r="F1168" s="15">
        <v>0.08</v>
      </c>
      <c r="G1168" s="15">
        <v>0.04555058</v>
      </c>
      <c r="H1168" s="15">
        <v>-0.01407263</v>
      </c>
      <c r="I1168" s="15">
        <v>0.01955492</v>
      </c>
      <c r="J1168" s="15">
        <v>0.01091474</v>
      </c>
      <c r="K1168" s="15">
        <v>0.42</v>
      </c>
    </row>
    <row r="1169" ht="22.5" customHeight="1">
      <c r="A1169" s="167">
        <v>46084.93361111111</v>
      </c>
      <c r="B1169" s="144" t="s">
        <v>555</v>
      </c>
      <c r="C1169" s="15">
        <v>48.1</v>
      </c>
      <c r="D1169" s="15">
        <v>0.51</v>
      </c>
      <c r="E1169" s="146">
        <v>0.03</v>
      </c>
      <c r="F1169" s="15">
        <v>0.03</v>
      </c>
      <c r="G1169" s="15">
        <v>0.02528909</v>
      </c>
      <c r="H1169" s="15">
        <v>-0.00935199</v>
      </c>
      <c r="I1169" s="15">
        <v>0.01120374</v>
      </c>
      <c r="J1169" s="15">
        <v>0.00689878</v>
      </c>
      <c r="K1169" s="15">
        <v>0.17</v>
      </c>
    </row>
    <row r="1170" ht="22.5" customHeight="1">
      <c r="A1170" s="167">
        <v>46084.93363425926</v>
      </c>
      <c r="B1170" s="144" t="s">
        <v>595</v>
      </c>
      <c r="C1170" s="15">
        <v>8.9</v>
      </c>
      <c r="D1170" s="15">
        <v>1.12</v>
      </c>
      <c r="E1170" s="146">
        <v>0.14</v>
      </c>
      <c r="F1170" s="15">
        <v>0.14</v>
      </c>
      <c r="G1170" s="15">
        <v>0.13433987</v>
      </c>
      <c r="H1170" s="15">
        <v>-0.01393096</v>
      </c>
      <c r="I1170" s="15">
        <v>0.10074355</v>
      </c>
      <c r="J1170" s="15">
        <v>0.00382151</v>
      </c>
      <c r="K1170" s="15">
        <v>10.32</v>
      </c>
    </row>
    <row r="1171" ht="22.5" customHeight="1">
      <c r="A1171" s="167">
        <v>46084.93366898148</v>
      </c>
      <c r="B1171" s="144" t="s">
        <v>594</v>
      </c>
      <c r="C1171" s="15">
        <v>30.74</v>
      </c>
      <c r="D1171" s="15">
        <v>0.78</v>
      </c>
      <c r="E1171" s="146">
        <v>0.39</v>
      </c>
      <c r="F1171" s="15">
        <v>0.39</v>
      </c>
      <c r="G1171" s="15">
        <v>0.10780677</v>
      </c>
      <c r="H1171" s="15">
        <v>-0.01778467</v>
      </c>
      <c r="I1171" s="15">
        <v>0.02204934</v>
      </c>
      <c r="J1171" s="15">
        <v>0.02265171</v>
      </c>
      <c r="K1171" s="15">
        <v>33.65</v>
      </c>
    </row>
    <row r="1172" ht="22.5" customHeight="1">
      <c r="A1172" s="167">
        <v>46084.93369212963</v>
      </c>
      <c r="B1172" s="144" t="s">
        <v>609</v>
      </c>
      <c r="C1172" s="15">
        <v>7.04</v>
      </c>
      <c r="D1172" s="15">
        <v>1.09</v>
      </c>
      <c r="E1172" s="146">
        <v>0.33</v>
      </c>
      <c r="F1172" s="15">
        <v>0.33</v>
      </c>
      <c r="G1172" s="15">
        <v>0.24032025</v>
      </c>
      <c r="H1172" s="15">
        <v>-0.00953485</v>
      </c>
      <c r="I1172" s="15">
        <v>0.11500003</v>
      </c>
      <c r="J1172" s="15">
        <v>0.00777777</v>
      </c>
      <c r="K1172" s="15">
        <v>27.56</v>
      </c>
    </row>
    <row r="1173" ht="22.5" customHeight="1">
      <c r="A1173" s="167">
        <v>46084.93372685185</v>
      </c>
      <c r="B1173" s="144" t="s">
        <v>586</v>
      </c>
      <c r="C1173" s="15">
        <v>46.74</v>
      </c>
      <c r="D1173" s="15">
        <v>0.21</v>
      </c>
      <c r="E1173" s="146">
        <v>0.3</v>
      </c>
      <c r="F1173" s="15">
        <v>0.3</v>
      </c>
      <c r="G1173" s="15">
        <v>0.203792</v>
      </c>
      <c r="H1173" s="15">
        <v>-0.01166055</v>
      </c>
      <c r="I1173" s="15">
        <v>0.08390353</v>
      </c>
      <c r="J1173" s="15">
        <v>0.04775528</v>
      </c>
      <c r="K1173" s="15">
        <v>39.93</v>
      </c>
    </row>
    <row r="1174" ht="22.5" customHeight="1">
      <c r="A1174" s="167">
        <v>46084.93375</v>
      </c>
      <c r="B1174" s="144" t="s">
        <v>600</v>
      </c>
      <c r="C1174" s="15">
        <v>13.3</v>
      </c>
      <c r="D1174" s="15">
        <v>0.59</v>
      </c>
      <c r="E1174" s="146">
        <v>0.275</v>
      </c>
      <c r="F1174" s="15">
        <v>0.275</v>
      </c>
      <c r="G1174" s="15">
        <v>0.17209316</v>
      </c>
      <c r="H1174" s="15">
        <v>-0.00777152</v>
      </c>
      <c r="I1174" s="15">
        <v>0.09187438</v>
      </c>
      <c r="J1174" s="15">
        <v>0.01242827</v>
      </c>
      <c r="K1174" s="15">
        <v>8.71</v>
      </c>
    </row>
    <row r="1175" ht="22.5" customHeight="1">
      <c r="A1175" s="167">
        <v>46084.93376157407</v>
      </c>
      <c r="B1175" s="144" t="s">
        <v>542</v>
      </c>
      <c r="C1175" s="15">
        <v>681.66</v>
      </c>
      <c r="D1175" s="15">
        <v>0.21</v>
      </c>
      <c r="E1175" s="146">
        <v>8.8</v>
      </c>
      <c r="F1175" s="15">
        <v>8.8</v>
      </c>
      <c r="G1175" s="15">
        <v>-0.40531665</v>
      </c>
      <c r="H1175" s="15">
        <v>-0.32908518</v>
      </c>
      <c r="I1175" s="15">
        <v>0.01232175</v>
      </c>
      <c r="J1175" s="15">
        <v>0.56836731</v>
      </c>
      <c r="K1175" s="15">
        <v>5163.14</v>
      </c>
    </row>
    <row r="1176" ht="22.5" customHeight="1">
      <c r="A1176" s="167">
        <v>46084.93377314815</v>
      </c>
      <c r="B1176" s="144" t="s">
        <v>608</v>
      </c>
      <c r="C1176" s="15">
        <v>681.66</v>
      </c>
      <c r="D1176" s="15">
        <v>0.21</v>
      </c>
      <c r="E1176" s="146">
        <v>11.63</v>
      </c>
      <c r="F1176" s="15">
        <v>11.63</v>
      </c>
      <c r="G1176" s="15">
        <v>-0.3419975</v>
      </c>
      <c r="H1176" s="15">
        <v>-0.17762625</v>
      </c>
      <c r="I1176" s="15">
        <v>0.00735272</v>
      </c>
      <c r="J1176" s="15">
        <v>0.87626897</v>
      </c>
      <c r="K1176" s="15">
        <v>5015.36</v>
      </c>
    </row>
    <row r="1177" ht="22.5" customHeight="1">
      <c r="A1177" s="167">
        <v>46084.93380787037</v>
      </c>
      <c r="B1177" s="144" t="s">
        <v>569</v>
      </c>
      <c r="C1177" s="15">
        <v>62.54</v>
      </c>
      <c r="D1177" s="15">
        <v>0.42</v>
      </c>
      <c r="E1177" s="146">
        <v>0.3</v>
      </c>
      <c r="F1177" s="15">
        <v>0.3</v>
      </c>
      <c r="G1177" s="15">
        <v>0.11905154</v>
      </c>
      <c r="H1177" s="15">
        <v>-0.03425694</v>
      </c>
      <c r="I1177" s="15">
        <v>0.03508852</v>
      </c>
      <c r="J1177" s="15">
        <v>0.02497779</v>
      </c>
      <c r="K1177" s="15">
        <v>25.87</v>
      </c>
    </row>
    <row r="1178" ht="22.5" customHeight="1">
      <c r="A1178" s="167">
        <v>46084.93383101852</v>
      </c>
      <c r="B1178" s="144" t="s">
        <v>521</v>
      </c>
      <c r="C1178" s="15">
        <v>9.8</v>
      </c>
      <c r="D1178" s="15">
        <v>1.76</v>
      </c>
      <c r="E1178" s="146">
        <v>0.04</v>
      </c>
      <c r="F1178" s="15">
        <v>0.04</v>
      </c>
      <c r="G1178" s="15">
        <v>0.02452831</v>
      </c>
      <c r="H1178" s="15">
        <v>-0.00692418</v>
      </c>
      <c r="I1178" s="15">
        <v>0.0136647</v>
      </c>
      <c r="J1178" s="15">
        <v>0.00156754</v>
      </c>
      <c r="K1178" s="15">
        <v>1.16</v>
      </c>
    </row>
    <row r="1179" ht="22.5" customHeight="1">
      <c r="A1179" s="167">
        <v>46084.93386574074</v>
      </c>
      <c r="B1179" s="144" t="s">
        <v>565</v>
      </c>
      <c r="C1179" s="15">
        <v>243.85</v>
      </c>
      <c r="D1179" s="15">
        <v>0.28</v>
      </c>
      <c r="E1179" s="146">
        <v>1.25</v>
      </c>
      <c r="F1179" s="15">
        <v>1.25</v>
      </c>
      <c r="G1179" s="15">
        <v>0.15895311</v>
      </c>
      <c r="H1179" s="15">
        <v>-0.1100135</v>
      </c>
      <c r="I1179" s="15">
        <v>0.01643448</v>
      </c>
      <c r="J1179" s="15">
        <v>0.12182155</v>
      </c>
      <c r="K1179" s="15">
        <v>1520.05</v>
      </c>
    </row>
    <row r="1180" ht="22.5" customHeight="1">
      <c r="A1180" s="167">
        <v>46084.93387731481</v>
      </c>
      <c r="B1180" s="144" t="s">
        <v>566</v>
      </c>
      <c r="C1180" s="15">
        <v>243.85</v>
      </c>
      <c r="D1180" s="15">
        <v>0.28</v>
      </c>
      <c r="E1180" s="146">
        <v>0.4</v>
      </c>
      <c r="F1180" s="15">
        <v>0.4</v>
      </c>
      <c r="G1180" s="15">
        <v>0.05022863</v>
      </c>
      <c r="H1180" s="15">
        <v>-0.045923</v>
      </c>
      <c r="I1180" s="15">
        <v>0.00708407</v>
      </c>
      <c r="J1180" s="15">
        <v>0.05432289</v>
      </c>
      <c r="K1180" s="15">
        <v>13.73</v>
      </c>
    </row>
    <row r="1181" ht="22.5" customHeight="1">
      <c r="A1181" s="167">
        <v>46084.933900462966</v>
      </c>
      <c r="B1181" s="144" t="s">
        <v>519</v>
      </c>
      <c r="C1181" s="15">
        <v>74.68</v>
      </c>
      <c r="D1181" s="15">
        <v>0.89</v>
      </c>
      <c r="E1181" s="146">
        <v>6.5</v>
      </c>
      <c r="F1181" s="15">
        <v>4.18</v>
      </c>
      <c r="G1181" s="15">
        <v>-0.52199894</v>
      </c>
      <c r="H1181" s="15">
        <v>-0.16549193</v>
      </c>
      <c r="I1181" s="15">
        <v>0.02789876</v>
      </c>
      <c r="J1181" s="15">
        <v>0.06471516</v>
      </c>
      <c r="K1181" s="15">
        <v>1140.35</v>
      </c>
    </row>
    <row r="1182" ht="22.5" customHeight="1">
      <c r="A1182" s="167">
        <v>46084.93392361111</v>
      </c>
      <c r="B1182" s="144" t="s">
        <v>603</v>
      </c>
      <c r="C1182" s="15">
        <v>468.14</v>
      </c>
      <c r="D1182" s="15">
        <v>0.33</v>
      </c>
      <c r="E1182" s="146">
        <v>12.6</v>
      </c>
      <c r="F1182" s="15">
        <v>12.6</v>
      </c>
      <c r="G1182" s="15">
        <v>-0.32900809</v>
      </c>
      <c r="H1182" s="15">
        <v>-0.2017518</v>
      </c>
      <c r="I1182" s="15">
        <v>0.00679534</v>
      </c>
      <c r="J1182" s="15">
        <v>0.60494706</v>
      </c>
      <c r="K1182" s="15">
        <v>4011.31</v>
      </c>
    </row>
    <row r="1183" ht="22.5" customHeight="1">
      <c r="A1183" s="167">
        <v>46084.93393518519</v>
      </c>
      <c r="B1183" s="144" t="s">
        <v>604</v>
      </c>
      <c r="C1183" s="15">
        <v>468.14</v>
      </c>
      <c r="D1183" s="15">
        <v>0.33</v>
      </c>
      <c r="E1183" s="146">
        <v>16.8</v>
      </c>
      <c r="F1183" s="15">
        <v>16.8</v>
      </c>
      <c r="G1183" s="15">
        <v>-0.40217789</v>
      </c>
      <c r="H1183" s="15">
        <v>-0.21693799</v>
      </c>
      <c r="I1183" s="15">
        <v>0.00719595</v>
      </c>
      <c r="J1183" s="15">
        <v>0.64116819</v>
      </c>
      <c r="K1183" s="15">
        <v>3689.77</v>
      </c>
    </row>
    <row r="1184" ht="22.5" customHeight="1">
      <c r="A1184" s="167">
        <v>46084.93394675926</v>
      </c>
      <c r="B1184" s="144" t="s">
        <v>605</v>
      </c>
      <c r="C1184" s="15">
        <v>468.14</v>
      </c>
      <c r="D1184" s="15">
        <v>0.33</v>
      </c>
      <c r="E1184" s="146">
        <v>18.3</v>
      </c>
      <c r="F1184" s="15">
        <v>18.3</v>
      </c>
      <c r="G1184" s="15">
        <v>-0.43873036</v>
      </c>
      <c r="H1184" s="15">
        <v>-0.21582441</v>
      </c>
      <c r="I1184" s="15">
        <v>0.00746288</v>
      </c>
      <c r="J1184" s="15">
        <v>0.64678691</v>
      </c>
      <c r="K1184" s="15">
        <v>4847.38</v>
      </c>
    </row>
    <row r="1185" ht="22.5" customHeight="1">
      <c r="A1185" s="167">
        <v>46084.933958333335</v>
      </c>
      <c r="B1185" s="144" t="s">
        <v>558</v>
      </c>
      <c r="C1185" s="15">
        <v>259.24</v>
      </c>
      <c r="D1185" s="15">
        <v>0.22</v>
      </c>
      <c r="E1185" s="146">
        <v>0.92</v>
      </c>
      <c r="F1185" s="15">
        <v>0.92</v>
      </c>
      <c r="G1185" s="15">
        <v>0.13744894</v>
      </c>
      <c r="H1185" s="15">
        <v>-0.08488548</v>
      </c>
      <c r="I1185" s="15">
        <v>0.01840514</v>
      </c>
      <c r="J1185" s="15">
        <v>0.13145468</v>
      </c>
      <c r="K1185" s="15">
        <v>5.51</v>
      </c>
    </row>
    <row r="1186" ht="22.5" customHeight="1">
      <c r="A1186" s="167">
        <v>46084.93399305556</v>
      </c>
      <c r="B1186" s="144" t="s">
        <v>591</v>
      </c>
      <c r="C1186" s="15">
        <v>61.22</v>
      </c>
      <c r="D1186" s="15">
        <v>0.25</v>
      </c>
      <c r="E1186" s="146">
        <v>0.2</v>
      </c>
      <c r="F1186" s="15">
        <v>0.2</v>
      </c>
      <c r="G1186" s="15">
        <v>0.06487063</v>
      </c>
      <c r="H1186" s="15">
        <v>-0.00816866</v>
      </c>
      <c r="I1186" s="15">
        <v>0.0238031</v>
      </c>
      <c r="J1186" s="15">
        <v>0.03047101</v>
      </c>
      <c r="K1186" s="15">
        <v>11.55</v>
      </c>
    </row>
    <row r="1187" ht="22.5" customHeight="1">
      <c r="A1187" s="167">
        <v>46084.93460648148</v>
      </c>
      <c r="B1187" s="144" t="s">
        <v>567</v>
      </c>
      <c r="C1187" s="15">
        <v>59.68</v>
      </c>
      <c r="D1187" s="15">
        <v>0.34</v>
      </c>
      <c r="E1187" s="146">
        <v>0.0</v>
      </c>
      <c r="F1187" s="15">
        <v>0.0</v>
      </c>
      <c r="G1187" s="15">
        <v>0.00337926</v>
      </c>
      <c r="H1187" s="15">
        <v>-0.00127813</v>
      </c>
      <c r="I1187" s="15">
        <v>0.00222433</v>
      </c>
      <c r="J1187" s="15">
        <v>0.00160196</v>
      </c>
      <c r="K1187" s="15">
        <v>0.08</v>
      </c>
    </row>
    <row r="1188" ht="22.5" customHeight="1">
      <c r="A1188" s="167">
        <v>46084.93462962963</v>
      </c>
      <c r="B1188" s="144" t="s">
        <v>518</v>
      </c>
      <c r="C1188" s="15">
        <v>11.28</v>
      </c>
      <c r="D1188" s="15">
        <v>0.29</v>
      </c>
      <c r="E1188" s="146">
        <v>0.075</v>
      </c>
      <c r="F1188" s="15">
        <v>0.075</v>
      </c>
      <c r="G1188" s="15">
        <v>0.25879432</v>
      </c>
      <c r="H1188" s="15">
        <v>-0.00694453</v>
      </c>
      <c r="I1188" s="15">
        <v>0.4500213</v>
      </c>
      <c r="J1188" s="15">
        <v>0.00830412</v>
      </c>
      <c r="K1188" s="15">
        <v>4.96</v>
      </c>
    </row>
    <row r="1189" ht="22.5" customHeight="1">
      <c r="A1189" s="167">
        <v>46084.93524305556</v>
      </c>
      <c r="B1189" s="144" t="s">
        <v>570</v>
      </c>
      <c r="C1189" s="15">
        <v>48.27</v>
      </c>
      <c r="D1189" s="15">
        <v>0.42</v>
      </c>
      <c r="E1189" s="146">
        <v>0.0</v>
      </c>
      <c r="F1189" s="15">
        <v>0.0</v>
      </c>
      <c r="G1189" s="15">
        <v>0.05519355</v>
      </c>
      <c r="H1189" s="15">
        <v>-0.01713483</v>
      </c>
      <c r="I1189" s="15">
        <v>0.01973969</v>
      </c>
      <c r="J1189" s="15">
        <v>0.01161649</v>
      </c>
      <c r="K1189" s="15">
        <v>1.32</v>
      </c>
    </row>
    <row r="1190" ht="22.5" customHeight="1">
      <c r="A1190" s="167">
        <v>46084.935844907406</v>
      </c>
      <c r="B1190" s="144" t="s">
        <v>550</v>
      </c>
      <c r="C1190" s="15">
        <v>8.22</v>
      </c>
      <c r="D1190" s="15">
        <v>0.48</v>
      </c>
      <c r="E1190" s="146">
        <v>0.0</v>
      </c>
      <c r="F1190" s="15">
        <v>0.0</v>
      </c>
      <c r="G1190" s="15">
        <v>0.0706024</v>
      </c>
      <c r="H1190" s="15">
        <v>-0.0032796</v>
      </c>
      <c r="I1190" s="15">
        <v>0.16959963</v>
      </c>
      <c r="J1190" s="15">
        <v>0.00275182</v>
      </c>
      <c r="K1190" s="15">
        <v>0.5</v>
      </c>
    </row>
    <row r="1191" ht="22.5" customHeight="1">
      <c r="A1191" s="167">
        <v>46084.93587962963</v>
      </c>
      <c r="B1191" s="144" t="s">
        <v>601</v>
      </c>
      <c r="C1191" s="15">
        <v>5.78</v>
      </c>
      <c r="D1191" s="15">
        <v>0.81</v>
      </c>
      <c r="E1191" s="146">
        <v>0.25</v>
      </c>
      <c r="F1191" s="15">
        <v>0.25</v>
      </c>
      <c r="G1191" s="15">
        <v>0.41212522</v>
      </c>
      <c r="H1191" s="15">
        <v>-0.01294473</v>
      </c>
      <c r="I1191" s="15">
        <v>0.44628378</v>
      </c>
      <c r="J1191" s="15">
        <v>0.00473042</v>
      </c>
      <c r="K1191" s="15">
        <v>19.21</v>
      </c>
    </row>
    <row r="1192" ht="22.5" customHeight="1">
      <c r="A1192" s="167">
        <v>46084.935902777775</v>
      </c>
      <c r="B1192" s="144" t="s">
        <v>568</v>
      </c>
      <c r="C1192" s="15">
        <v>39.7</v>
      </c>
      <c r="D1192" s="15">
        <v>0.38</v>
      </c>
      <c r="E1192" s="146">
        <v>1.3</v>
      </c>
      <c r="F1192" s="15">
        <v>1.0</v>
      </c>
      <c r="G1192" s="15">
        <v>-0.51469285</v>
      </c>
      <c r="H1192" s="15">
        <v>-0.0361412</v>
      </c>
      <c r="I1192" s="15">
        <v>0.12453536</v>
      </c>
      <c r="J1192" s="15">
        <v>0.03413178</v>
      </c>
      <c r="K1192" s="15">
        <v>115.05</v>
      </c>
    </row>
    <row r="1193" ht="22.5" customHeight="1">
      <c r="A1193" s="167">
        <v>46084.93592592593</v>
      </c>
      <c r="B1193" s="144" t="s">
        <v>597</v>
      </c>
      <c r="C1193" s="15">
        <v>63.07</v>
      </c>
      <c r="D1193" s="15">
        <v>1.25</v>
      </c>
      <c r="E1193" s="146">
        <v>6.0</v>
      </c>
      <c r="F1193" s="15">
        <v>6.0</v>
      </c>
      <c r="G1193" s="15">
        <v>0.51323719</v>
      </c>
      <c r="H1193" s="15">
        <v>-0.20374476</v>
      </c>
      <c r="I1193" s="15">
        <v>0.02346947</v>
      </c>
      <c r="J1193" s="15">
        <v>0.05439504</v>
      </c>
      <c r="K1193" s="15">
        <v>1371.92</v>
      </c>
    </row>
    <row r="1194" ht="22.5" customHeight="1">
      <c r="A1194" s="167">
        <v>46084.9359375</v>
      </c>
      <c r="B1194" s="144" t="s">
        <v>598</v>
      </c>
      <c r="C1194" s="15">
        <v>63.07</v>
      </c>
      <c r="D1194" s="15">
        <v>1.26</v>
      </c>
      <c r="E1194" s="146">
        <v>4.35</v>
      </c>
      <c r="F1194" s="15">
        <v>4.35</v>
      </c>
      <c r="G1194" s="15">
        <v>0.40511661</v>
      </c>
      <c r="H1194" s="15">
        <v>-0.19934524</v>
      </c>
      <c r="I1194" s="15">
        <v>0.02275099</v>
      </c>
      <c r="J1194" s="15">
        <v>0.05433089</v>
      </c>
      <c r="K1194" s="15">
        <v>376.52</v>
      </c>
    </row>
    <row r="1195" ht="22.5" customHeight="1">
      <c r="A1195" s="167">
        <v>46084.93597222222</v>
      </c>
      <c r="B1195" s="144" t="s">
        <v>610</v>
      </c>
      <c r="C1195" s="15">
        <v>21.27</v>
      </c>
      <c r="D1195" s="15">
        <v>0.59</v>
      </c>
      <c r="E1195" s="146">
        <v>1.0</v>
      </c>
      <c r="F1195" s="15">
        <v>1.0</v>
      </c>
      <c r="G1195" s="15">
        <v>-0.33667163</v>
      </c>
      <c r="H1195" s="15">
        <v>-0.01709181</v>
      </c>
      <c r="I1195" s="15">
        <v>0.08367986</v>
      </c>
      <c r="J1195" s="15">
        <v>0.02728483</v>
      </c>
      <c r="K1195" s="15">
        <v>93.33</v>
      </c>
    </row>
    <row r="1196" ht="22.5" customHeight="1">
      <c r="A1196" s="167">
        <v>46084.93599537037</v>
      </c>
      <c r="B1196" s="144" t="s">
        <v>602</v>
      </c>
      <c r="C1196" s="15">
        <v>72.02</v>
      </c>
      <c r="D1196" s="15">
        <v>0.34</v>
      </c>
      <c r="E1196" s="146">
        <v>0.375</v>
      </c>
      <c r="F1196" s="15">
        <v>0.375</v>
      </c>
      <c r="G1196" s="15">
        <v>0.23604941</v>
      </c>
      <c r="H1196" s="15">
        <v>-0.05643534</v>
      </c>
      <c r="I1196" s="15">
        <v>0.05142488</v>
      </c>
      <c r="J1196" s="15">
        <v>0.0547059</v>
      </c>
      <c r="K1196" s="15">
        <v>17.48</v>
      </c>
    </row>
    <row r="1197" ht="22.5" customHeight="1">
      <c r="A1197" s="167">
        <v>46084.93601851852</v>
      </c>
      <c r="B1197" s="144" t="s">
        <v>596</v>
      </c>
      <c r="C1197" s="15">
        <v>78.99</v>
      </c>
      <c r="D1197" s="15">
        <v>0.31</v>
      </c>
      <c r="E1197" s="146">
        <v>0.2</v>
      </c>
      <c r="F1197" s="15">
        <v>0.2</v>
      </c>
      <c r="G1197" s="15">
        <v>0.05281441</v>
      </c>
      <c r="H1197" s="15">
        <v>-0.01062959</v>
      </c>
      <c r="I1197" s="15">
        <v>0.01265346</v>
      </c>
      <c r="J1197" s="15">
        <v>0.03051824</v>
      </c>
      <c r="K1197" s="15">
        <v>6.43</v>
      </c>
    </row>
    <row r="1198" ht="22.5" customHeight="1">
      <c r="A1198" s="167">
        <v>46084.93605324074</v>
      </c>
      <c r="B1198" s="144" t="s">
        <v>611</v>
      </c>
      <c r="C1198" s="15">
        <v>46.47</v>
      </c>
      <c r="D1198" s="15">
        <v>0.25</v>
      </c>
      <c r="E1198" s="146">
        <v>0.2</v>
      </c>
      <c r="F1198" s="15">
        <v>0.2</v>
      </c>
      <c r="G1198" s="15">
        <v>0.16167874</v>
      </c>
      <c r="H1198" s="15">
        <v>-0.01191914</v>
      </c>
      <c r="I1198" s="15">
        <v>0.05830115</v>
      </c>
      <c r="J1198" s="15">
        <v>0.04085487</v>
      </c>
      <c r="K1198" s="15">
        <v>16.56</v>
      </c>
    </row>
    <row r="1199" ht="22.5" customHeight="1">
      <c r="A1199" s="167">
        <v>46084.936064814814</v>
      </c>
      <c r="B1199" s="144" t="s">
        <v>612</v>
      </c>
      <c r="C1199" s="15">
        <v>46.47</v>
      </c>
      <c r="D1199" s="15">
        <v>0.3</v>
      </c>
      <c r="E1199" s="146">
        <v>0.45</v>
      </c>
      <c r="F1199" s="15">
        <v>0.45</v>
      </c>
      <c r="G1199" s="15">
        <v>-0.16917386</v>
      </c>
      <c r="H1199" s="15">
        <v>-0.01273022</v>
      </c>
      <c r="I1199" s="15">
        <v>0.05277043</v>
      </c>
      <c r="J1199" s="15">
        <v>0.03996471</v>
      </c>
      <c r="K1199" s="15">
        <v>41.75</v>
      </c>
    </row>
    <row r="1200" ht="22.5" customHeight="1">
      <c r="A1200" s="167">
        <v>46085.93619212963</v>
      </c>
      <c r="B1200" s="144" t="s">
        <v>543</v>
      </c>
      <c r="C1200" s="15">
        <v>686.9</v>
      </c>
      <c r="D1200" s="15">
        <v>0.25</v>
      </c>
      <c r="E1200" s="146">
        <v>2.61</v>
      </c>
      <c r="F1200" s="15">
        <v>2.61</v>
      </c>
      <c r="G1200" s="15">
        <v>-0.13812964</v>
      </c>
      <c r="H1200" s="15">
        <v>-0.24192844</v>
      </c>
      <c r="I1200" s="15">
        <v>0.00604349</v>
      </c>
      <c r="J1200" s="15">
        <v>0.31643004</v>
      </c>
      <c r="K1200" s="15">
        <v>4953.34</v>
      </c>
    </row>
    <row r="1201" ht="22.5" customHeight="1">
      <c r="A1201" s="167">
        <v>46085.936203703706</v>
      </c>
      <c r="B1201" s="144" t="s">
        <v>544</v>
      </c>
      <c r="C1201" s="15">
        <v>686.9</v>
      </c>
      <c r="D1201" s="15">
        <v>0.22</v>
      </c>
      <c r="E1201" s="146">
        <v>4.76</v>
      </c>
      <c r="F1201" s="15">
        <v>4.76</v>
      </c>
      <c r="G1201" s="15">
        <v>-0.27540647</v>
      </c>
      <c r="H1201" s="15">
        <v>-0.30676208</v>
      </c>
      <c r="I1201" s="15">
        <v>0.01066953</v>
      </c>
      <c r="J1201" s="15">
        <v>0.47908179</v>
      </c>
      <c r="K1201" s="15">
        <v>5131.74</v>
      </c>
    </row>
    <row r="1202" ht="22.5" customHeight="1">
      <c r="A1202" s="167">
        <v>46085.93623842593</v>
      </c>
      <c r="B1202" s="144" t="s">
        <v>556</v>
      </c>
      <c r="C1202" s="15">
        <v>261.76</v>
      </c>
      <c r="D1202" s="15">
        <v>0.22</v>
      </c>
      <c r="E1202" s="146">
        <v>1.79</v>
      </c>
      <c r="F1202" s="15">
        <v>1.79</v>
      </c>
      <c r="G1202" s="15">
        <v>0.2549229</v>
      </c>
      <c r="H1202" s="15">
        <v>-0.13009832</v>
      </c>
      <c r="I1202" s="15">
        <v>0.02784656</v>
      </c>
      <c r="J1202" s="15">
        <v>0.18064068</v>
      </c>
      <c r="K1202" s="15">
        <v>12.22</v>
      </c>
    </row>
    <row r="1203" ht="22.5" customHeight="1">
      <c r="A1203" s="167">
        <v>46085.93625</v>
      </c>
      <c r="B1203" s="144" t="s">
        <v>557</v>
      </c>
      <c r="C1203" s="15">
        <v>261.76</v>
      </c>
      <c r="D1203" s="15">
        <v>0.34</v>
      </c>
      <c r="E1203" s="146">
        <v>0.94</v>
      </c>
      <c r="F1203" s="15">
        <v>0.94</v>
      </c>
      <c r="G1203" s="15">
        <v>-0.105822</v>
      </c>
      <c r="H1203" s="15">
        <v>-0.1029153</v>
      </c>
      <c r="I1203" s="15">
        <v>0.01001397</v>
      </c>
      <c r="J1203" s="15">
        <v>0.11073877</v>
      </c>
      <c r="K1203" s="15">
        <v>1761.94</v>
      </c>
    </row>
    <row r="1204" ht="22.5" customHeight="1">
      <c r="A1204" s="167">
        <v>46085.936273148145</v>
      </c>
      <c r="B1204" s="144" t="s">
        <v>515</v>
      </c>
      <c r="C1204" s="15">
        <v>16.77</v>
      </c>
      <c r="D1204" s="15">
        <v>0.42</v>
      </c>
      <c r="E1204" s="146">
        <v>0.47</v>
      </c>
      <c r="F1204" s="15">
        <v>0.47</v>
      </c>
      <c r="G1204" s="15">
        <v>0.46108122</v>
      </c>
      <c r="H1204" s="15">
        <v>-0.01929527</v>
      </c>
      <c r="I1204" s="15">
        <v>0.26943</v>
      </c>
      <c r="J1204" s="15">
        <v>0.01405138</v>
      </c>
      <c r="K1204" s="15">
        <v>43.69</v>
      </c>
    </row>
    <row r="1205" ht="22.5" customHeight="1">
      <c r="A1205" s="167">
        <v>46085.93686342592</v>
      </c>
      <c r="B1205" s="144" t="s">
        <v>517</v>
      </c>
      <c r="C1205" s="15">
        <v>16.77</v>
      </c>
      <c r="D1205" s="15">
        <v>0.72</v>
      </c>
      <c r="E1205" s="146">
        <v>0.0</v>
      </c>
      <c r="F1205" s="15">
        <v>0.0</v>
      </c>
      <c r="G1205" s="15">
        <v>-0.00857869</v>
      </c>
      <c r="H1205" s="15">
        <v>-0.00172123</v>
      </c>
      <c r="I1205" s="15">
        <v>0.00907645</v>
      </c>
      <c r="J1205" s="15">
        <v>8.2689E-4</v>
      </c>
      <c r="K1205" s="15">
        <v>0.94</v>
      </c>
    </row>
    <row r="1206" ht="22.5" customHeight="1">
      <c r="A1206" s="167">
        <v>46085.936886574076</v>
      </c>
      <c r="B1206" s="144" t="s">
        <v>561</v>
      </c>
      <c r="C1206" s="15">
        <v>28.98</v>
      </c>
      <c r="D1206" s="15">
        <v>0.3</v>
      </c>
      <c r="E1206" s="146">
        <v>0.11</v>
      </c>
      <c r="F1206" s="15">
        <v>0.11</v>
      </c>
      <c r="G1206" s="15">
        <v>-0.11722254</v>
      </c>
      <c r="H1206" s="15">
        <v>-0.01090581</v>
      </c>
      <c r="I1206" s="15">
        <v>0.10838532</v>
      </c>
      <c r="J1206" s="15">
        <v>0.01236617</v>
      </c>
      <c r="K1206" s="15">
        <v>10.24</v>
      </c>
    </row>
    <row r="1207" ht="22.5" customHeight="1">
      <c r="A1207" s="167">
        <v>46085.9369212963</v>
      </c>
      <c r="B1207" s="144" t="s">
        <v>573</v>
      </c>
      <c r="C1207" s="15">
        <v>357.44</v>
      </c>
      <c r="D1207" s="15">
        <v>0.54</v>
      </c>
      <c r="E1207" s="146">
        <v>5.5</v>
      </c>
      <c r="F1207" s="15">
        <v>5.5</v>
      </c>
      <c r="G1207" s="15">
        <v>-0.22579268</v>
      </c>
      <c r="H1207" s="15">
        <v>-0.37243328</v>
      </c>
      <c r="I1207" s="15">
        <v>0.00747068</v>
      </c>
      <c r="J1207" s="15">
        <v>0.22157009</v>
      </c>
      <c r="K1207" s="15">
        <v>3327.4</v>
      </c>
    </row>
    <row r="1208" ht="22.5" customHeight="1">
      <c r="A1208" s="167">
        <v>46085.936944444446</v>
      </c>
      <c r="B1208" s="144" t="s">
        <v>592</v>
      </c>
      <c r="C1208" s="15">
        <v>98.66</v>
      </c>
      <c r="D1208" s="15">
        <v>0.43</v>
      </c>
      <c r="E1208" s="146">
        <v>9.5</v>
      </c>
      <c r="F1208" s="15">
        <v>0.84</v>
      </c>
      <c r="G1208" s="15">
        <v>0.86208496</v>
      </c>
      <c r="H1208" s="15">
        <v>-0.06943667</v>
      </c>
      <c r="I1208" s="15">
        <v>0.02510438</v>
      </c>
      <c r="J1208" s="15">
        <v>0.04227098</v>
      </c>
      <c r="K1208" s="15">
        <v>908.51</v>
      </c>
    </row>
    <row r="1209" ht="22.5" customHeight="1">
      <c r="A1209" s="167">
        <v>46085.936956018515</v>
      </c>
      <c r="B1209" s="144" t="s">
        <v>593</v>
      </c>
      <c r="C1209" s="15">
        <v>98.66</v>
      </c>
      <c r="D1209" s="15">
        <v>0.39</v>
      </c>
      <c r="E1209" s="146">
        <v>5.45</v>
      </c>
      <c r="F1209" s="15">
        <v>1.79</v>
      </c>
      <c r="G1209" s="15">
        <v>0.69887241</v>
      </c>
      <c r="H1209" s="15">
        <v>-0.094886</v>
      </c>
      <c r="I1209" s="15">
        <v>0.04352319</v>
      </c>
      <c r="J1209" s="15">
        <v>0.07057514</v>
      </c>
      <c r="K1209" s="15">
        <v>464.5</v>
      </c>
    </row>
    <row r="1210" ht="22.5" customHeight="1">
      <c r="A1210" s="167">
        <v>46085.93699074074</v>
      </c>
      <c r="B1210" s="144" t="s">
        <v>577</v>
      </c>
      <c r="C1210" s="15">
        <v>76.65</v>
      </c>
      <c r="D1210" s="15">
        <v>0.58</v>
      </c>
      <c r="E1210" s="146">
        <v>0.07</v>
      </c>
      <c r="F1210" s="15">
        <v>0.07</v>
      </c>
      <c r="G1210" s="15">
        <v>-0.01813006</v>
      </c>
      <c r="H1210" s="15">
        <v>-0.01297881</v>
      </c>
      <c r="I1210" s="15">
        <v>0.00477831</v>
      </c>
      <c r="J1210" s="15">
        <v>0.00850668</v>
      </c>
      <c r="K1210" s="15">
        <v>4.63</v>
      </c>
    </row>
    <row r="1211" ht="22.5" customHeight="1">
      <c r="A1211" s="167">
        <v>46085.93701388889</v>
      </c>
      <c r="B1211" s="144" t="s">
        <v>583</v>
      </c>
      <c r="C1211" s="15">
        <v>133.52</v>
      </c>
      <c r="D1211" s="15">
        <v>0.21</v>
      </c>
      <c r="E1211" s="146">
        <v>0.43</v>
      </c>
      <c r="F1211" s="15">
        <v>0.43</v>
      </c>
      <c r="G1211" s="15">
        <v>0.15388413</v>
      </c>
      <c r="H1211" s="15">
        <v>-0.04595161</v>
      </c>
      <c r="I1211" s="15">
        <v>0.04044347</v>
      </c>
      <c r="J1211" s="15">
        <v>0.06476738</v>
      </c>
      <c r="K1211" s="15">
        <v>37.39</v>
      </c>
    </row>
    <row r="1212" ht="22.5" customHeight="1">
      <c r="A1212" s="167">
        <v>46085.93703703704</v>
      </c>
      <c r="B1212" s="144" t="s">
        <v>523</v>
      </c>
      <c r="C1212" s="15">
        <v>5870.92</v>
      </c>
      <c r="D1212" s="15">
        <v>0.17</v>
      </c>
      <c r="E1212" s="146">
        <v>2.0</v>
      </c>
      <c r="F1212" s="15">
        <v>2.0</v>
      </c>
      <c r="G1212" s="15">
        <v>0.02052544</v>
      </c>
      <c r="H1212" s="15">
        <v>-0.32397031</v>
      </c>
      <c r="I1212" s="15">
        <v>2.464E-4</v>
      </c>
      <c r="J1212" s="15">
        <v>0.59966665</v>
      </c>
      <c r="K1212" s="15">
        <v>2.01</v>
      </c>
    </row>
    <row r="1213" ht="22.5" customHeight="1">
      <c r="A1213" s="167">
        <v>46085.937048611115</v>
      </c>
      <c r="B1213" s="144" t="s">
        <v>606</v>
      </c>
      <c r="C1213" s="15">
        <v>686.9</v>
      </c>
      <c r="D1213" s="15">
        <v>0.26</v>
      </c>
      <c r="E1213" s="146">
        <v>3.55</v>
      </c>
      <c r="F1213" s="15">
        <v>3.55</v>
      </c>
      <c r="G1213" s="15">
        <v>-0.1144048</v>
      </c>
      <c r="H1213" s="15">
        <v>-0.12927347</v>
      </c>
      <c r="I1213" s="15">
        <v>0.00308052</v>
      </c>
      <c r="J1213" s="15">
        <v>0.46029702</v>
      </c>
      <c r="K1213" s="15">
        <v>4498.85</v>
      </c>
    </row>
    <row r="1214" ht="22.5" customHeight="1">
      <c r="A1214" s="167">
        <v>46085.937060185184</v>
      </c>
      <c r="B1214" s="144" t="s">
        <v>607</v>
      </c>
      <c r="C1214" s="15">
        <v>686.9</v>
      </c>
      <c r="D1214" s="15">
        <v>0.21</v>
      </c>
      <c r="E1214" s="146">
        <v>8.54</v>
      </c>
      <c r="F1214" s="15">
        <v>8.54</v>
      </c>
      <c r="G1214" s="15">
        <v>-0.26468831</v>
      </c>
      <c r="H1214" s="15">
        <v>-0.16678493</v>
      </c>
      <c r="I1214" s="15">
        <v>0.00650953</v>
      </c>
      <c r="J1214" s="15">
        <v>0.77914837</v>
      </c>
      <c r="K1214" s="15">
        <v>4956.08</v>
      </c>
    </row>
    <row r="1215" ht="22.5" customHeight="1">
      <c r="A1215" s="167">
        <v>46085.93707175926</v>
      </c>
      <c r="B1215" s="144" t="s">
        <v>524</v>
      </c>
      <c r="C1215" s="15">
        <v>5870.92</v>
      </c>
      <c r="D1215" s="15">
        <v>0.16</v>
      </c>
      <c r="E1215" s="146">
        <v>2.2</v>
      </c>
      <c r="F1215" s="15">
        <v>2.2</v>
      </c>
      <c r="G1215" s="15">
        <v>0.02615389</v>
      </c>
      <c r="H1215" s="15">
        <v>-0.3947823</v>
      </c>
      <c r="I1215" s="15">
        <v>3.0427E-4</v>
      </c>
      <c r="J1215" s="15">
        <v>0.73537557</v>
      </c>
      <c r="K1215" s="15">
        <v>1.9</v>
      </c>
    </row>
    <row r="1216" ht="22.5" customHeight="1">
      <c r="A1216" s="167">
        <v>46085.93708333333</v>
      </c>
      <c r="B1216" s="144" t="s">
        <v>525</v>
      </c>
      <c r="C1216" s="15">
        <v>5870.92</v>
      </c>
      <c r="D1216" s="15">
        <v>0.28</v>
      </c>
      <c r="E1216" s="146">
        <v>43.2</v>
      </c>
      <c r="F1216" s="15">
        <v>43.2</v>
      </c>
      <c r="G1216" s="15">
        <v>-0.21939394</v>
      </c>
      <c r="H1216" s="15">
        <v>-3.14822487</v>
      </c>
      <c r="I1216" s="15">
        <v>8.7764E-4</v>
      </c>
      <c r="J1216" s="15">
        <v>3.58173598</v>
      </c>
      <c r="K1216" s="15">
        <v>4457.12</v>
      </c>
    </row>
    <row r="1217" ht="22.5" customHeight="1">
      <c r="A1217" s="167">
        <v>46085.93711805555</v>
      </c>
      <c r="B1217" s="144" t="s">
        <v>599</v>
      </c>
      <c r="C1217" s="15">
        <v>9.43</v>
      </c>
      <c r="D1217" s="15">
        <v>0.76</v>
      </c>
      <c r="E1217" s="146">
        <v>0.35</v>
      </c>
      <c r="F1217" s="15">
        <v>0.35</v>
      </c>
      <c r="G1217" s="15">
        <v>0.38760107</v>
      </c>
      <c r="H1217" s="15">
        <v>-0.01847759</v>
      </c>
      <c r="I1217" s="15">
        <v>0.25650685</v>
      </c>
      <c r="J1217" s="15">
        <v>0.00775329</v>
      </c>
      <c r="K1217" s="15">
        <v>32.93</v>
      </c>
    </row>
    <row r="1218" ht="22.5" customHeight="1">
      <c r="A1218" s="167">
        <v>46085.93714120371</v>
      </c>
      <c r="B1218" s="144" t="s">
        <v>532</v>
      </c>
      <c r="C1218" s="15">
        <v>92.01</v>
      </c>
      <c r="D1218" s="15">
        <v>0.48</v>
      </c>
      <c r="E1218" s="146">
        <v>0.3</v>
      </c>
      <c r="F1218" s="15">
        <v>0.3</v>
      </c>
      <c r="G1218" s="15">
        <v>-0.07032634</v>
      </c>
      <c r="H1218" s="15">
        <v>-0.03847514</v>
      </c>
      <c r="I1218" s="15">
        <v>0.01472401</v>
      </c>
      <c r="J1218" s="15">
        <v>0.02995196</v>
      </c>
      <c r="K1218" s="15">
        <v>406.82</v>
      </c>
    </row>
    <row r="1219" ht="22.5" customHeight="1">
      <c r="A1219" s="167">
        <v>46085.93715277778</v>
      </c>
      <c r="B1219" s="144" t="s">
        <v>562</v>
      </c>
      <c r="C1219" s="15">
        <v>92.01</v>
      </c>
      <c r="D1219" s="15">
        <v>0.41</v>
      </c>
      <c r="E1219" s="146">
        <v>0.9</v>
      </c>
      <c r="F1219" s="15">
        <v>0.9</v>
      </c>
      <c r="G1219" s="15">
        <v>-0.18056315</v>
      </c>
      <c r="H1219" s="15">
        <v>-0.05903726</v>
      </c>
      <c r="I1219" s="15">
        <v>0.03283981</v>
      </c>
      <c r="J1219" s="15">
        <v>0.04981745</v>
      </c>
      <c r="K1219" s="15">
        <v>351.41</v>
      </c>
    </row>
    <row r="1220" ht="22.5" customHeight="1">
      <c r="A1220" s="167">
        <v>46085.9371875</v>
      </c>
      <c r="B1220" s="144" t="s">
        <v>588</v>
      </c>
      <c r="C1220" s="15">
        <v>17.5</v>
      </c>
      <c r="D1220" s="15">
        <v>0.33</v>
      </c>
      <c r="E1220" s="146">
        <v>0.59</v>
      </c>
      <c r="F1220" s="15">
        <v>0.59</v>
      </c>
      <c r="G1220" s="15">
        <v>0.52031288</v>
      </c>
      <c r="H1220" s="15">
        <v>-0.01598894</v>
      </c>
      <c r="I1220" s="15">
        <v>0.33524314</v>
      </c>
      <c r="J1220" s="15">
        <v>0.01452539</v>
      </c>
      <c r="K1220" s="15">
        <v>52.2</v>
      </c>
    </row>
    <row r="1221" ht="22.5" customHeight="1">
      <c r="A1221" s="167">
        <v>46085.937210648146</v>
      </c>
      <c r="B1221" s="144" t="s">
        <v>553</v>
      </c>
      <c r="C1221" s="15">
        <v>50.26</v>
      </c>
      <c r="D1221" s="15">
        <v>0.91</v>
      </c>
      <c r="E1221" s="146">
        <v>0.79</v>
      </c>
      <c r="F1221" s="15">
        <v>0.79</v>
      </c>
      <c r="G1221" s="15">
        <v>-0.14844177</v>
      </c>
      <c r="H1221" s="15">
        <v>-0.0689154</v>
      </c>
      <c r="I1221" s="15">
        <v>0.02423957</v>
      </c>
      <c r="J1221" s="15">
        <v>0.02524214</v>
      </c>
      <c r="K1221" s="15">
        <v>631.9</v>
      </c>
    </row>
    <row r="1222" ht="22.5" customHeight="1">
      <c r="A1222" s="167">
        <v>46085.93722222222</v>
      </c>
      <c r="B1222" s="144" t="s">
        <v>554</v>
      </c>
      <c r="C1222" s="15">
        <v>50.26</v>
      </c>
      <c r="D1222" s="15">
        <v>0.44</v>
      </c>
      <c r="E1222" s="146">
        <v>0.17</v>
      </c>
      <c r="F1222" s="15">
        <v>0.17</v>
      </c>
      <c r="G1222" s="15">
        <v>0.08071554</v>
      </c>
      <c r="H1222" s="15">
        <v>-0.02224155</v>
      </c>
      <c r="I1222" s="15">
        <v>0.03230726</v>
      </c>
      <c r="J1222" s="15">
        <v>0.01488203</v>
      </c>
      <c r="K1222" s="15">
        <v>0.6</v>
      </c>
    </row>
    <row r="1223" ht="22.5" customHeight="1">
      <c r="A1223" s="167">
        <v>46085.937256944446</v>
      </c>
      <c r="B1223" s="144" t="s">
        <v>595</v>
      </c>
      <c r="C1223" s="15">
        <v>9.22</v>
      </c>
      <c r="D1223" s="15">
        <v>1.08</v>
      </c>
      <c r="E1223" s="146">
        <v>0.14</v>
      </c>
      <c r="F1223" s="15">
        <v>0.14</v>
      </c>
      <c r="G1223" s="15">
        <v>0.14907829</v>
      </c>
      <c r="H1223" s="15">
        <v>-0.01540022</v>
      </c>
      <c r="I1223" s="15">
        <v>0.11134213</v>
      </c>
      <c r="J1223" s="15">
        <v>0.00480361</v>
      </c>
      <c r="K1223" s="15">
        <v>12.79</v>
      </c>
    </row>
    <row r="1224" ht="22.5" customHeight="1">
      <c r="A1224" s="167">
        <v>46085.93728009259</v>
      </c>
      <c r="B1224" s="144" t="s">
        <v>594</v>
      </c>
      <c r="C1224" s="15">
        <v>29.64</v>
      </c>
      <c r="D1224" s="15">
        <v>0.78</v>
      </c>
      <c r="E1224" s="146">
        <v>0.26</v>
      </c>
      <c r="F1224" s="15">
        <v>0.26</v>
      </c>
      <c r="G1224" s="15">
        <v>0.08029548</v>
      </c>
      <c r="H1224" s="15">
        <v>-0.01378864</v>
      </c>
      <c r="I1224" s="15">
        <v>0.01868462</v>
      </c>
      <c r="J1224" s="15">
        <v>0.01662854</v>
      </c>
      <c r="K1224" s="15">
        <v>24.36</v>
      </c>
    </row>
    <row r="1225" ht="22.5" customHeight="1">
      <c r="A1225" s="167">
        <v>46085.93730324074</v>
      </c>
      <c r="B1225" s="144" t="s">
        <v>609</v>
      </c>
      <c r="C1225" s="15">
        <v>6.84</v>
      </c>
      <c r="D1225" s="15">
        <v>1.14</v>
      </c>
      <c r="E1225" s="146">
        <v>0.29</v>
      </c>
      <c r="F1225" s="15">
        <v>0.29</v>
      </c>
      <c r="G1225" s="15">
        <v>0.22709284</v>
      </c>
      <c r="H1225" s="15">
        <v>-0.00944066</v>
      </c>
      <c r="I1225" s="15">
        <v>0.11171447</v>
      </c>
      <c r="J1225" s="15">
        <v>0.00757944</v>
      </c>
      <c r="K1225" s="15">
        <v>23.87</v>
      </c>
    </row>
    <row r="1226" ht="22.5" customHeight="1">
      <c r="A1226" s="167">
        <v>46085.93733796296</v>
      </c>
      <c r="B1226" s="144" t="s">
        <v>586</v>
      </c>
      <c r="C1226" s="15">
        <v>47.56</v>
      </c>
      <c r="D1226" s="15">
        <v>0.2</v>
      </c>
      <c r="E1226" s="146">
        <v>0.5</v>
      </c>
      <c r="F1226" s="15">
        <v>0.5</v>
      </c>
      <c r="G1226" s="15">
        <v>0.26912449</v>
      </c>
      <c r="H1226" s="15">
        <v>-0.01379887</v>
      </c>
      <c r="I1226" s="15">
        <v>0.09983942</v>
      </c>
      <c r="J1226" s="15">
        <v>0.05519339</v>
      </c>
      <c r="K1226" s="15">
        <v>53.27</v>
      </c>
    </row>
    <row r="1227" ht="22.5" customHeight="1">
      <c r="A1227" s="167">
        <v>46085.93734953704</v>
      </c>
      <c r="B1227" s="144" t="s">
        <v>613</v>
      </c>
      <c r="C1227" s="15">
        <v>28.98</v>
      </c>
      <c r="D1227" s="15">
        <v>0.23</v>
      </c>
      <c r="E1227" s="146">
        <v>0.27</v>
      </c>
      <c r="F1227" s="15">
        <v>0.27</v>
      </c>
      <c r="G1227" s="15">
        <v>0.21526939</v>
      </c>
      <c r="H1227" s="15">
        <v>-0.00864063</v>
      </c>
      <c r="I1227" s="15">
        <v>0.13120089</v>
      </c>
      <c r="J1227" s="15">
        <v>0.02968292</v>
      </c>
      <c r="K1227" s="15">
        <v>22.16</v>
      </c>
    </row>
    <row r="1228" ht="22.5" customHeight="1">
      <c r="A1228" s="167">
        <v>46085.937372685185</v>
      </c>
      <c r="B1228" s="144" t="s">
        <v>614</v>
      </c>
      <c r="C1228" s="15">
        <v>51.2</v>
      </c>
      <c r="D1228" s="15">
        <v>0.22</v>
      </c>
      <c r="E1228" s="146">
        <v>0.4</v>
      </c>
      <c r="F1228" s="15">
        <v>0.4</v>
      </c>
      <c r="G1228" s="15">
        <v>0.18365574</v>
      </c>
      <c r="H1228" s="15">
        <v>-0.01337738</v>
      </c>
      <c r="I1228" s="15">
        <v>0.07141773</v>
      </c>
      <c r="J1228" s="15">
        <v>0.0456536</v>
      </c>
      <c r="K1228" s="15">
        <v>31.36</v>
      </c>
    </row>
    <row r="1229" ht="22.5" customHeight="1">
      <c r="A1229" s="167">
        <v>46085.93740740741</v>
      </c>
      <c r="B1229" s="144" t="s">
        <v>600</v>
      </c>
      <c r="C1229" s="15">
        <v>13.44</v>
      </c>
      <c r="D1229" s="15">
        <v>0.68</v>
      </c>
      <c r="E1229" s="146">
        <v>0.275</v>
      </c>
      <c r="F1229" s="15">
        <v>0.275</v>
      </c>
      <c r="G1229" s="15">
        <v>0.11322631</v>
      </c>
      <c r="H1229" s="15">
        <v>-0.00637496</v>
      </c>
      <c r="I1229" s="15">
        <v>0.06951404</v>
      </c>
      <c r="J1229" s="15">
        <v>0.00936174</v>
      </c>
      <c r="K1229" s="15">
        <v>12.13</v>
      </c>
    </row>
    <row r="1230" ht="22.5" customHeight="1">
      <c r="A1230" s="167">
        <v>46085.937418981484</v>
      </c>
      <c r="B1230" s="144" t="s">
        <v>542</v>
      </c>
      <c r="C1230" s="15">
        <v>686.9</v>
      </c>
      <c r="D1230" s="15">
        <v>0.2</v>
      </c>
      <c r="E1230" s="146">
        <v>6.25</v>
      </c>
      <c r="F1230" s="15">
        <v>6.25</v>
      </c>
      <c r="G1230" s="15">
        <v>-0.32280349</v>
      </c>
      <c r="H1230" s="15">
        <v>-0.3043552</v>
      </c>
      <c r="I1230" s="15">
        <v>0.01228263</v>
      </c>
      <c r="J1230" s="15">
        <v>0.51489692</v>
      </c>
      <c r="K1230" s="15">
        <v>5169.6</v>
      </c>
    </row>
    <row r="1231" ht="22.5" customHeight="1">
      <c r="A1231" s="167">
        <v>46085.937430555554</v>
      </c>
      <c r="B1231" s="144" t="s">
        <v>608</v>
      </c>
      <c r="C1231" s="15">
        <v>686.9</v>
      </c>
      <c r="D1231" s="15">
        <v>0.2</v>
      </c>
      <c r="E1231" s="146">
        <v>8.65</v>
      </c>
      <c r="F1231" s="15">
        <v>8.65</v>
      </c>
      <c r="G1231" s="15">
        <v>-0.29140798</v>
      </c>
      <c r="H1231" s="15">
        <v>-0.1641164</v>
      </c>
      <c r="I1231" s="15">
        <v>0.00717376</v>
      </c>
      <c r="J1231" s="15">
        <v>0.81658783</v>
      </c>
      <c r="K1231" s="15">
        <v>5004.98</v>
      </c>
    </row>
    <row r="1232" ht="22.5" customHeight="1">
      <c r="A1232" s="167">
        <v>46085.93803240741</v>
      </c>
      <c r="B1232" s="144" t="s">
        <v>521</v>
      </c>
      <c r="C1232" s="15">
        <v>10.02</v>
      </c>
      <c r="D1232" s="15">
        <v>1.87</v>
      </c>
      <c r="E1232" s="146">
        <v>0.0</v>
      </c>
      <c r="F1232" s="15">
        <v>0.0</v>
      </c>
      <c r="G1232" s="15">
        <v>0.01125009</v>
      </c>
      <c r="H1232" s="15">
        <v>-0.00301398</v>
      </c>
      <c r="I1232" s="15">
        <v>0.00790229</v>
      </c>
      <c r="J1232" s="15">
        <v>5.6979E-4</v>
      </c>
      <c r="K1232" s="15">
        <v>1.0</v>
      </c>
    </row>
    <row r="1233" ht="22.5" customHeight="1">
      <c r="A1233" s="167">
        <v>46085.93806712963</v>
      </c>
      <c r="B1233" s="144" t="s">
        <v>565</v>
      </c>
      <c r="C1233" s="15">
        <v>245.97</v>
      </c>
      <c r="D1233" s="15">
        <v>0.26</v>
      </c>
      <c r="E1233" s="146">
        <v>1.35</v>
      </c>
      <c r="F1233" s="15">
        <v>1.35</v>
      </c>
      <c r="G1233" s="15">
        <v>0.16545184</v>
      </c>
      <c r="H1233" s="15">
        <v>-0.10824919</v>
      </c>
      <c r="I1233" s="15">
        <v>0.01882271</v>
      </c>
      <c r="J1233" s="15">
        <v>0.12586725</v>
      </c>
      <c r="K1233" s="15">
        <v>1742.36</v>
      </c>
    </row>
    <row r="1234" ht="22.5" customHeight="1">
      <c r="A1234" s="167">
        <v>46085.9380787037</v>
      </c>
      <c r="B1234" s="144" t="s">
        <v>566</v>
      </c>
      <c r="C1234" s="15">
        <v>245.97</v>
      </c>
      <c r="D1234" s="15">
        <v>0.27</v>
      </c>
      <c r="E1234" s="146">
        <v>0.3</v>
      </c>
      <c r="F1234" s="15">
        <v>0.3</v>
      </c>
      <c r="G1234" s="15">
        <v>0.05453198</v>
      </c>
      <c r="H1234" s="15">
        <v>-0.04768177</v>
      </c>
      <c r="I1234" s="15">
        <v>0.00737799</v>
      </c>
      <c r="J1234" s="15">
        <v>0.05419392</v>
      </c>
      <c r="K1234" s="15">
        <v>26.93</v>
      </c>
    </row>
    <row r="1235" ht="22.5" customHeight="1">
      <c r="A1235" s="167">
        <v>46085.938101851854</v>
      </c>
      <c r="B1235" s="144" t="s">
        <v>519</v>
      </c>
      <c r="C1235" s="15">
        <v>75.34</v>
      </c>
      <c r="D1235" s="15">
        <v>0.82</v>
      </c>
      <c r="E1235" s="146">
        <v>5.77</v>
      </c>
      <c r="F1235" s="15">
        <v>4.11</v>
      </c>
      <c r="G1235" s="15">
        <v>-0.50594919</v>
      </c>
      <c r="H1235" s="15">
        <v>-0.15922779</v>
      </c>
      <c r="I1235" s="15">
        <v>0.03080076</v>
      </c>
      <c r="J1235" s="15">
        <v>0.06318602</v>
      </c>
      <c r="K1235" s="15">
        <v>1223.4</v>
      </c>
    </row>
    <row r="1236" ht="22.5" customHeight="1">
      <c r="A1236" s="167">
        <v>46085.938125</v>
      </c>
      <c r="B1236" s="144" t="s">
        <v>603</v>
      </c>
      <c r="C1236" s="15">
        <v>471.8</v>
      </c>
      <c r="D1236" s="15">
        <v>0.32</v>
      </c>
      <c r="E1236" s="146">
        <v>10.35</v>
      </c>
      <c r="F1236" s="15">
        <v>10.35</v>
      </c>
      <c r="G1236" s="15">
        <v>-0.29690753</v>
      </c>
      <c r="H1236" s="15">
        <v>-0.19032601</v>
      </c>
      <c r="I1236" s="15">
        <v>0.00676363</v>
      </c>
      <c r="J1236" s="15">
        <v>0.55356778</v>
      </c>
      <c r="K1236" s="15">
        <v>3989.05</v>
      </c>
    </row>
    <row r="1237" ht="22.5" customHeight="1">
      <c r="A1237" s="167">
        <v>46085.93813657408</v>
      </c>
      <c r="B1237" s="144" t="s">
        <v>604</v>
      </c>
      <c r="C1237" s="15">
        <v>471.8</v>
      </c>
      <c r="D1237" s="15">
        <v>0.32</v>
      </c>
      <c r="E1237" s="146">
        <v>13.95</v>
      </c>
      <c r="F1237" s="15">
        <v>13.95</v>
      </c>
      <c r="G1237" s="15">
        <v>-0.3701729</v>
      </c>
      <c r="H1237" s="15">
        <v>-0.20503056</v>
      </c>
      <c r="I1237" s="15">
        <v>0.00742606</v>
      </c>
      <c r="J1237" s="15">
        <v>0.61049502</v>
      </c>
      <c r="K1237" s="15">
        <v>3680.85</v>
      </c>
    </row>
    <row r="1238" ht="22.5" customHeight="1">
      <c r="A1238" s="167">
        <v>46085.93814814815</v>
      </c>
      <c r="B1238" s="144" t="s">
        <v>605</v>
      </c>
      <c r="C1238" s="15">
        <v>471.8</v>
      </c>
      <c r="D1238" s="15">
        <v>0.32</v>
      </c>
      <c r="E1238" s="146">
        <v>16.65</v>
      </c>
      <c r="F1238" s="15">
        <v>16.65</v>
      </c>
      <c r="G1238" s="15">
        <v>-0.40992128</v>
      </c>
      <c r="H1238" s="15">
        <v>-0.21642939</v>
      </c>
      <c r="I1238" s="15">
        <v>0.0074241</v>
      </c>
      <c r="J1238" s="15">
        <v>0.64048865</v>
      </c>
      <c r="K1238" s="15">
        <v>4787.14</v>
      </c>
    </row>
    <row r="1239" ht="22.5" customHeight="1">
      <c r="A1239" s="167">
        <v>46085.93817129629</v>
      </c>
      <c r="B1239" s="144" t="s">
        <v>558</v>
      </c>
      <c r="C1239" s="15">
        <v>261.76</v>
      </c>
      <c r="D1239" s="15">
        <v>0.21</v>
      </c>
      <c r="E1239" s="146">
        <v>1.01</v>
      </c>
      <c r="F1239" s="15">
        <v>1.01</v>
      </c>
      <c r="G1239" s="15">
        <v>0.16793746</v>
      </c>
      <c r="H1239" s="15">
        <v>-0.09559475</v>
      </c>
      <c r="I1239" s="15">
        <v>0.0229062</v>
      </c>
      <c r="J1239" s="15">
        <v>0.12908503</v>
      </c>
      <c r="K1239" s="15">
        <v>6.44</v>
      </c>
    </row>
    <row r="1240" ht="22.5" customHeight="1">
      <c r="A1240" s="167">
        <v>46085.93819444445</v>
      </c>
      <c r="B1240" s="144" t="s">
        <v>591</v>
      </c>
      <c r="C1240" s="15">
        <v>62.33</v>
      </c>
      <c r="D1240" s="15">
        <v>0.25</v>
      </c>
      <c r="E1240" s="146">
        <v>0.22</v>
      </c>
      <c r="F1240" s="15">
        <v>0.22</v>
      </c>
      <c r="G1240" s="15">
        <v>0.08627059</v>
      </c>
      <c r="H1240" s="15">
        <v>-0.01023042</v>
      </c>
      <c r="I1240" s="15">
        <v>0.03025599</v>
      </c>
      <c r="J1240" s="15">
        <v>0.03205888</v>
      </c>
      <c r="K1240" s="15">
        <v>15.8</v>
      </c>
    </row>
    <row r="1241" ht="22.5" customHeight="1">
      <c r="A1241" s="167">
        <v>46085.93880787037</v>
      </c>
      <c r="B1241" s="144" t="s">
        <v>567</v>
      </c>
      <c r="C1241" s="15">
        <v>60.2</v>
      </c>
      <c r="D1241" s="15">
        <v>0.38</v>
      </c>
      <c r="E1241" s="146">
        <v>0.0</v>
      </c>
      <c r="F1241" s="15">
        <v>0.0</v>
      </c>
      <c r="G1241" s="15">
        <v>0.001148</v>
      </c>
      <c r="H1241" s="15">
        <v>-4.907E-4</v>
      </c>
      <c r="I1241" s="15">
        <v>8.5673E-4</v>
      </c>
      <c r="J1241" s="15">
        <v>4.6915E-4</v>
      </c>
      <c r="K1241" s="15">
        <v>0.08</v>
      </c>
    </row>
    <row r="1242" ht="22.5" customHeight="1">
      <c r="A1242" s="167">
        <v>46085.93883101852</v>
      </c>
      <c r="B1242" s="144" t="s">
        <v>518</v>
      </c>
      <c r="C1242" s="15">
        <v>11.41</v>
      </c>
      <c r="D1242" s="15">
        <v>0.28</v>
      </c>
      <c r="E1242" s="146">
        <v>0.07</v>
      </c>
      <c r="F1242" s="15">
        <v>0.07</v>
      </c>
      <c r="G1242" s="15">
        <v>0.17396717</v>
      </c>
      <c r="H1242" s="15">
        <v>-0.00532948</v>
      </c>
      <c r="I1242" s="15">
        <v>0.3631718</v>
      </c>
      <c r="J1242" s="15">
        <v>0.00685825</v>
      </c>
      <c r="K1242" s="15">
        <v>6.97</v>
      </c>
    </row>
    <row r="1243" ht="22.5" customHeight="1">
      <c r="A1243" s="167">
        <v>46085.93944444445</v>
      </c>
      <c r="B1243" s="144" t="s">
        <v>570</v>
      </c>
      <c r="C1243" s="15">
        <v>48.08</v>
      </c>
      <c r="D1243" s="15">
        <v>0.54</v>
      </c>
      <c r="E1243" s="146">
        <v>0.0</v>
      </c>
      <c r="F1243" s="15">
        <v>0.0</v>
      </c>
      <c r="G1243" s="15">
        <v>0.00866465</v>
      </c>
      <c r="H1243" s="15">
        <v>-0.0026235</v>
      </c>
      <c r="I1243" s="15">
        <v>0.00541392</v>
      </c>
      <c r="J1243" s="15">
        <v>0.00274802</v>
      </c>
      <c r="K1243" s="15">
        <v>0.8</v>
      </c>
    </row>
    <row r="1244" ht="22.5" customHeight="1">
      <c r="A1244" s="167">
        <v>46085.939467592594</v>
      </c>
      <c r="B1244" s="144" t="s">
        <v>550</v>
      </c>
      <c r="C1244" s="15">
        <v>8.21</v>
      </c>
      <c r="D1244" s="15">
        <v>0.69</v>
      </c>
      <c r="E1244" s="146">
        <v>0.04</v>
      </c>
      <c r="F1244" s="15">
        <v>0.04</v>
      </c>
      <c r="G1244" s="15">
        <v>0.09866816</v>
      </c>
      <c r="H1244" s="15">
        <v>-0.00655028</v>
      </c>
      <c r="I1244" s="15">
        <v>0.1473019</v>
      </c>
      <c r="J1244" s="15">
        <v>0.00328594</v>
      </c>
      <c r="K1244" s="15">
        <v>0.34</v>
      </c>
    </row>
    <row r="1245" ht="22.5" customHeight="1">
      <c r="A1245" s="167">
        <v>46085.93950231482</v>
      </c>
      <c r="B1245" s="144" t="s">
        <v>601</v>
      </c>
      <c r="C1245" s="15">
        <v>5.78</v>
      </c>
      <c r="D1245" s="15">
        <v>0.79</v>
      </c>
      <c r="E1245" s="146">
        <v>0.2</v>
      </c>
      <c r="F1245" s="15">
        <v>0.2</v>
      </c>
      <c r="G1245" s="15">
        <v>0.39207817</v>
      </c>
      <c r="H1245" s="15">
        <v>-0.01275613</v>
      </c>
      <c r="I1245" s="15">
        <v>0.47044557</v>
      </c>
      <c r="J1245" s="15">
        <v>0.00426094</v>
      </c>
      <c r="K1245" s="15">
        <v>15.94</v>
      </c>
    </row>
    <row r="1246" ht="22.5" customHeight="1">
      <c r="A1246" s="167">
        <v>46085.93952546296</v>
      </c>
      <c r="B1246" s="144" t="s">
        <v>568</v>
      </c>
      <c r="C1246" s="15">
        <v>39.76</v>
      </c>
      <c r="D1246" s="15">
        <v>0.35</v>
      </c>
      <c r="E1246" s="146">
        <v>1.275</v>
      </c>
      <c r="F1246" s="15">
        <v>1.035</v>
      </c>
      <c r="G1246" s="15">
        <v>-0.50610666</v>
      </c>
      <c r="H1246" s="15">
        <v>-0.03728864</v>
      </c>
      <c r="I1246" s="15">
        <v>0.12262499</v>
      </c>
      <c r="J1246" s="15">
        <v>0.03416984</v>
      </c>
      <c r="K1246" s="15">
        <v>109.26</v>
      </c>
    </row>
    <row r="1247" ht="22.5" customHeight="1">
      <c r="A1247" s="167">
        <v>46085.93954861111</v>
      </c>
      <c r="B1247" s="144" t="s">
        <v>597</v>
      </c>
      <c r="C1247" s="15">
        <v>67.02</v>
      </c>
      <c r="D1247" s="15">
        <v>1.07</v>
      </c>
      <c r="E1247" s="146">
        <v>7.16</v>
      </c>
      <c r="F1247" s="15">
        <v>5.14</v>
      </c>
      <c r="G1247" s="15">
        <v>0.60072715</v>
      </c>
      <c r="H1247" s="15">
        <v>-0.18596792</v>
      </c>
      <c r="I1247" s="15">
        <v>0.02581149</v>
      </c>
      <c r="J1247" s="15">
        <v>0.05441939</v>
      </c>
      <c r="K1247" s="15">
        <v>1440.83</v>
      </c>
    </row>
    <row r="1248" ht="22.5" customHeight="1">
      <c r="A1248" s="167">
        <v>46085.93956018519</v>
      </c>
      <c r="B1248" s="144" t="s">
        <v>598</v>
      </c>
      <c r="C1248" s="15">
        <v>67.02</v>
      </c>
      <c r="D1248" s="15">
        <v>1.08</v>
      </c>
      <c r="E1248" s="146">
        <v>4.8</v>
      </c>
      <c r="F1248" s="15">
        <v>4.8</v>
      </c>
      <c r="G1248" s="15">
        <v>0.46977037</v>
      </c>
      <c r="H1248" s="15">
        <v>-0.19216385</v>
      </c>
      <c r="I1248" s="15">
        <v>0.02659491</v>
      </c>
      <c r="J1248" s="15">
        <v>0.05661595</v>
      </c>
      <c r="K1248" s="15">
        <v>437.34</v>
      </c>
    </row>
    <row r="1249" ht="22.5" customHeight="1">
      <c r="A1249" s="167">
        <v>46085.93959490741</v>
      </c>
      <c r="B1249" s="144" t="s">
        <v>610</v>
      </c>
      <c r="C1249" s="15">
        <v>21.11</v>
      </c>
      <c r="D1249" s="15">
        <v>0.54</v>
      </c>
      <c r="E1249" s="146">
        <v>0.98</v>
      </c>
      <c r="F1249" s="15">
        <v>0.98</v>
      </c>
      <c r="G1249" s="15">
        <v>-0.34293169</v>
      </c>
      <c r="H1249" s="15">
        <v>-0.01573818</v>
      </c>
      <c r="I1249" s="15">
        <v>0.09399858</v>
      </c>
      <c r="J1249" s="15">
        <v>0.02689506</v>
      </c>
      <c r="K1249" s="15">
        <v>88.23</v>
      </c>
    </row>
    <row r="1250" ht="22.5" customHeight="1">
      <c r="A1250" s="167">
        <v>46085.94019675926</v>
      </c>
      <c r="B1250" s="144" t="s">
        <v>602</v>
      </c>
      <c r="C1250" s="15">
        <v>72.5</v>
      </c>
      <c r="D1250" s="15">
        <v>0.39</v>
      </c>
      <c r="E1250" s="146">
        <v>0.0</v>
      </c>
      <c r="F1250" s="15">
        <v>0.0</v>
      </c>
      <c r="G1250" s="15">
        <v>0.08478845</v>
      </c>
      <c r="H1250" s="15">
        <v>-0.02288071</v>
      </c>
      <c r="I1250" s="15">
        <v>0.02951541</v>
      </c>
      <c r="J1250" s="15">
        <v>0.02381092</v>
      </c>
      <c r="K1250" s="15">
        <v>20.1</v>
      </c>
    </row>
    <row r="1251" ht="22.5" customHeight="1">
      <c r="A1251" s="167">
        <v>46085.94023148148</v>
      </c>
      <c r="B1251" s="144" t="s">
        <v>596</v>
      </c>
      <c r="C1251" s="15">
        <v>78.61</v>
      </c>
      <c r="D1251" s="15">
        <v>0.27</v>
      </c>
      <c r="E1251" s="146">
        <v>0.1</v>
      </c>
      <c r="F1251" s="15">
        <v>0.1</v>
      </c>
      <c r="G1251" s="15">
        <v>0.03362143</v>
      </c>
      <c r="H1251" s="15">
        <v>-0.0069054</v>
      </c>
      <c r="I1251" s="15">
        <v>0.00984122</v>
      </c>
      <c r="J1251" s="15">
        <v>0.02160187</v>
      </c>
      <c r="K1251" s="15">
        <v>6.69</v>
      </c>
    </row>
    <row r="1252" ht="22.5" customHeight="1">
      <c r="A1252" s="167">
        <v>46085.940254629626</v>
      </c>
      <c r="B1252" s="144" t="s">
        <v>611</v>
      </c>
      <c r="C1252" s="15">
        <v>46.22</v>
      </c>
      <c r="D1252" s="15">
        <v>0.26</v>
      </c>
      <c r="E1252" s="146">
        <v>0.14</v>
      </c>
      <c r="F1252" s="15">
        <v>0.14</v>
      </c>
      <c r="G1252" s="15">
        <v>0.0992342</v>
      </c>
      <c r="H1252" s="15">
        <v>-0.0094702</v>
      </c>
      <c r="I1252" s="15">
        <v>0.04251362</v>
      </c>
      <c r="J1252" s="15">
        <v>0.03177275</v>
      </c>
      <c r="K1252" s="15">
        <v>16.3</v>
      </c>
    </row>
    <row r="1253" ht="22.5" customHeight="1">
      <c r="A1253" s="167">
        <v>46085.9402662037</v>
      </c>
      <c r="B1253" s="144" t="s">
        <v>612</v>
      </c>
      <c r="C1253" s="15">
        <v>46.22</v>
      </c>
      <c r="D1253" s="15">
        <v>0.27</v>
      </c>
      <c r="E1253" s="146">
        <v>0.44</v>
      </c>
      <c r="F1253" s="15">
        <v>0.44</v>
      </c>
      <c r="G1253" s="15">
        <v>-0.17350547</v>
      </c>
      <c r="H1253" s="15">
        <v>-0.01257449</v>
      </c>
      <c r="I1253" s="15">
        <v>0.05289948</v>
      </c>
      <c r="J1253" s="15">
        <v>0.04007871</v>
      </c>
      <c r="K1253" s="15">
        <v>33.23</v>
      </c>
    </row>
    <row r="1254" ht="22.5" customHeight="1">
      <c r="A1254" s="167">
        <v>46087.91756944444</v>
      </c>
      <c r="B1254" s="144" t="s">
        <v>543</v>
      </c>
      <c r="C1254" s="15">
        <v>673.81</v>
      </c>
      <c r="D1254" s="15">
        <v>0.31</v>
      </c>
      <c r="E1254" s="146">
        <v>6.64</v>
      </c>
      <c r="F1254" s="15">
        <v>6.64</v>
      </c>
      <c r="G1254" s="15">
        <v>-0.26483145</v>
      </c>
      <c r="H1254" s="15">
        <v>-0.455877</v>
      </c>
      <c r="I1254" s="15">
        <v>0.00807081</v>
      </c>
      <c r="J1254" s="15">
        <v>0.43084309</v>
      </c>
      <c r="K1254" s="15">
        <v>4973.96</v>
      </c>
    </row>
    <row r="1255" ht="22.5" customHeight="1">
      <c r="A1255" s="167">
        <v>46087.91758101852</v>
      </c>
      <c r="B1255" s="144" t="s">
        <v>544</v>
      </c>
      <c r="C1255" s="15">
        <v>673.81</v>
      </c>
      <c r="D1255" s="15">
        <v>0.26</v>
      </c>
      <c r="E1255" s="146">
        <v>11.68</v>
      </c>
      <c r="F1255" s="15">
        <v>11.68</v>
      </c>
      <c r="G1255" s="15">
        <v>-0.44511372</v>
      </c>
      <c r="H1255" s="15">
        <v>-0.45598285</v>
      </c>
      <c r="I1255" s="15">
        <v>0.01142376</v>
      </c>
      <c r="J1255" s="15">
        <v>0.51995315</v>
      </c>
      <c r="K1255" s="15">
        <v>5116.33</v>
      </c>
    </row>
    <row r="1256" ht="22.5" customHeight="1">
      <c r="A1256" s="167">
        <v>46087.91761574074</v>
      </c>
      <c r="B1256" s="144" t="s">
        <v>556</v>
      </c>
      <c r="C1256" s="15">
        <v>250.89</v>
      </c>
      <c r="D1256" s="15">
        <v>0.24</v>
      </c>
      <c r="E1256" s="146">
        <v>0.27</v>
      </c>
      <c r="F1256" s="15">
        <v>0.27</v>
      </c>
      <c r="G1256" s="15">
        <v>0.05312704</v>
      </c>
      <c r="H1256" s="15">
        <v>-0.0465742</v>
      </c>
      <c r="I1256" s="15">
        <v>0.00953483</v>
      </c>
      <c r="J1256" s="15">
        <v>0.0512608</v>
      </c>
      <c r="K1256" s="15">
        <v>1.23</v>
      </c>
    </row>
    <row r="1257" ht="22.5" customHeight="1">
      <c r="A1257" s="167">
        <v>46087.91762731481</v>
      </c>
      <c r="B1257" s="144" t="s">
        <v>557</v>
      </c>
      <c r="C1257" s="15">
        <v>250.89</v>
      </c>
      <c r="D1257" s="15">
        <v>0.39</v>
      </c>
      <c r="E1257" s="146">
        <v>3.27</v>
      </c>
      <c r="F1257" s="15">
        <v>3.27</v>
      </c>
      <c r="G1257" s="15">
        <v>-0.27779351</v>
      </c>
      <c r="H1257" s="15">
        <v>-0.22051662</v>
      </c>
      <c r="I1257" s="15">
        <v>0.01777712</v>
      </c>
      <c r="J1257" s="15">
        <v>0.16712373</v>
      </c>
      <c r="K1257" s="15">
        <v>1782.3</v>
      </c>
    </row>
    <row r="1258" ht="22.5" customHeight="1">
      <c r="A1258" s="167">
        <v>46087.917662037034</v>
      </c>
      <c r="B1258" s="144" t="s">
        <v>515</v>
      </c>
      <c r="C1258" s="15">
        <v>17.6</v>
      </c>
      <c r="D1258" s="15">
        <v>0.4</v>
      </c>
      <c r="E1258" s="146">
        <v>0.9</v>
      </c>
      <c r="F1258" s="15">
        <v>0.3</v>
      </c>
      <c r="G1258" s="15">
        <v>0.69443474</v>
      </c>
      <c r="H1258" s="15">
        <v>-0.01878268</v>
      </c>
      <c r="I1258" s="15">
        <v>0.25260462</v>
      </c>
      <c r="J1258" s="15">
        <v>0.0118231</v>
      </c>
      <c r="K1258" s="15">
        <v>75.66</v>
      </c>
    </row>
    <row r="1259" ht="22.5" customHeight="1">
      <c r="A1259" s="167">
        <v>46087.91825231481</v>
      </c>
      <c r="B1259" s="144" t="s">
        <v>517</v>
      </c>
      <c r="C1259" s="15">
        <v>17.6</v>
      </c>
      <c r="D1259" s="15">
        <v>0.74</v>
      </c>
      <c r="E1259" s="15" t="s">
        <v>687</v>
      </c>
      <c r="F1259" s="15" t="s">
        <v>687</v>
      </c>
      <c r="G1259" s="15">
        <v>-0.00527383</v>
      </c>
      <c r="H1259" s="15">
        <v>-0.00106443</v>
      </c>
      <c r="I1259" s="15">
        <v>0.00668547</v>
      </c>
      <c r="J1259" s="15">
        <v>4.726E-4</v>
      </c>
      <c r="K1259" s="15">
        <v>0.04</v>
      </c>
    </row>
    <row r="1260" ht="22.5" customHeight="1">
      <c r="A1260" s="167">
        <v>46087.918275462966</v>
      </c>
      <c r="B1260" s="144" t="s">
        <v>561</v>
      </c>
      <c r="C1260" s="15">
        <v>28.64</v>
      </c>
      <c r="D1260" s="15">
        <v>0.33</v>
      </c>
      <c r="E1260" s="146">
        <v>0.16</v>
      </c>
      <c r="F1260" s="15">
        <v>0.16</v>
      </c>
      <c r="G1260" s="15">
        <v>-0.16734464</v>
      </c>
      <c r="H1260" s="15">
        <v>-0.01615723</v>
      </c>
      <c r="I1260" s="15">
        <v>0.13568807</v>
      </c>
      <c r="J1260" s="15">
        <v>0.01419264</v>
      </c>
      <c r="K1260" s="15">
        <v>14.44</v>
      </c>
    </row>
    <row r="1261" ht="22.5" customHeight="1">
      <c r="A1261" s="167">
        <v>46087.91831018519</v>
      </c>
      <c r="B1261" s="144" t="s">
        <v>573</v>
      </c>
      <c r="C1261" s="15">
        <v>338.89</v>
      </c>
      <c r="D1261" s="15">
        <v>0.57</v>
      </c>
      <c r="E1261" s="146">
        <v>11.0</v>
      </c>
      <c r="F1261" s="15">
        <v>11.0</v>
      </c>
      <c r="G1261" s="15">
        <v>-0.38936181</v>
      </c>
      <c r="H1261" s="15">
        <v>-0.50830813</v>
      </c>
      <c r="I1261" s="15">
        <v>0.01021824</v>
      </c>
      <c r="J1261" s="15">
        <v>0.24858321</v>
      </c>
      <c r="K1261" s="15">
        <v>3716.06</v>
      </c>
    </row>
    <row r="1262" ht="22.5" customHeight="1">
      <c r="A1262" s="167">
        <v>46087.918333333335</v>
      </c>
      <c r="B1262" s="144" t="s">
        <v>592</v>
      </c>
      <c r="C1262" s="15">
        <v>99.02</v>
      </c>
      <c r="D1262" s="15">
        <v>0.45</v>
      </c>
      <c r="E1262" s="146">
        <v>9.73</v>
      </c>
      <c r="F1262" s="15">
        <v>0.71</v>
      </c>
      <c r="G1262" s="15">
        <v>0.87449657</v>
      </c>
      <c r="H1262" s="15">
        <v>-0.07287207</v>
      </c>
      <c r="I1262" s="15">
        <v>0.02373192</v>
      </c>
      <c r="J1262" s="15">
        <v>0.03946764</v>
      </c>
      <c r="K1262" s="15">
        <v>902.1</v>
      </c>
    </row>
    <row r="1263" ht="22.5" customHeight="1">
      <c r="A1263" s="167">
        <v>46087.918344907404</v>
      </c>
      <c r="B1263" s="144" t="s">
        <v>593</v>
      </c>
      <c r="C1263" s="15">
        <v>99.02</v>
      </c>
      <c r="D1263" s="15">
        <v>0.4</v>
      </c>
      <c r="E1263" s="146">
        <v>5.55</v>
      </c>
      <c r="F1263" s="15">
        <v>1.53</v>
      </c>
      <c r="G1263" s="15">
        <v>0.72236667</v>
      </c>
      <c r="H1263" s="15">
        <v>-0.10034222</v>
      </c>
      <c r="I1263" s="15">
        <v>0.04342896</v>
      </c>
      <c r="J1263" s="15">
        <v>0.06615893</v>
      </c>
      <c r="K1263" s="15">
        <v>476.69</v>
      </c>
    </row>
    <row r="1264" ht="22.5" customHeight="1">
      <c r="A1264" s="167">
        <v>46087.91836805556</v>
      </c>
      <c r="B1264" s="144" t="s">
        <v>577</v>
      </c>
      <c r="C1264" s="15">
        <v>75.13</v>
      </c>
      <c r="D1264" s="15">
        <v>0.6</v>
      </c>
      <c r="E1264" s="146">
        <v>0.08</v>
      </c>
      <c r="F1264" s="15">
        <v>0.08</v>
      </c>
      <c r="G1264" s="15">
        <v>-0.0241279</v>
      </c>
      <c r="H1264" s="15">
        <v>-0.01784312</v>
      </c>
      <c r="I1264" s="15">
        <v>0.00638782</v>
      </c>
      <c r="J1264" s="15">
        <v>0.00832002</v>
      </c>
      <c r="K1264" s="15">
        <v>4.65</v>
      </c>
    </row>
    <row r="1265" ht="22.5" customHeight="1">
      <c r="A1265" s="167">
        <v>46087.91840277778</v>
      </c>
      <c r="B1265" s="144" t="s">
        <v>523</v>
      </c>
      <c r="C1265" s="15">
        <v>5719.9</v>
      </c>
      <c r="D1265" s="15">
        <v>0.22</v>
      </c>
      <c r="E1265" s="146">
        <v>1.1</v>
      </c>
      <c r="F1265" s="15">
        <v>1.1</v>
      </c>
      <c r="G1265" s="15">
        <v>0.01155999</v>
      </c>
      <c r="H1265" s="15">
        <v>-0.27676649</v>
      </c>
      <c r="I1265" s="15">
        <v>1.2299E-4</v>
      </c>
      <c r="J1265" s="15">
        <v>0.33267288</v>
      </c>
      <c r="K1265" s="15">
        <v>0.31</v>
      </c>
    </row>
    <row r="1266" ht="22.5" customHeight="1">
      <c r="A1266" s="167">
        <v>46087.91841435185</v>
      </c>
      <c r="B1266" s="144" t="s">
        <v>606</v>
      </c>
      <c r="C1266" s="15">
        <v>673.81</v>
      </c>
      <c r="D1266" s="15">
        <v>0.29</v>
      </c>
      <c r="E1266" s="146">
        <v>6.15</v>
      </c>
      <c r="F1266" s="15">
        <v>6.15</v>
      </c>
      <c r="G1266" s="15">
        <v>-0.17729103</v>
      </c>
      <c r="H1266" s="15">
        <v>-0.18870691</v>
      </c>
      <c r="I1266" s="15">
        <v>0.00397942</v>
      </c>
      <c r="J1266" s="15">
        <v>0.5922627</v>
      </c>
      <c r="K1266" s="15">
        <v>4546.13</v>
      </c>
    </row>
    <row r="1267" ht="22.5" customHeight="1">
      <c r="A1267" s="167">
        <v>46087.91842592593</v>
      </c>
      <c r="B1267" s="144" t="s">
        <v>607</v>
      </c>
      <c r="C1267" s="15">
        <v>673.81</v>
      </c>
      <c r="D1267" s="15">
        <v>0.25</v>
      </c>
      <c r="E1267" s="146">
        <v>15.0</v>
      </c>
      <c r="F1267" s="15">
        <v>15.0</v>
      </c>
      <c r="G1267" s="15">
        <v>-0.37701058</v>
      </c>
      <c r="H1267" s="15">
        <v>-0.22549503</v>
      </c>
      <c r="I1267" s="15">
        <v>0.00675424</v>
      </c>
      <c r="J1267" s="15">
        <v>0.86554058</v>
      </c>
      <c r="K1267" s="15">
        <v>4954.55</v>
      </c>
    </row>
    <row r="1268" ht="22.5" customHeight="1">
      <c r="A1268" s="167">
        <v>46087.91844907407</v>
      </c>
      <c r="B1268" s="144" t="s">
        <v>615</v>
      </c>
      <c r="C1268" s="15">
        <v>36.28</v>
      </c>
      <c r="D1268" s="15">
        <v>0.32</v>
      </c>
      <c r="E1268" s="146">
        <v>1.23</v>
      </c>
      <c r="F1268" s="15">
        <v>1.23</v>
      </c>
      <c r="G1268" s="15">
        <v>0.3335158</v>
      </c>
      <c r="H1268" s="15">
        <v>-0.01215209</v>
      </c>
      <c r="I1268" s="15">
        <v>0.0595557</v>
      </c>
      <c r="J1268" s="15">
        <v>0.06877132</v>
      </c>
      <c r="K1268" s="15">
        <v>101.44</v>
      </c>
    </row>
    <row r="1269" ht="22.5" customHeight="1">
      <c r="A1269" s="167">
        <v>46087.91847222222</v>
      </c>
      <c r="B1269" s="144" t="s">
        <v>617</v>
      </c>
      <c r="C1269" s="15">
        <v>35.82</v>
      </c>
      <c r="D1269" s="15">
        <v>0.27</v>
      </c>
      <c r="E1269" s="146">
        <v>1.36</v>
      </c>
      <c r="F1269" s="15">
        <v>1.36</v>
      </c>
      <c r="G1269" s="15">
        <v>0.44152439</v>
      </c>
      <c r="H1269" s="15">
        <v>-0.01372153</v>
      </c>
      <c r="I1269" s="15">
        <v>0.09221635</v>
      </c>
      <c r="J1269" s="15">
        <v>0.0614872</v>
      </c>
      <c r="K1269" s="15">
        <v>95.73</v>
      </c>
    </row>
    <row r="1270" ht="22.5" customHeight="1">
      <c r="A1270" s="167">
        <v>46087.9184837963</v>
      </c>
      <c r="B1270" s="144" t="s">
        <v>524</v>
      </c>
      <c r="C1270" s="15">
        <v>5719.9</v>
      </c>
      <c r="D1270" s="15">
        <v>0.22</v>
      </c>
      <c r="E1270" s="146">
        <v>1.0</v>
      </c>
      <c r="F1270" s="15">
        <v>1.0</v>
      </c>
      <c r="G1270" s="15">
        <v>0.02167132</v>
      </c>
      <c r="H1270" s="15">
        <v>-0.33682945</v>
      </c>
      <c r="I1270" s="15">
        <v>2.5797E-4</v>
      </c>
      <c r="J1270" s="15">
        <v>0.68672272</v>
      </c>
      <c r="K1270" s="15">
        <v>0.41</v>
      </c>
    </row>
    <row r="1271" ht="22.5" customHeight="1">
      <c r="A1271" s="167">
        <v>46087.91849537037</v>
      </c>
      <c r="B1271" s="144" t="s">
        <v>525</v>
      </c>
      <c r="C1271" s="15">
        <v>5719.9</v>
      </c>
      <c r="D1271" s="15">
        <v>0.31</v>
      </c>
      <c r="E1271" s="146">
        <v>92.1</v>
      </c>
      <c r="F1271" s="15">
        <v>92.1</v>
      </c>
      <c r="G1271" s="15">
        <v>-0.39399909</v>
      </c>
      <c r="H1271" s="15">
        <v>-4.79332145</v>
      </c>
      <c r="I1271" s="15">
        <v>0.00111111</v>
      </c>
      <c r="J1271" s="15">
        <v>4.23328929</v>
      </c>
      <c r="K1271" s="15">
        <v>4315.04</v>
      </c>
    </row>
    <row r="1272" ht="22.5" customHeight="1">
      <c r="A1272" s="167">
        <v>46087.91853009259</v>
      </c>
      <c r="B1272" s="144" t="s">
        <v>599</v>
      </c>
      <c r="C1272" s="15">
        <v>10.66</v>
      </c>
      <c r="D1272" s="15">
        <v>0.83</v>
      </c>
      <c r="E1272" s="146">
        <v>0.97</v>
      </c>
      <c r="F1272" s="15">
        <v>0.31</v>
      </c>
      <c r="G1272" s="15">
        <v>0.68650766</v>
      </c>
      <c r="H1272" s="15">
        <v>-0.02277492</v>
      </c>
      <c r="I1272" s="15">
        <v>0.20656344</v>
      </c>
      <c r="J1272" s="15">
        <v>0.00765955</v>
      </c>
      <c r="K1272" s="15">
        <v>87.42</v>
      </c>
    </row>
    <row r="1273" ht="22.5" customHeight="1">
      <c r="A1273" s="167">
        <v>46087.91855324074</v>
      </c>
      <c r="B1273" s="144" t="s">
        <v>532</v>
      </c>
      <c r="C1273" s="15">
        <v>92.18</v>
      </c>
      <c r="D1273" s="15">
        <v>0.48</v>
      </c>
      <c r="E1273" s="146">
        <v>0.5</v>
      </c>
      <c r="F1273" s="15">
        <v>0.5</v>
      </c>
      <c r="G1273" s="15">
        <v>-0.05976709</v>
      </c>
      <c r="H1273" s="15">
        <v>-0.03643833</v>
      </c>
      <c r="I1273" s="15">
        <v>0.01367557</v>
      </c>
      <c r="J1273" s="15">
        <v>0.02116929</v>
      </c>
      <c r="K1273" s="15">
        <v>423.85</v>
      </c>
    </row>
    <row r="1274" ht="22.5" customHeight="1">
      <c r="A1274" s="167">
        <v>46087.91856481481</v>
      </c>
      <c r="B1274" s="144" t="s">
        <v>562</v>
      </c>
      <c r="C1274" s="15">
        <v>92.18</v>
      </c>
      <c r="D1274" s="15">
        <v>0.45</v>
      </c>
      <c r="E1274" s="146">
        <v>0.825</v>
      </c>
      <c r="F1274" s="15">
        <v>0.825</v>
      </c>
      <c r="G1274" s="15">
        <v>-0.23566643</v>
      </c>
      <c r="H1274" s="15">
        <v>-0.07716093</v>
      </c>
      <c r="I1274" s="15">
        <v>0.03980501</v>
      </c>
      <c r="J1274" s="15">
        <v>0.05470535</v>
      </c>
      <c r="K1274" s="15">
        <v>337.54</v>
      </c>
    </row>
    <row r="1275" ht="22.5" customHeight="1">
      <c r="A1275" s="167">
        <v>46087.918599537035</v>
      </c>
      <c r="B1275" s="144" t="s">
        <v>588</v>
      </c>
      <c r="C1275" s="15">
        <v>16.62</v>
      </c>
      <c r="D1275" s="15">
        <v>0.47</v>
      </c>
      <c r="E1275" s="146">
        <v>0.21</v>
      </c>
      <c r="F1275" s="15">
        <v>0.21</v>
      </c>
      <c r="G1275" s="15">
        <v>0.31191178</v>
      </c>
      <c r="H1275" s="15">
        <v>-0.01984554</v>
      </c>
      <c r="I1275" s="15">
        <v>0.23367033</v>
      </c>
      <c r="J1275" s="15">
        <v>0.01185918</v>
      </c>
      <c r="K1275" s="15">
        <v>18.06</v>
      </c>
    </row>
    <row r="1276" ht="22.5" customHeight="1">
      <c r="A1276" s="167">
        <v>46087.91862268518</v>
      </c>
      <c r="B1276" s="144" t="s">
        <v>553</v>
      </c>
      <c r="C1276" s="15">
        <v>47.54</v>
      </c>
      <c r="D1276" s="15">
        <v>1.07</v>
      </c>
      <c r="E1276" s="146">
        <v>1.56</v>
      </c>
      <c r="F1276" s="15">
        <v>1.56</v>
      </c>
      <c r="G1276" s="15">
        <v>-0.24052202</v>
      </c>
      <c r="H1276" s="15">
        <v>-0.11019214</v>
      </c>
      <c r="I1276" s="15">
        <v>0.03155065</v>
      </c>
      <c r="J1276" s="15">
        <v>0.03051628</v>
      </c>
      <c r="K1276" s="15">
        <v>612.38</v>
      </c>
    </row>
    <row r="1277" ht="22.5" customHeight="1">
      <c r="A1277" s="167">
        <v>46087.918645833335</v>
      </c>
      <c r="B1277" s="144" t="s">
        <v>554</v>
      </c>
      <c r="C1277" s="15">
        <v>47.54</v>
      </c>
      <c r="D1277" s="15">
        <v>0.51</v>
      </c>
      <c r="E1277" s="146">
        <v>0.06</v>
      </c>
      <c r="F1277" s="15">
        <v>0.06</v>
      </c>
      <c r="G1277" s="15">
        <v>0.03303245</v>
      </c>
      <c r="H1277" s="15">
        <v>-0.01273651</v>
      </c>
      <c r="I1277" s="15">
        <v>0.01544593</v>
      </c>
      <c r="J1277" s="15">
        <v>0.00682541</v>
      </c>
      <c r="K1277" s="15">
        <v>0.18</v>
      </c>
    </row>
    <row r="1278" ht="22.5" customHeight="1">
      <c r="A1278" s="167">
        <v>46087.91868055556</v>
      </c>
      <c r="B1278" s="144" t="s">
        <v>595</v>
      </c>
      <c r="C1278" s="15">
        <v>8.2</v>
      </c>
      <c r="D1278" s="15">
        <v>1.24</v>
      </c>
      <c r="E1278" s="146">
        <v>0.06</v>
      </c>
      <c r="F1278" s="15">
        <v>0.06</v>
      </c>
      <c r="G1278" s="15">
        <v>0.07470267</v>
      </c>
      <c r="H1278" s="15">
        <v>-0.01015137</v>
      </c>
      <c r="I1278" s="15">
        <v>0.07093568</v>
      </c>
      <c r="J1278" s="15">
        <v>0.00251302</v>
      </c>
      <c r="K1278" s="15">
        <v>2.79</v>
      </c>
    </row>
    <row r="1279" ht="22.5" customHeight="1">
      <c r="A1279" s="167">
        <v>46087.918703703705</v>
      </c>
      <c r="B1279" s="144" t="s">
        <v>594</v>
      </c>
      <c r="C1279" s="15">
        <v>29.11</v>
      </c>
      <c r="D1279" s="15">
        <v>0.82</v>
      </c>
      <c r="E1279" s="146">
        <v>0.26</v>
      </c>
      <c r="F1279" s="15">
        <v>0.26</v>
      </c>
      <c r="G1279" s="15">
        <v>0.07935982</v>
      </c>
      <c r="H1279" s="15">
        <v>-0.01454201</v>
      </c>
      <c r="I1279" s="15">
        <v>0.01821759</v>
      </c>
      <c r="J1279" s="15">
        <v>0.01607531</v>
      </c>
      <c r="K1279" s="15">
        <v>19.52</v>
      </c>
    </row>
    <row r="1280" ht="22.5" customHeight="1">
      <c r="A1280" s="167">
        <v>46087.91872685185</v>
      </c>
      <c r="B1280" s="144" t="s">
        <v>609</v>
      </c>
      <c r="C1280" s="15">
        <v>6.28</v>
      </c>
      <c r="D1280" s="15">
        <v>1.17</v>
      </c>
      <c r="E1280" s="146">
        <v>0.2</v>
      </c>
      <c r="F1280" s="15">
        <v>0.2</v>
      </c>
      <c r="G1280" s="15">
        <v>0.16748494</v>
      </c>
      <c r="H1280" s="15">
        <v>-0.00757772</v>
      </c>
      <c r="I1280" s="15">
        <v>0.10060728</v>
      </c>
      <c r="J1280" s="15">
        <v>0.00580492</v>
      </c>
      <c r="K1280" s="15">
        <v>14.66</v>
      </c>
    </row>
    <row r="1281" ht="22.5" customHeight="1">
      <c r="A1281" s="167">
        <v>46087.918761574074</v>
      </c>
      <c r="B1281" s="144" t="s">
        <v>586</v>
      </c>
      <c r="C1281" s="15">
        <v>46.46</v>
      </c>
      <c r="D1281" s="15">
        <v>0.23</v>
      </c>
      <c r="E1281" s="146">
        <v>0.4</v>
      </c>
      <c r="F1281" s="15">
        <v>0.4</v>
      </c>
      <c r="G1281" s="15">
        <v>0.19937257</v>
      </c>
      <c r="H1281" s="15">
        <v>-0.01310654</v>
      </c>
      <c r="I1281" s="15">
        <v>0.07694133</v>
      </c>
      <c r="J1281" s="15">
        <v>0.04567903</v>
      </c>
      <c r="K1281" s="15">
        <v>30.39</v>
      </c>
    </row>
    <row r="1282" ht="22.5" customHeight="1">
      <c r="A1282" s="167">
        <v>46087.91877314815</v>
      </c>
      <c r="B1282" s="144" t="s">
        <v>613</v>
      </c>
      <c r="C1282" s="15">
        <v>28.64</v>
      </c>
      <c r="D1282" s="15">
        <v>0.24</v>
      </c>
      <c r="E1282" s="146">
        <v>0.22</v>
      </c>
      <c r="F1282" s="15">
        <v>0.22</v>
      </c>
      <c r="G1282" s="15">
        <v>0.17731528</v>
      </c>
      <c r="H1282" s="15">
        <v>-0.00803929</v>
      </c>
      <c r="I1282" s="15">
        <v>0.11500945</v>
      </c>
      <c r="J1282" s="15">
        <v>0.02431602</v>
      </c>
      <c r="K1282" s="15">
        <v>17.87</v>
      </c>
    </row>
    <row r="1283" ht="22.5" customHeight="1">
      <c r="A1283" s="167">
        <v>46087.918807870374</v>
      </c>
      <c r="B1283" s="144" t="s">
        <v>614</v>
      </c>
      <c r="C1283" s="15">
        <v>51.12</v>
      </c>
      <c r="D1283" s="15">
        <v>0.23</v>
      </c>
      <c r="E1283" s="146">
        <v>0.33</v>
      </c>
      <c r="F1283" s="15">
        <v>0.33</v>
      </c>
      <c r="G1283" s="15">
        <v>0.17368758</v>
      </c>
      <c r="H1283" s="15">
        <v>-0.01340109</v>
      </c>
      <c r="I1283" s="15">
        <v>0.06961437</v>
      </c>
      <c r="J1283" s="15">
        <v>0.04332099</v>
      </c>
      <c r="K1283" s="15">
        <v>27.71</v>
      </c>
    </row>
    <row r="1284" ht="22.5" customHeight="1">
      <c r="A1284" s="167">
        <v>46087.91883101852</v>
      </c>
      <c r="B1284" s="144" t="s">
        <v>600</v>
      </c>
      <c r="C1284" s="15">
        <v>12.74</v>
      </c>
      <c r="D1284" s="15">
        <v>0.78</v>
      </c>
      <c r="E1284" s="146">
        <v>0.225</v>
      </c>
      <c r="F1284" s="15">
        <v>0.225</v>
      </c>
      <c r="G1284" s="15">
        <v>0.1470021</v>
      </c>
      <c r="H1284" s="15">
        <v>-0.00955578</v>
      </c>
      <c r="I1284" s="15">
        <v>0.07348134</v>
      </c>
      <c r="J1284" s="15">
        <v>0.01152327</v>
      </c>
      <c r="K1284" s="15">
        <v>11.73</v>
      </c>
    </row>
    <row r="1285" ht="22.5" customHeight="1">
      <c r="A1285" s="167">
        <v>46087.91884259259</v>
      </c>
      <c r="B1285" s="144" t="s">
        <v>542</v>
      </c>
      <c r="C1285" s="15">
        <v>673.81</v>
      </c>
      <c r="D1285" s="15">
        <v>0.25</v>
      </c>
      <c r="E1285" s="146">
        <v>13.3</v>
      </c>
      <c r="F1285" s="15">
        <v>12.11</v>
      </c>
      <c r="G1285" s="15">
        <v>-0.50650859</v>
      </c>
      <c r="H1285" s="15">
        <v>-0.42656599</v>
      </c>
      <c r="I1285" s="15">
        <v>0.01226185</v>
      </c>
      <c r="J1285" s="15">
        <v>0.52467708</v>
      </c>
      <c r="K1285" s="15">
        <v>5143.44</v>
      </c>
    </row>
    <row r="1286" ht="22.5" customHeight="1">
      <c r="A1286" s="167">
        <v>46087.918854166666</v>
      </c>
      <c r="B1286" s="144" t="s">
        <v>608</v>
      </c>
      <c r="C1286" s="15">
        <v>673.81</v>
      </c>
      <c r="D1286" s="15">
        <v>0.23</v>
      </c>
      <c r="E1286" s="146">
        <v>16.5</v>
      </c>
      <c r="F1286" s="15">
        <v>16.5</v>
      </c>
      <c r="G1286" s="15">
        <v>-0.40681656</v>
      </c>
      <c r="H1286" s="15">
        <v>-0.21064715</v>
      </c>
      <c r="I1286" s="15">
        <v>0.00741599</v>
      </c>
      <c r="J1286" s="15">
        <v>0.8843034</v>
      </c>
      <c r="K1286" s="15">
        <v>4996.82</v>
      </c>
    </row>
    <row r="1287" ht="22.5" customHeight="1">
      <c r="A1287" s="167">
        <v>46087.91886574074</v>
      </c>
      <c r="B1287" s="144" t="s">
        <v>616</v>
      </c>
      <c r="C1287" s="15">
        <v>36.28</v>
      </c>
      <c r="D1287" s="15">
        <v>0.33</v>
      </c>
      <c r="E1287" s="146">
        <v>2.36</v>
      </c>
      <c r="F1287" s="15">
        <v>2.36</v>
      </c>
      <c r="G1287" s="15">
        <v>0.51205755</v>
      </c>
      <c r="H1287" s="15">
        <v>-0.01390515</v>
      </c>
      <c r="I1287" s="15">
        <v>0.0634122</v>
      </c>
      <c r="J1287" s="15">
        <v>0.07583137</v>
      </c>
      <c r="K1287" s="15">
        <v>235.17</v>
      </c>
    </row>
    <row r="1288" ht="22.5" customHeight="1">
      <c r="A1288" s="167">
        <v>46087.918900462966</v>
      </c>
      <c r="B1288" s="144" t="s">
        <v>521</v>
      </c>
      <c r="C1288" s="15">
        <v>8.8</v>
      </c>
      <c r="D1288" s="15">
        <v>2.44</v>
      </c>
      <c r="E1288" s="146">
        <v>0.05</v>
      </c>
      <c r="F1288" s="15">
        <v>0.05</v>
      </c>
      <c r="G1288" s="15">
        <v>0.0247441</v>
      </c>
      <c r="H1288" s="15">
        <v>-0.00874556</v>
      </c>
      <c r="I1288" s="15">
        <v>0.01380503</v>
      </c>
      <c r="J1288" s="15">
        <v>0.00123006</v>
      </c>
      <c r="K1288" s="15">
        <v>0.26</v>
      </c>
    </row>
    <row r="1289" ht="22.5" customHeight="1">
      <c r="A1289" s="167">
        <v>46087.91892361111</v>
      </c>
      <c r="B1289" s="144" t="s">
        <v>618</v>
      </c>
      <c r="C1289" s="15">
        <v>27.03</v>
      </c>
      <c r="D1289" s="15">
        <v>0.39</v>
      </c>
      <c r="E1289" s="146">
        <v>0.57</v>
      </c>
      <c r="F1289" s="15">
        <v>0.57</v>
      </c>
      <c r="G1289" s="15">
        <v>0.29850446</v>
      </c>
      <c r="H1289" s="15">
        <v>-0.01632585</v>
      </c>
      <c r="I1289" s="15">
        <v>0.11190641</v>
      </c>
      <c r="J1289" s="15">
        <v>0.02827898</v>
      </c>
      <c r="K1289" s="15">
        <v>49.01</v>
      </c>
    </row>
    <row r="1290" ht="22.5" customHeight="1">
      <c r="A1290" s="167">
        <v>46087.91894675926</v>
      </c>
      <c r="B1290" s="144" t="s">
        <v>519</v>
      </c>
      <c r="C1290" s="15">
        <v>75.94</v>
      </c>
      <c r="D1290" s="15">
        <v>0.76</v>
      </c>
      <c r="E1290" s="146">
        <v>4.65</v>
      </c>
      <c r="F1290" s="15">
        <v>3.59</v>
      </c>
      <c r="G1290" s="15">
        <v>-0.5021787</v>
      </c>
      <c r="H1290" s="15">
        <v>-0.15702448</v>
      </c>
      <c r="I1290" s="15">
        <v>0.03565337</v>
      </c>
      <c r="J1290" s="15">
        <v>0.05938095</v>
      </c>
      <c r="K1290" s="15">
        <v>1111.26</v>
      </c>
    </row>
    <row r="1291" ht="22.5" customHeight="1">
      <c r="A1291" s="167">
        <v>46087.91898148148</v>
      </c>
      <c r="B1291" s="144" t="s">
        <v>603</v>
      </c>
      <c r="C1291" s="15">
        <v>473.51</v>
      </c>
      <c r="D1291" s="15">
        <v>0.31</v>
      </c>
      <c r="E1291" s="146">
        <v>9.15</v>
      </c>
      <c r="F1291" s="15">
        <v>9.15</v>
      </c>
      <c r="G1291" s="15">
        <v>-0.28047101</v>
      </c>
      <c r="H1291" s="15">
        <v>-0.18575634</v>
      </c>
      <c r="I1291" s="15">
        <v>0.006862</v>
      </c>
      <c r="J1291" s="15">
        <v>0.54000646</v>
      </c>
      <c r="K1291" s="15">
        <v>3932.92</v>
      </c>
    </row>
    <row r="1292" ht="22.5" customHeight="1">
      <c r="A1292" s="167">
        <v>46087.91899305556</v>
      </c>
      <c r="B1292" s="144" t="s">
        <v>604</v>
      </c>
      <c r="C1292" s="15">
        <v>473.51</v>
      </c>
      <c r="D1292" s="15">
        <v>0.3</v>
      </c>
      <c r="E1292" s="146">
        <v>11.85</v>
      </c>
      <c r="F1292" s="15">
        <v>11.85</v>
      </c>
      <c r="G1292" s="15">
        <v>-0.35346956</v>
      </c>
      <c r="H1292" s="15">
        <v>-0.19852845</v>
      </c>
      <c r="I1292" s="15">
        <v>0.00775701</v>
      </c>
      <c r="J1292" s="15">
        <v>0.59599819</v>
      </c>
      <c r="K1292" s="15">
        <v>3639.83</v>
      </c>
    </row>
    <row r="1293" ht="22.5" customHeight="1">
      <c r="A1293" s="167">
        <v>46087.91900462963</v>
      </c>
      <c r="B1293" s="144" t="s">
        <v>605</v>
      </c>
      <c r="C1293" s="15">
        <v>473.51</v>
      </c>
      <c r="D1293" s="15">
        <v>0.31</v>
      </c>
      <c r="E1293" s="146">
        <v>14.3</v>
      </c>
      <c r="F1293" s="15">
        <v>14.3</v>
      </c>
      <c r="G1293" s="15">
        <v>-0.39539277</v>
      </c>
      <c r="H1293" s="15">
        <v>-0.21122246</v>
      </c>
      <c r="I1293" s="15">
        <v>0.00786031</v>
      </c>
      <c r="J1293" s="15">
        <v>0.62599362</v>
      </c>
      <c r="K1293" s="15">
        <v>4778.3</v>
      </c>
    </row>
    <row r="1294" ht="22.5" customHeight="1">
      <c r="A1294" s="167">
        <v>46087.919016203705</v>
      </c>
      <c r="B1294" s="144" t="s">
        <v>558</v>
      </c>
      <c r="C1294" s="15">
        <v>250.89</v>
      </c>
      <c r="D1294" s="15">
        <v>0.23</v>
      </c>
      <c r="E1294" s="146">
        <v>0.12</v>
      </c>
      <c r="F1294" s="15">
        <v>0.12</v>
      </c>
      <c r="G1294" s="15">
        <v>0.02776239</v>
      </c>
      <c r="H1294" s="15">
        <v>-0.02678019</v>
      </c>
      <c r="I1294" s="15">
        <v>0.00572088</v>
      </c>
      <c r="J1294" s="15">
        <v>0.03569774</v>
      </c>
      <c r="K1294" s="15">
        <v>0.59</v>
      </c>
    </row>
    <row r="1295" ht="22.5" customHeight="1">
      <c r="A1295" s="167">
        <v>46087.91905092593</v>
      </c>
      <c r="B1295" s="144" t="s">
        <v>591</v>
      </c>
      <c r="C1295" s="15">
        <v>60.29</v>
      </c>
      <c r="D1295" s="15">
        <v>0.28</v>
      </c>
      <c r="E1295" s="146">
        <v>0.1</v>
      </c>
      <c r="F1295" s="15">
        <v>0.1</v>
      </c>
      <c r="G1295" s="15">
        <v>0.05319366</v>
      </c>
      <c r="H1295" s="15">
        <v>-0.00759788</v>
      </c>
      <c r="I1295" s="15">
        <v>0.01960336</v>
      </c>
      <c r="J1295" s="15">
        <v>0.02230559</v>
      </c>
      <c r="K1295" s="15">
        <v>7.88</v>
      </c>
    </row>
    <row r="1296" ht="22.5" customHeight="1">
      <c r="A1296" s="167">
        <v>46087.919652777775</v>
      </c>
      <c r="B1296" s="144" t="s">
        <v>567</v>
      </c>
      <c r="C1296" s="15">
        <v>58.04</v>
      </c>
      <c r="D1296" s="15">
        <v>0.49</v>
      </c>
      <c r="E1296" s="15" t="s">
        <v>687</v>
      </c>
      <c r="F1296" s="15" t="s">
        <v>687</v>
      </c>
      <c r="G1296" s="15">
        <v>0.00453977</v>
      </c>
      <c r="H1296" s="15">
        <v>-0.00210055</v>
      </c>
      <c r="I1296" s="15">
        <v>0.00254731</v>
      </c>
      <c r="J1296" s="15">
        <v>0.00152787</v>
      </c>
      <c r="K1296" s="15">
        <v>0.16</v>
      </c>
    </row>
    <row r="1297" ht="22.5" customHeight="1">
      <c r="A1297" s="167">
        <v>46087.920266203706</v>
      </c>
      <c r="B1297" s="144" t="s">
        <v>518</v>
      </c>
      <c r="C1297" s="15">
        <v>11.13</v>
      </c>
      <c r="D1297" s="15">
        <v>0.31</v>
      </c>
      <c r="E1297" s="15" t="s">
        <v>687</v>
      </c>
      <c r="F1297" s="15" t="s">
        <v>687</v>
      </c>
      <c r="G1297" s="15">
        <v>0.16416909</v>
      </c>
      <c r="H1297" s="15">
        <v>-0.00564246</v>
      </c>
      <c r="I1297" s="15">
        <v>0.35761874</v>
      </c>
      <c r="J1297" s="15">
        <v>0.00530109</v>
      </c>
      <c r="K1297" s="15">
        <v>2.77</v>
      </c>
    </row>
    <row r="1298" ht="22.5" customHeight="1">
      <c r="A1298" s="167">
        <v>46087.92086805555</v>
      </c>
      <c r="B1298" s="144" t="s">
        <v>570</v>
      </c>
      <c r="C1298" s="15">
        <v>45.26</v>
      </c>
      <c r="D1298" s="15">
        <v>0.55</v>
      </c>
      <c r="E1298" s="15" t="s">
        <v>687</v>
      </c>
      <c r="F1298" s="15" t="s">
        <v>687</v>
      </c>
      <c r="G1298" s="15">
        <v>0.00373101</v>
      </c>
      <c r="H1298" s="15">
        <v>-0.00159954</v>
      </c>
      <c r="I1298" s="15">
        <v>0.00257741</v>
      </c>
      <c r="J1298" s="15">
        <v>0.00111816</v>
      </c>
      <c r="K1298" s="15">
        <v>0.11</v>
      </c>
    </row>
    <row r="1299" ht="22.5" customHeight="1">
      <c r="A1299" s="167">
        <v>46087.921481481484</v>
      </c>
      <c r="B1299" s="144" t="s">
        <v>550</v>
      </c>
      <c r="C1299" s="15">
        <v>8.06</v>
      </c>
      <c r="D1299" s="15">
        <v>0.56</v>
      </c>
      <c r="E1299" s="15" t="s">
        <v>687</v>
      </c>
      <c r="F1299" s="15" t="s">
        <v>687</v>
      </c>
      <c r="G1299" s="15">
        <v>0.09513143</v>
      </c>
      <c r="H1299" s="15">
        <v>-0.00648632</v>
      </c>
      <c r="I1299" s="15">
        <v>0.14158546</v>
      </c>
      <c r="J1299" s="15">
        <v>0.00316849</v>
      </c>
      <c r="K1299" s="15">
        <v>1.35</v>
      </c>
    </row>
    <row r="1300" ht="22.5" customHeight="1">
      <c r="A1300" s="167">
        <v>46087.92150462963</v>
      </c>
      <c r="B1300" s="144" t="s">
        <v>601</v>
      </c>
      <c r="C1300" s="15">
        <v>5.62</v>
      </c>
      <c r="D1300" s="15">
        <v>0.81</v>
      </c>
      <c r="E1300" s="146">
        <v>0.11</v>
      </c>
      <c r="F1300" s="15">
        <v>0.11</v>
      </c>
      <c r="G1300" s="15">
        <v>0.31038967</v>
      </c>
      <c r="H1300" s="15">
        <v>-0.01183698</v>
      </c>
      <c r="I1300" s="15">
        <v>0.43859484</v>
      </c>
      <c r="J1300" s="15">
        <v>0.00395378</v>
      </c>
      <c r="K1300" s="15">
        <v>8.59</v>
      </c>
    </row>
    <row r="1301" ht="22.5" customHeight="1">
      <c r="A1301" s="167">
        <v>46087.92153935185</v>
      </c>
      <c r="B1301" s="144" t="s">
        <v>568</v>
      </c>
      <c r="C1301" s="15">
        <v>38.44</v>
      </c>
      <c r="D1301" s="15">
        <v>0.4</v>
      </c>
      <c r="E1301" s="146">
        <v>2.05</v>
      </c>
      <c r="F1301" s="15">
        <v>0.49</v>
      </c>
      <c r="G1301" s="15">
        <v>-0.67774168</v>
      </c>
      <c r="H1301" s="15">
        <v>-0.03636323</v>
      </c>
      <c r="I1301" s="15">
        <v>0.12106753</v>
      </c>
      <c r="J1301" s="15">
        <v>0.02713943</v>
      </c>
      <c r="K1301" s="15">
        <v>174.86</v>
      </c>
    </row>
    <row r="1302" ht="22.5" customHeight="1">
      <c r="A1302" s="167">
        <v>46087.9215625</v>
      </c>
      <c r="B1302" s="144" t="s">
        <v>597</v>
      </c>
      <c r="C1302" s="15">
        <v>58.64</v>
      </c>
      <c r="D1302" s="15">
        <v>1.19</v>
      </c>
      <c r="E1302" s="146">
        <v>3.1</v>
      </c>
      <c r="F1302" s="15">
        <v>3.1</v>
      </c>
      <c r="G1302" s="15">
        <v>0.37386205</v>
      </c>
      <c r="H1302" s="15">
        <v>-0.18786292</v>
      </c>
      <c r="I1302" s="15">
        <v>0.02788759</v>
      </c>
      <c r="J1302" s="15">
        <v>0.04239253</v>
      </c>
      <c r="K1302" s="15">
        <v>1018.76</v>
      </c>
    </row>
    <row r="1303" ht="22.5" customHeight="1">
      <c r="A1303" s="167">
        <v>46087.921585648146</v>
      </c>
      <c r="B1303" s="144" t="s">
        <v>598</v>
      </c>
      <c r="C1303" s="15">
        <v>58.64</v>
      </c>
      <c r="D1303" s="15">
        <v>1.28</v>
      </c>
      <c r="E1303" s="146">
        <v>2.21</v>
      </c>
      <c r="F1303" s="15">
        <v>2.21</v>
      </c>
      <c r="G1303" s="15">
        <v>0.28277546</v>
      </c>
      <c r="H1303" s="15">
        <v>-0.18027794</v>
      </c>
      <c r="I1303" s="15">
        <v>0.02301818</v>
      </c>
      <c r="J1303" s="15">
        <v>0.03902044</v>
      </c>
      <c r="K1303" s="15">
        <v>141.31</v>
      </c>
    </row>
    <row r="1304" ht="22.5" customHeight="1">
      <c r="A1304" s="167">
        <v>46087.9216087963</v>
      </c>
      <c r="B1304" s="144" t="s">
        <v>610</v>
      </c>
      <c r="C1304" s="15">
        <v>20.05</v>
      </c>
      <c r="D1304" s="15">
        <v>0.59</v>
      </c>
      <c r="E1304" s="146">
        <v>1.56</v>
      </c>
      <c r="F1304" s="15">
        <v>1.56</v>
      </c>
      <c r="G1304" s="15">
        <v>-0.4487933</v>
      </c>
      <c r="H1304" s="15">
        <v>-0.01798513</v>
      </c>
      <c r="I1304" s="15">
        <v>0.10038877</v>
      </c>
      <c r="J1304" s="15">
        <v>0.02680644</v>
      </c>
      <c r="K1304" s="15">
        <v>124.89</v>
      </c>
    </row>
    <row r="1305" ht="22.5" customHeight="1">
      <c r="A1305" s="167">
        <v>46087.92221064815</v>
      </c>
      <c r="B1305" s="144" t="s">
        <v>602</v>
      </c>
      <c r="C1305" s="15">
        <v>69.28</v>
      </c>
      <c r="D1305" s="15">
        <v>0.33</v>
      </c>
      <c r="E1305" s="15" t="s">
        <v>687</v>
      </c>
      <c r="F1305" s="15" t="s">
        <v>687</v>
      </c>
      <c r="G1305" s="15">
        <v>0.05507768</v>
      </c>
      <c r="H1305" s="15">
        <v>-0.0183094</v>
      </c>
      <c r="I1305" s="15">
        <v>0.02177893</v>
      </c>
      <c r="J1305" s="15">
        <v>0.01478112</v>
      </c>
      <c r="K1305" s="15">
        <v>2.59</v>
      </c>
    </row>
    <row r="1306" ht="22.5" customHeight="1">
      <c r="A1306" s="167">
        <v>46087.92282407408</v>
      </c>
      <c r="B1306" s="144" t="s">
        <v>596</v>
      </c>
      <c r="C1306" s="15">
        <v>75.61</v>
      </c>
      <c r="D1306" s="15">
        <v>0.33</v>
      </c>
      <c r="E1306" s="15" t="s">
        <v>687</v>
      </c>
      <c r="F1306" s="15" t="s">
        <v>687</v>
      </c>
      <c r="G1306" s="15">
        <v>0.03112289</v>
      </c>
      <c r="H1306" s="15">
        <v>-0.0079334</v>
      </c>
      <c r="I1306" s="15">
        <v>0.0083489</v>
      </c>
      <c r="J1306" s="15">
        <v>0.02053601</v>
      </c>
      <c r="K1306" s="15">
        <v>5.74</v>
      </c>
    </row>
    <row r="1307" ht="22.5" customHeight="1">
      <c r="A1307" s="167">
        <v>46087.923425925925</v>
      </c>
      <c r="B1307" s="144" t="s">
        <v>611</v>
      </c>
      <c r="C1307" s="15">
        <v>44.55</v>
      </c>
      <c r="D1307" s="15">
        <v>0.31</v>
      </c>
      <c r="E1307" s="15" t="s">
        <v>687</v>
      </c>
      <c r="F1307" s="15" t="s">
        <v>687</v>
      </c>
      <c r="G1307" s="15">
        <v>0.06345377</v>
      </c>
      <c r="H1307" s="15">
        <v>-0.00574565</v>
      </c>
      <c r="I1307" s="15">
        <v>0.02916951</v>
      </c>
      <c r="J1307" s="15">
        <v>0.02165027</v>
      </c>
      <c r="K1307" s="15">
        <v>10.9</v>
      </c>
    </row>
    <row r="1308" ht="22.5" customHeight="1">
      <c r="A1308" s="167">
        <v>46087.92344907407</v>
      </c>
      <c r="B1308" s="144" t="s">
        <v>612</v>
      </c>
      <c r="C1308" s="15">
        <v>44.55</v>
      </c>
      <c r="D1308" s="15">
        <v>0.27</v>
      </c>
      <c r="E1308" s="146">
        <v>0.85</v>
      </c>
      <c r="F1308" s="15">
        <v>0.85</v>
      </c>
      <c r="G1308" s="15">
        <v>-0.27922696</v>
      </c>
      <c r="H1308" s="15">
        <v>-0.0153868</v>
      </c>
      <c r="I1308" s="15">
        <v>0.08190592</v>
      </c>
      <c r="J1308" s="15">
        <v>0.05074456</v>
      </c>
      <c r="K1308" s="15">
        <v>68.39</v>
      </c>
    </row>
    <row r="1309" ht="22.5" customHeight="1">
      <c r="A1309" s="167">
        <v>46087.923472222225</v>
      </c>
      <c r="B1309" s="144" t="s">
        <v>619</v>
      </c>
      <c r="C1309" s="15">
        <v>108.77</v>
      </c>
      <c r="D1309" s="15">
        <v>0.73</v>
      </c>
      <c r="E1309" s="146">
        <v>4.2</v>
      </c>
      <c r="F1309" s="15">
        <v>4.2</v>
      </c>
      <c r="G1309" s="15">
        <v>-0.15536902</v>
      </c>
      <c r="H1309" s="15">
        <v>-0.04677391</v>
      </c>
      <c r="I1309" s="15">
        <v>0.00569069</v>
      </c>
      <c r="J1309" s="15">
        <v>0.14868952</v>
      </c>
      <c r="K1309" s="15">
        <v>200.58</v>
      </c>
    </row>
    <row r="1310" ht="22.5" customHeight="1">
      <c r="A1310" s="167">
        <v>46087.923483796294</v>
      </c>
      <c r="B1310" s="144" t="s">
        <v>620</v>
      </c>
      <c r="C1310" s="15">
        <v>108.77</v>
      </c>
      <c r="D1310" s="15">
        <v>0.75</v>
      </c>
      <c r="E1310" s="146">
        <v>7.65</v>
      </c>
      <c r="F1310" s="15">
        <v>7.65</v>
      </c>
      <c r="G1310" s="15">
        <v>-0.24207503</v>
      </c>
      <c r="H1310" s="15">
        <v>-0.06196641</v>
      </c>
      <c r="I1310" s="15">
        <v>0.0072599</v>
      </c>
      <c r="J1310" s="15">
        <v>0.17953165</v>
      </c>
      <c r="K1310" s="15">
        <v>371.78</v>
      </c>
    </row>
    <row r="1311" ht="22.5" customHeight="1">
      <c r="A1311" s="167">
        <v>46090.880960648145</v>
      </c>
      <c r="B1311" s="144" t="s">
        <v>543</v>
      </c>
      <c r="C1311" s="15">
        <v>679.62</v>
      </c>
      <c r="D1311" s="15">
        <v>0.3</v>
      </c>
      <c r="E1311" s="146">
        <v>3.7</v>
      </c>
      <c r="F1311" s="15">
        <v>3.7</v>
      </c>
      <c r="G1311" s="15">
        <v>-0.18937748</v>
      </c>
      <c r="H1311" s="15">
        <v>-0.41513381</v>
      </c>
      <c r="I1311" s="15">
        <v>0.0077672</v>
      </c>
      <c r="J1311" s="15">
        <v>0.31884856</v>
      </c>
      <c r="K1311" s="15">
        <v>4976.21</v>
      </c>
    </row>
    <row r="1312" ht="22.5" customHeight="1">
      <c r="A1312" s="167">
        <v>46090.88097222222</v>
      </c>
      <c r="B1312" s="144" t="s">
        <v>544</v>
      </c>
      <c r="C1312" s="15">
        <v>679.62</v>
      </c>
      <c r="D1312" s="15">
        <v>0.25</v>
      </c>
      <c r="E1312" s="146">
        <v>7.67</v>
      </c>
      <c r="F1312" s="15">
        <v>7.67</v>
      </c>
      <c r="G1312" s="15">
        <v>-0.37032718</v>
      </c>
      <c r="H1312" s="15">
        <v>-0.48539754</v>
      </c>
      <c r="I1312" s="15">
        <v>0.012635</v>
      </c>
      <c r="J1312" s="15">
        <v>0.44465977</v>
      </c>
      <c r="K1312" s="15">
        <v>5132.78</v>
      </c>
    </row>
    <row r="1313" ht="22.5" customHeight="1">
      <c r="A1313" s="167">
        <v>46090.881006944444</v>
      </c>
      <c r="B1313" s="144" t="s">
        <v>556</v>
      </c>
      <c r="C1313" s="15">
        <v>253.62</v>
      </c>
      <c r="D1313" s="15">
        <v>0.25</v>
      </c>
      <c r="E1313" s="146">
        <v>0.33</v>
      </c>
      <c r="F1313" s="15">
        <v>0.33</v>
      </c>
      <c r="G1313" s="15">
        <v>0.06280604</v>
      </c>
      <c r="H1313" s="15">
        <v>-0.06357612</v>
      </c>
      <c r="I1313" s="15">
        <v>0.01154986</v>
      </c>
      <c r="J1313" s="15">
        <v>0.06179616</v>
      </c>
      <c r="K1313" s="15">
        <v>1.12</v>
      </c>
    </row>
    <row r="1314" ht="22.5" customHeight="1">
      <c r="A1314" s="167">
        <v>46090.88101851852</v>
      </c>
      <c r="B1314" s="144" t="s">
        <v>557</v>
      </c>
      <c r="C1314" s="15">
        <v>253.62</v>
      </c>
      <c r="D1314" s="15">
        <v>0.4</v>
      </c>
      <c r="E1314" s="146">
        <v>2.21</v>
      </c>
      <c r="F1314" s="15">
        <v>2.21</v>
      </c>
      <c r="G1314" s="15">
        <v>-0.22015078</v>
      </c>
      <c r="H1314" s="15">
        <v>-0.22772161</v>
      </c>
      <c r="I1314" s="15">
        <v>0.01716248</v>
      </c>
      <c r="J1314" s="15">
        <v>0.13196005</v>
      </c>
      <c r="K1314" s="15">
        <v>1785.02</v>
      </c>
    </row>
    <row r="1315" ht="22.5" customHeight="1">
      <c r="A1315" s="167">
        <v>46090.88104166667</v>
      </c>
      <c r="B1315" s="144" t="s">
        <v>515</v>
      </c>
      <c r="C1315" s="15">
        <v>18.16</v>
      </c>
      <c r="D1315" s="15">
        <v>0.48</v>
      </c>
      <c r="E1315" s="146">
        <v>1.35</v>
      </c>
      <c r="F1315" s="15">
        <v>0.19</v>
      </c>
      <c r="G1315" s="15">
        <v>0.80195766</v>
      </c>
      <c r="H1315" s="15">
        <v>-0.02075569</v>
      </c>
      <c r="I1315" s="15">
        <v>0.18447041</v>
      </c>
      <c r="J1315" s="15">
        <v>0.00942449</v>
      </c>
      <c r="K1315" s="15">
        <v>109.38</v>
      </c>
    </row>
    <row r="1316" ht="22.5" customHeight="1">
      <c r="A1316" s="167">
        <v>46090.881631944445</v>
      </c>
      <c r="B1316" s="144" t="s">
        <v>517</v>
      </c>
      <c r="C1316" s="15">
        <v>18.16</v>
      </c>
      <c r="D1316" s="15">
        <v>0.78</v>
      </c>
      <c r="E1316" s="146">
        <v>0.0</v>
      </c>
      <c r="F1316" s="15">
        <v>0.0</v>
      </c>
      <c r="G1316" s="15">
        <v>-0.0030805</v>
      </c>
      <c r="H1316" s="15">
        <v>-7.3763E-4</v>
      </c>
      <c r="I1316" s="15">
        <v>0.00367982</v>
      </c>
      <c r="J1316" s="15">
        <v>2.754E-4</v>
      </c>
      <c r="K1316" s="15">
        <v>0.01</v>
      </c>
    </row>
    <row r="1317" ht="22.5" customHeight="1">
      <c r="A1317" s="167">
        <v>46090.88166666667</v>
      </c>
      <c r="B1317" s="144" t="s">
        <v>561</v>
      </c>
      <c r="C1317" s="15">
        <v>27.53</v>
      </c>
      <c r="D1317" s="15">
        <v>0.31</v>
      </c>
      <c r="E1317" s="146">
        <v>0.34</v>
      </c>
      <c r="F1317" s="15">
        <v>0.34</v>
      </c>
      <c r="G1317" s="15">
        <v>-0.34089194</v>
      </c>
      <c r="H1317" s="15">
        <v>-0.02366996</v>
      </c>
      <c r="I1317" s="15">
        <v>0.25160713</v>
      </c>
      <c r="J1317" s="15">
        <v>0.01793445</v>
      </c>
      <c r="K1317" s="15">
        <v>31.66</v>
      </c>
    </row>
    <row r="1318" ht="22.5" customHeight="1">
      <c r="A1318" s="167">
        <v>46090.881689814814</v>
      </c>
      <c r="B1318" s="144" t="s">
        <v>573</v>
      </c>
      <c r="C1318" s="15">
        <v>348.7</v>
      </c>
      <c r="D1318" s="15">
        <v>0.53</v>
      </c>
      <c r="E1318" s="146">
        <v>5.7</v>
      </c>
      <c r="F1318" s="15">
        <v>5.7</v>
      </c>
      <c r="G1318" s="15">
        <v>-0.26262574</v>
      </c>
      <c r="H1318" s="15">
        <v>-0.46274308</v>
      </c>
      <c r="I1318" s="15">
        <v>0.01034665</v>
      </c>
      <c r="J1318" s="15">
        <v>0.20567173</v>
      </c>
      <c r="K1318" s="15">
        <v>3663.29</v>
      </c>
    </row>
    <row r="1319" ht="22.5" customHeight="1">
      <c r="A1319" s="167">
        <v>46090.88172453704</v>
      </c>
      <c r="B1319" s="144" t="s">
        <v>592</v>
      </c>
      <c r="C1319" s="15">
        <v>98.32</v>
      </c>
      <c r="D1319" s="15">
        <v>0.46</v>
      </c>
      <c r="E1319" s="146">
        <v>9.05</v>
      </c>
      <c r="F1319" s="15">
        <v>0.73</v>
      </c>
      <c r="G1319" s="15">
        <v>0.87497719</v>
      </c>
      <c r="H1319" s="15">
        <v>-0.08261038</v>
      </c>
      <c r="I1319" s="15">
        <v>0.02604193</v>
      </c>
      <c r="J1319" s="15">
        <v>0.03499486</v>
      </c>
      <c r="K1319" s="15">
        <v>877.59</v>
      </c>
    </row>
    <row r="1320" ht="22.5" customHeight="1">
      <c r="A1320" s="167">
        <v>46090.881736111114</v>
      </c>
      <c r="B1320" s="144" t="s">
        <v>593</v>
      </c>
      <c r="C1320" s="15">
        <v>98.32</v>
      </c>
      <c r="D1320" s="15">
        <v>0.43</v>
      </c>
      <c r="E1320" s="146">
        <v>4.89</v>
      </c>
      <c r="F1320" s="15">
        <v>1.57</v>
      </c>
      <c r="G1320" s="15">
        <v>0.69636227</v>
      </c>
      <c r="H1320" s="15">
        <v>-0.12302994</v>
      </c>
      <c r="I1320" s="15">
        <v>0.04816274</v>
      </c>
      <c r="J1320" s="15">
        <v>0.05867986</v>
      </c>
      <c r="K1320" s="15">
        <v>410.08</v>
      </c>
    </row>
    <row r="1321" ht="22.5" customHeight="1">
      <c r="A1321" s="167">
        <v>46090.88175925926</v>
      </c>
      <c r="B1321" s="144" t="s">
        <v>577</v>
      </c>
      <c r="C1321" s="15">
        <v>73.84</v>
      </c>
      <c r="D1321" s="15">
        <v>0.67</v>
      </c>
      <c r="E1321" s="146">
        <v>0.05</v>
      </c>
      <c r="F1321" s="15">
        <v>0.05</v>
      </c>
      <c r="G1321" s="15">
        <v>-0.0311163</v>
      </c>
      <c r="H1321" s="15">
        <v>-0.02719901</v>
      </c>
      <c r="I1321" s="15">
        <v>0.00820851</v>
      </c>
      <c r="J1321" s="15">
        <v>0.01059816</v>
      </c>
      <c r="K1321" s="15">
        <v>4.69</v>
      </c>
    </row>
    <row r="1322" ht="22.5" customHeight="1">
      <c r="A1322" s="167">
        <v>46090.88177083333</v>
      </c>
      <c r="B1322" s="144" t="s">
        <v>606</v>
      </c>
      <c r="C1322" s="15">
        <v>679.62</v>
      </c>
      <c r="D1322" s="15">
        <v>0.29</v>
      </c>
      <c r="E1322" s="146">
        <v>5.5</v>
      </c>
      <c r="F1322" s="15">
        <v>5.5</v>
      </c>
      <c r="G1322" s="15">
        <v>-0.1510739</v>
      </c>
      <c r="H1322" s="15">
        <v>-0.18046542</v>
      </c>
      <c r="I1322" s="15">
        <v>0.00366354</v>
      </c>
      <c r="J1322" s="15">
        <v>0.51878533</v>
      </c>
      <c r="K1322" s="15">
        <v>4498.06</v>
      </c>
    </row>
    <row r="1323" ht="22.5" customHeight="1">
      <c r="A1323" s="167">
        <v>46090.88178240741</v>
      </c>
      <c r="B1323" s="144" t="s">
        <v>607</v>
      </c>
      <c r="C1323" s="15">
        <v>679.62</v>
      </c>
      <c r="D1323" s="15">
        <v>0.23</v>
      </c>
      <c r="E1323" s="146">
        <v>13.6</v>
      </c>
      <c r="F1323" s="15">
        <v>13.6</v>
      </c>
      <c r="G1323" s="15">
        <v>-0.32997205</v>
      </c>
      <c r="H1323" s="15">
        <v>-0.21250162</v>
      </c>
      <c r="I1323" s="15">
        <v>0.00706816</v>
      </c>
      <c r="J1323" s="15">
        <v>0.80194478</v>
      </c>
      <c r="K1323" s="15">
        <v>4935.85</v>
      </c>
    </row>
    <row r="1324" ht="22.5" customHeight="1">
      <c r="A1324" s="167">
        <v>46090.88180555555</v>
      </c>
      <c r="B1324" s="144" t="s">
        <v>621</v>
      </c>
      <c r="C1324" s="15">
        <v>5685.2</v>
      </c>
      <c r="D1324" s="15">
        <v>0.33</v>
      </c>
      <c r="E1324" s="146">
        <v>66.5</v>
      </c>
      <c r="F1324" s="15">
        <v>66.5</v>
      </c>
      <c r="G1324" s="15">
        <v>-0.19720925</v>
      </c>
      <c r="H1324" s="15">
        <v>-2.10129982</v>
      </c>
      <c r="I1324" s="15">
        <v>4.6462E-4</v>
      </c>
      <c r="J1324" s="15">
        <v>5.09847277</v>
      </c>
      <c r="K1324" s="15">
        <v>3095.45</v>
      </c>
    </row>
    <row r="1325" ht="22.5" customHeight="1">
      <c r="A1325" s="167">
        <v>46090.88182870371</v>
      </c>
      <c r="B1325" s="144" t="s">
        <v>622</v>
      </c>
      <c r="C1325" s="15">
        <v>5685.2</v>
      </c>
      <c r="D1325" s="15">
        <v>0.23</v>
      </c>
      <c r="E1325" s="146">
        <v>81.0</v>
      </c>
      <c r="F1325" s="15">
        <v>81.0</v>
      </c>
      <c r="G1325" s="15">
        <v>0.33774905</v>
      </c>
      <c r="H1325" s="15">
        <v>-2.03262191</v>
      </c>
      <c r="I1325" s="15">
        <v>8.8412E-4</v>
      </c>
      <c r="J1325" s="15">
        <v>6.71242474</v>
      </c>
      <c r="K1325" s="15">
        <v>76.21</v>
      </c>
    </row>
    <row r="1326" ht="22.5" customHeight="1">
      <c r="A1326" s="167">
        <v>46090.881840277776</v>
      </c>
      <c r="B1326" s="144" t="s">
        <v>623</v>
      </c>
      <c r="C1326" s="15">
        <v>5685.2</v>
      </c>
      <c r="D1326" s="15">
        <v>0.32</v>
      </c>
      <c r="E1326" s="146">
        <v>71.7</v>
      </c>
      <c r="F1326" s="15">
        <v>71.7</v>
      </c>
      <c r="G1326" s="15">
        <v>-0.21721621</v>
      </c>
      <c r="H1326" s="15">
        <v>-2.1540565</v>
      </c>
      <c r="I1326" s="15">
        <v>5.0729E-4</v>
      </c>
      <c r="J1326" s="15">
        <v>5.39842458</v>
      </c>
      <c r="K1326" s="15">
        <v>3662.18</v>
      </c>
    </row>
    <row r="1327" ht="22.5" customHeight="1">
      <c r="A1327" s="167">
        <v>46090.88186342592</v>
      </c>
      <c r="B1327" s="144" t="s">
        <v>615</v>
      </c>
      <c r="C1327" s="15">
        <v>37.1</v>
      </c>
      <c r="D1327" s="15">
        <v>0.31</v>
      </c>
      <c r="E1327" s="146">
        <v>1.43</v>
      </c>
      <c r="F1327" s="15">
        <v>1.43</v>
      </c>
      <c r="G1327" s="15">
        <v>0.37371215</v>
      </c>
      <c r="H1327" s="15">
        <v>-0.01283021</v>
      </c>
      <c r="I1327" s="15">
        <v>0.06363018</v>
      </c>
      <c r="J1327" s="15">
        <v>0.07263278</v>
      </c>
      <c r="K1327" s="15">
        <v>126.65</v>
      </c>
    </row>
    <row r="1328" ht="22.5" customHeight="1">
      <c r="A1328" s="167">
        <v>46090.881886574076</v>
      </c>
      <c r="B1328" s="144" t="s">
        <v>617</v>
      </c>
      <c r="C1328" s="15">
        <v>36.48</v>
      </c>
      <c r="D1328" s="15">
        <v>0.29</v>
      </c>
      <c r="E1328" s="146">
        <v>1.61</v>
      </c>
      <c r="F1328" s="15">
        <v>1.61</v>
      </c>
      <c r="G1328" s="15">
        <v>0.50188317</v>
      </c>
      <c r="H1328" s="15">
        <v>-0.0153604</v>
      </c>
      <c r="I1328" s="15">
        <v>0.0881264</v>
      </c>
      <c r="J1328" s="15">
        <v>0.06258055</v>
      </c>
      <c r="K1328" s="15">
        <v>119.31</v>
      </c>
    </row>
    <row r="1329" ht="22.5" customHeight="1">
      <c r="A1329" s="167">
        <v>46090.88190972222</v>
      </c>
      <c r="B1329" s="144" t="s">
        <v>524</v>
      </c>
      <c r="C1329" s="15">
        <v>5685.2</v>
      </c>
      <c r="D1329" s="15">
        <v>0.23</v>
      </c>
      <c r="E1329" s="146">
        <v>0.65</v>
      </c>
      <c r="F1329" s="15">
        <v>0.65</v>
      </c>
      <c r="G1329" s="15">
        <v>0.01159545</v>
      </c>
      <c r="H1329" s="15">
        <v>-0.2665608</v>
      </c>
      <c r="I1329" s="15">
        <v>1.2192E-4</v>
      </c>
      <c r="J1329" s="15">
        <v>0.37583656</v>
      </c>
      <c r="K1329" s="15">
        <v>0.26</v>
      </c>
    </row>
    <row r="1330" ht="22.5" customHeight="1">
      <c r="A1330" s="167">
        <v>46090.88193287037</v>
      </c>
      <c r="B1330" s="144" t="s">
        <v>599</v>
      </c>
      <c r="C1330" s="15">
        <v>10.5</v>
      </c>
      <c r="D1330" s="15">
        <v>0.92</v>
      </c>
      <c r="E1330" s="146">
        <v>0.85</v>
      </c>
      <c r="F1330" s="15">
        <v>0.35</v>
      </c>
      <c r="G1330" s="15">
        <v>0.65276114</v>
      </c>
      <c r="H1330" s="15">
        <v>-0.02887059</v>
      </c>
      <c r="I1330" s="15">
        <v>0.2208196</v>
      </c>
      <c r="J1330" s="15">
        <v>0.00675782</v>
      </c>
      <c r="K1330" s="15">
        <v>77.27</v>
      </c>
    </row>
    <row r="1331" ht="22.5" customHeight="1">
      <c r="A1331" s="167">
        <v>46090.88196759259</v>
      </c>
      <c r="B1331" s="144" t="s">
        <v>532</v>
      </c>
      <c r="C1331" s="15">
        <v>92.4</v>
      </c>
      <c r="D1331" s="15">
        <v>0.58</v>
      </c>
      <c r="E1331" s="146">
        <v>0.3</v>
      </c>
      <c r="F1331" s="15">
        <v>0.3</v>
      </c>
      <c r="G1331" s="15">
        <v>-0.06716227</v>
      </c>
      <c r="H1331" s="15">
        <v>-0.05455908</v>
      </c>
      <c r="I1331" s="15">
        <v>0.01403445</v>
      </c>
      <c r="J1331" s="15">
        <v>0.01896665</v>
      </c>
      <c r="K1331" s="15">
        <v>376.0</v>
      </c>
    </row>
    <row r="1332" ht="22.5" customHeight="1">
      <c r="A1332" s="167">
        <v>46090.88197916667</v>
      </c>
      <c r="B1332" s="144" t="s">
        <v>562</v>
      </c>
      <c r="C1332" s="15">
        <v>92.4</v>
      </c>
      <c r="D1332" s="15">
        <v>0.48</v>
      </c>
      <c r="E1332" s="146">
        <v>0.75</v>
      </c>
      <c r="F1332" s="15">
        <v>0.75</v>
      </c>
      <c r="G1332" s="15">
        <v>-0.16557923</v>
      </c>
      <c r="H1332" s="15">
        <v>-0.07331892</v>
      </c>
      <c r="I1332" s="15">
        <v>0.03062436</v>
      </c>
      <c r="J1332" s="15">
        <v>0.04538804</v>
      </c>
      <c r="K1332" s="15">
        <v>373.19</v>
      </c>
    </row>
    <row r="1333" ht="22.5" customHeight="1">
      <c r="A1333" s="167">
        <v>46090.882002314815</v>
      </c>
      <c r="B1333" s="144" t="s">
        <v>588</v>
      </c>
      <c r="C1333" s="15">
        <v>16.59</v>
      </c>
      <c r="D1333" s="15">
        <v>0.48</v>
      </c>
      <c r="E1333" s="146">
        <v>0.2</v>
      </c>
      <c r="F1333" s="15">
        <v>0.2</v>
      </c>
      <c r="G1333" s="15">
        <v>0.28066107</v>
      </c>
      <c r="H1333" s="15">
        <v>-0.01584204</v>
      </c>
      <c r="I1333" s="15">
        <v>0.26049542</v>
      </c>
      <c r="J1333" s="15">
        <v>0.01055482</v>
      </c>
      <c r="K1333" s="15">
        <v>14.14</v>
      </c>
    </row>
    <row r="1334" ht="22.5" customHeight="1">
      <c r="A1334" s="167">
        <v>46090.88202546296</v>
      </c>
      <c r="B1334" s="144" t="s">
        <v>553</v>
      </c>
      <c r="C1334" s="15">
        <v>49.39</v>
      </c>
      <c r="D1334" s="15">
        <v>1.02</v>
      </c>
      <c r="E1334" s="146">
        <v>0.75</v>
      </c>
      <c r="F1334" s="15">
        <v>0.75</v>
      </c>
      <c r="G1334" s="15">
        <v>-0.15493165</v>
      </c>
      <c r="H1334" s="15">
        <v>-0.09363402</v>
      </c>
      <c r="I1334" s="15">
        <v>0.0274327</v>
      </c>
      <c r="J1334" s="15">
        <v>0.02085411</v>
      </c>
      <c r="K1334" s="15">
        <v>626.12</v>
      </c>
    </row>
    <row r="1335" ht="22.5" customHeight="1">
      <c r="A1335" s="167">
        <v>46090.882048611114</v>
      </c>
      <c r="B1335" s="144" t="s">
        <v>554</v>
      </c>
      <c r="C1335" s="15">
        <v>49.39</v>
      </c>
      <c r="D1335" s="15">
        <v>0.5</v>
      </c>
      <c r="E1335" s="146">
        <v>0.07</v>
      </c>
      <c r="F1335" s="15">
        <v>0.07</v>
      </c>
      <c r="G1335" s="15">
        <v>0.04609401</v>
      </c>
      <c r="H1335" s="15">
        <v>-0.01921654</v>
      </c>
      <c r="I1335" s="15">
        <v>0.02238286</v>
      </c>
      <c r="J1335" s="15">
        <v>0.00884839</v>
      </c>
      <c r="K1335" s="15">
        <v>0.23</v>
      </c>
    </row>
    <row r="1336" ht="22.5" customHeight="1">
      <c r="A1336" s="167">
        <v>46090.88207175926</v>
      </c>
      <c r="B1336" s="144" t="s">
        <v>595</v>
      </c>
      <c r="C1336" s="15">
        <v>8.38</v>
      </c>
      <c r="D1336" s="15">
        <v>1.28</v>
      </c>
      <c r="E1336" s="146">
        <v>0.04</v>
      </c>
      <c r="F1336" s="15">
        <v>0.04</v>
      </c>
      <c r="G1336" s="15">
        <v>0.06624646</v>
      </c>
      <c r="H1336" s="15">
        <v>-0.01099317</v>
      </c>
      <c r="I1336" s="15">
        <v>0.06940441</v>
      </c>
      <c r="J1336" s="15">
        <v>0.00168796</v>
      </c>
      <c r="K1336" s="15">
        <v>3.43</v>
      </c>
    </row>
    <row r="1337" ht="22.5" customHeight="1">
      <c r="A1337" s="167">
        <v>46090.88209490741</v>
      </c>
      <c r="B1337" s="144" t="s">
        <v>626</v>
      </c>
      <c r="C1337" s="15">
        <v>101.66</v>
      </c>
      <c r="D1337" s="15">
        <v>0.35</v>
      </c>
      <c r="E1337" s="146">
        <v>0.73</v>
      </c>
      <c r="F1337" s="15">
        <v>0.73</v>
      </c>
      <c r="G1337" s="15">
        <v>-0.12191992</v>
      </c>
      <c r="H1337" s="15">
        <v>-0.0287025</v>
      </c>
      <c r="I1337" s="15">
        <v>0.01759608</v>
      </c>
      <c r="J1337" s="15">
        <v>0.06549874</v>
      </c>
      <c r="K1337" s="15">
        <v>60.29</v>
      </c>
    </row>
    <row r="1338" ht="22.5" customHeight="1">
      <c r="A1338" s="167">
        <v>46090.882106481484</v>
      </c>
      <c r="B1338" s="144" t="s">
        <v>627</v>
      </c>
      <c r="C1338" s="15">
        <v>101.66</v>
      </c>
      <c r="D1338" s="15">
        <v>0.32</v>
      </c>
      <c r="E1338" s="146">
        <v>1.45</v>
      </c>
      <c r="F1338" s="15">
        <v>1.45</v>
      </c>
      <c r="G1338" s="15">
        <v>-0.22780485</v>
      </c>
      <c r="H1338" s="15">
        <v>-0.03834325</v>
      </c>
      <c r="I1338" s="15">
        <v>0.02903219</v>
      </c>
      <c r="J1338" s="15">
        <v>0.09785883</v>
      </c>
      <c r="K1338" s="15">
        <v>633.46</v>
      </c>
    </row>
    <row r="1339" ht="22.5" customHeight="1">
      <c r="A1339" s="167">
        <v>46090.88214120371</v>
      </c>
      <c r="B1339" s="144" t="s">
        <v>594</v>
      </c>
      <c r="C1339" s="15">
        <v>30.48</v>
      </c>
      <c r="D1339" s="15">
        <v>0.77</v>
      </c>
      <c r="E1339" s="146">
        <v>0.25</v>
      </c>
      <c r="F1339" s="15">
        <v>0.25</v>
      </c>
      <c r="G1339" s="15">
        <v>0.07909179</v>
      </c>
      <c r="H1339" s="15">
        <v>-0.01473541</v>
      </c>
      <c r="I1339" s="15">
        <v>0.01924028</v>
      </c>
      <c r="J1339" s="15">
        <v>0.01588987</v>
      </c>
      <c r="K1339" s="15">
        <v>21.2</v>
      </c>
    </row>
    <row r="1340" ht="22.5" customHeight="1">
      <c r="A1340" s="167">
        <v>46090.88216435185</v>
      </c>
      <c r="B1340" s="144" t="s">
        <v>609</v>
      </c>
      <c r="C1340" s="15">
        <v>6.69</v>
      </c>
      <c r="D1340" s="15">
        <v>1.11</v>
      </c>
      <c r="E1340" s="146">
        <v>0.23</v>
      </c>
      <c r="F1340" s="15">
        <v>0.23</v>
      </c>
      <c r="G1340" s="15">
        <v>0.17973374</v>
      </c>
      <c r="H1340" s="15">
        <v>-0.00825484</v>
      </c>
      <c r="I1340" s="15">
        <v>0.10836397</v>
      </c>
      <c r="J1340" s="15">
        <v>0.00580114</v>
      </c>
      <c r="K1340" s="15">
        <v>20.04</v>
      </c>
    </row>
    <row r="1341" ht="22.5" customHeight="1">
      <c r="A1341" s="167">
        <v>46090.8821875</v>
      </c>
      <c r="B1341" s="144" t="s">
        <v>586</v>
      </c>
      <c r="C1341" s="15">
        <v>47.03</v>
      </c>
      <c r="D1341" s="15">
        <v>0.21</v>
      </c>
      <c r="E1341" s="146">
        <v>0.35</v>
      </c>
      <c r="F1341" s="15">
        <v>0.35</v>
      </c>
      <c r="G1341" s="15">
        <v>0.21070027</v>
      </c>
      <c r="H1341" s="15">
        <v>-0.01298394</v>
      </c>
      <c r="I1341" s="15">
        <v>0.08975354</v>
      </c>
      <c r="J1341" s="15">
        <v>0.04433592</v>
      </c>
      <c r="K1341" s="15">
        <v>34.39</v>
      </c>
    </row>
    <row r="1342" ht="22.5" customHeight="1">
      <c r="A1342" s="167">
        <v>46090.882210648146</v>
      </c>
      <c r="B1342" s="144" t="s">
        <v>613</v>
      </c>
      <c r="C1342" s="15">
        <v>27.53</v>
      </c>
      <c r="D1342" s="15">
        <v>0.28</v>
      </c>
      <c r="E1342" s="146">
        <v>0.09</v>
      </c>
      <c r="F1342" s="15">
        <v>0.09</v>
      </c>
      <c r="G1342" s="15">
        <v>0.09560875</v>
      </c>
      <c r="H1342" s="15">
        <v>-0.00578314</v>
      </c>
      <c r="I1342" s="15">
        <v>0.07127632</v>
      </c>
      <c r="J1342" s="15">
        <v>0.01565266</v>
      </c>
      <c r="K1342" s="15">
        <v>9.53</v>
      </c>
    </row>
    <row r="1343" ht="22.5" customHeight="1">
      <c r="A1343" s="167">
        <v>46090.8822337963</v>
      </c>
      <c r="B1343" s="144" t="s">
        <v>614</v>
      </c>
      <c r="C1343" s="15">
        <v>50.45</v>
      </c>
      <c r="D1343" s="15">
        <v>0.23</v>
      </c>
      <c r="E1343" s="146">
        <v>0.28</v>
      </c>
      <c r="F1343" s="15">
        <v>0.28</v>
      </c>
      <c r="G1343" s="15">
        <v>0.12928549</v>
      </c>
      <c r="H1343" s="15">
        <v>-0.01146782</v>
      </c>
      <c r="I1343" s="15">
        <v>0.05823761</v>
      </c>
      <c r="J1343" s="15">
        <v>0.03414055</v>
      </c>
      <c r="K1343" s="15">
        <v>18.56</v>
      </c>
    </row>
    <row r="1344" ht="22.5" customHeight="1">
      <c r="A1344" s="167">
        <v>46090.882268518515</v>
      </c>
      <c r="B1344" s="144" t="s">
        <v>600</v>
      </c>
      <c r="C1344" s="15">
        <v>12.8</v>
      </c>
      <c r="D1344" s="15">
        <v>0.81</v>
      </c>
      <c r="E1344" s="146">
        <v>0.35</v>
      </c>
      <c r="F1344" s="15">
        <v>0.35</v>
      </c>
      <c r="G1344" s="15">
        <v>0.13786787</v>
      </c>
      <c r="H1344" s="15">
        <v>-0.00832175</v>
      </c>
      <c r="I1344" s="15">
        <v>0.06618736</v>
      </c>
      <c r="J1344" s="15">
        <v>0.00871867</v>
      </c>
      <c r="K1344" s="15">
        <v>16.57</v>
      </c>
    </row>
    <row r="1345" ht="22.5" customHeight="1">
      <c r="A1345" s="167">
        <v>46090.88228009259</v>
      </c>
      <c r="B1345" s="144" t="s">
        <v>542</v>
      </c>
      <c r="C1345" s="15">
        <v>679.62</v>
      </c>
      <c r="D1345" s="15">
        <v>0.24</v>
      </c>
      <c r="E1345" s="146">
        <v>8.45</v>
      </c>
      <c r="F1345" s="15">
        <v>8.45</v>
      </c>
      <c r="G1345" s="15">
        <v>-0.44382298</v>
      </c>
      <c r="H1345" s="15">
        <v>-0.46778095</v>
      </c>
      <c r="I1345" s="15">
        <v>0.01415402</v>
      </c>
      <c r="J1345" s="15">
        <v>0.4644409</v>
      </c>
      <c r="K1345" s="15">
        <v>5165.18</v>
      </c>
    </row>
    <row r="1346" ht="22.5" customHeight="1">
      <c r="A1346" s="167">
        <v>46090.88234953704</v>
      </c>
      <c r="B1346" s="144" t="s">
        <v>608</v>
      </c>
      <c r="C1346" s="15">
        <v>679.62</v>
      </c>
      <c r="D1346" s="15">
        <v>0.22</v>
      </c>
      <c r="E1346" s="146">
        <v>16.25</v>
      </c>
      <c r="F1346" s="15">
        <v>16.25</v>
      </c>
      <c r="G1346" s="15">
        <v>-0.36668269</v>
      </c>
      <c r="H1346" s="15">
        <v>-0.21150811</v>
      </c>
      <c r="I1346" s="15">
        <v>0.00757979</v>
      </c>
      <c r="J1346" s="15">
        <v>0.83316723</v>
      </c>
      <c r="K1346" s="15">
        <v>4983.27</v>
      </c>
    </row>
    <row r="1347" ht="22.5" customHeight="1">
      <c r="A1347" s="167">
        <v>46090.882361111115</v>
      </c>
      <c r="B1347" s="144" t="s">
        <v>616</v>
      </c>
      <c r="C1347" s="15">
        <v>37.1</v>
      </c>
      <c r="D1347" s="15">
        <v>0.32</v>
      </c>
      <c r="E1347" s="146">
        <v>2.37</v>
      </c>
      <c r="F1347" s="15">
        <v>2.27</v>
      </c>
      <c r="G1347" s="15">
        <v>0.56117042</v>
      </c>
      <c r="H1347" s="15">
        <v>-0.01402038</v>
      </c>
      <c r="I1347" s="15">
        <v>0.06426638</v>
      </c>
      <c r="J1347" s="15">
        <v>0.07536592</v>
      </c>
      <c r="K1347" s="15">
        <v>255.63</v>
      </c>
    </row>
    <row r="1348" ht="22.5" customHeight="1">
      <c r="A1348" s="167">
        <v>46090.88296296296</v>
      </c>
      <c r="B1348" s="144" t="s">
        <v>521</v>
      </c>
      <c r="C1348" s="15">
        <v>8.94</v>
      </c>
      <c r="D1348" s="15">
        <v>2.49</v>
      </c>
      <c r="E1348" s="146">
        <v>0.0</v>
      </c>
      <c r="F1348" s="15">
        <v>0.0</v>
      </c>
      <c r="G1348" s="15">
        <v>8.1088E-4</v>
      </c>
      <c r="H1348" s="15">
        <v>-2.5883E-4</v>
      </c>
      <c r="I1348" s="15">
        <v>9.8499E-4</v>
      </c>
      <c r="J1348" s="15">
        <v>4.537E-5</v>
      </c>
      <c r="K1348" s="15">
        <v>0.04</v>
      </c>
    </row>
    <row r="1349" ht="22.5" customHeight="1">
      <c r="A1349" s="167">
        <v>46090.882997685185</v>
      </c>
      <c r="B1349" s="144" t="s">
        <v>618</v>
      </c>
      <c r="C1349" s="15">
        <v>27.47</v>
      </c>
      <c r="D1349" s="15">
        <v>0.39</v>
      </c>
      <c r="E1349" s="146">
        <v>0.64</v>
      </c>
      <c r="F1349" s="15">
        <v>0.64</v>
      </c>
      <c r="G1349" s="15">
        <v>0.33816869</v>
      </c>
      <c r="H1349" s="15">
        <v>-0.01851819</v>
      </c>
      <c r="I1349" s="15">
        <v>0.12064035</v>
      </c>
      <c r="J1349" s="15">
        <v>0.03060842</v>
      </c>
      <c r="K1349" s="15">
        <v>52.94</v>
      </c>
    </row>
    <row r="1350" ht="22.5" customHeight="1">
      <c r="A1350" s="167">
        <v>46090.88300925926</v>
      </c>
      <c r="B1350" s="144" t="s">
        <v>624</v>
      </c>
      <c r="C1350" s="15">
        <v>5685.2</v>
      </c>
      <c r="D1350" s="15">
        <v>0.21</v>
      </c>
      <c r="E1350" s="146">
        <v>64.6</v>
      </c>
      <c r="F1350" s="15">
        <v>64.6</v>
      </c>
      <c r="G1350" s="15">
        <v>0.2584826</v>
      </c>
      <c r="H1350" s="15">
        <v>-1.65671214</v>
      </c>
      <c r="I1350" s="15">
        <v>8.4756E-4</v>
      </c>
      <c r="J1350" s="15">
        <v>5.93928981</v>
      </c>
      <c r="K1350" s="15">
        <v>63.69</v>
      </c>
    </row>
    <row r="1351" ht="22.5" customHeight="1">
      <c r="A1351" s="167">
        <v>46090.88302083333</v>
      </c>
      <c r="B1351" s="144" t="s">
        <v>625</v>
      </c>
      <c r="C1351" s="15">
        <v>5685.2</v>
      </c>
      <c r="D1351" s="15">
        <v>0.36</v>
      </c>
      <c r="E1351" s="146">
        <v>70.7</v>
      </c>
      <c r="F1351" s="15">
        <v>70.7</v>
      </c>
      <c r="G1351" s="15">
        <v>-0.15976377</v>
      </c>
      <c r="H1351" s="15">
        <v>-2.02673572</v>
      </c>
      <c r="I1351" s="15">
        <v>3.7068E-4</v>
      </c>
      <c r="J1351" s="15">
        <v>4.4643406</v>
      </c>
      <c r="K1351" s="15">
        <v>3104.32</v>
      </c>
    </row>
    <row r="1352" ht="22.5" customHeight="1">
      <c r="A1352" s="167">
        <v>46090.883043981485</v>
      </c>
      <c r="B1352" s="144" t="s">
        <v>519</v>
      </c>
      <c r="C1352" s="15">
        <v>78.26</v>
      </c>
      <c r="D1352" s="15">
        <v>0.77</v>
      </c>
      <c r="E1352" s="146">
        <v>3.51</v>
      </c>
      <c r="F1352" s="15">
        <v>3.51</v>
      </c>
      <c r="G1352" s="15">
        <v>-0.4188208</v>
      </c>
      <c r="H1352" s="15">
        <v>-0.18375485</v>
      </c>
      <c r="I1352" s="15">
        <v>0.03731264</v>
      </c>
      <c r="J1352" s="15">
        <v>0.05345398</v>
      </c>
      <c r="K1352" s="15">
        <v>1100.93</v>
      </c>
    </row>
    <row r="1353" ht="22.5" customHeight="1">
      <c r="A1353" s="167">
        <v>46090.8830787037</v>
      </c>
      <c r="B1353" s="144" t="s">
        <v>603</v>
      </c>
      <c r="C1353" s="15">
        <v>472.53</v>
      </c>
      <c r="D1353" s="15">
        <v>0.3</v>
      </c>
      <c r="E1353" s="146">
        <v>8.5</v>
      </c>
      <c r="F1353" s="15">
        <v>8.5</v>
      </c>
      <c r="G1353" s="15">
        <v>-0.28087191</v>
      </c>
      <c r="H1353" s="15">
        <v>-0.18735441</v>
      </c>
      <c r="I1353" s="15">
        <v>0.00733611</v>
      </c>
      <c r="J1353" s="15">
        <v>0.52001447</v>
      </c>
      <c r="K1353" s="15">
        <v>3964.19</v>
      </c>
    </row>
    <row r="1354" ht="22.5" customHeight="1">
      <c r="A1354" s="167">
        <v>46090.88309027778</v>
      </c>
      <c r="B1354" s="144" t="s">
        <v>604</v>
      </c>
      <c r="C1354" s="15">
        <v>472.53</v>
      </c>
      <c r="D1354" s="15">
        <v>0.3</v>
      </c>
      <c r="E1354" s="146">
        <v>12.65</v>
      </c>
      <c r="F1354" s="15">
        <v>12.65</v>
      </c>
      <c r="G1354" s="15">
        <v>-0.36207849</v>
      </c>
      <c r="H1354" s="15">
        <v>-0.20786894</v>
      </c>
      <c r="I1354" s="15">
        <v>0.00813058</v>
      </c>
      <c r="J1354" s="15">
        <v>0.57460258</v>
      </c>
      <c r="K1354" s="15">
        <v>3674.82</v>
      </c>
    </row>
    <row r="1355" ht="22.5" customHeight="1">
      <c r="A1355" s="167">
        <v>46090.883101851854</v>
      </c>
      <c r="B1355" s="144" t="s">
        <v>605</v>
      </c>
      <c r="C1355" s="15">
        <v>472.53</v>
      </c>
      <c r="D1355" s="15">
        <v>0.3</v>
      </c>
      <c r="E1355" s="146">
        <v>13.81</v>
      </c>
      <c r="F1355" s="15">
        <v>13.81</v>
      </c>
      <c r="G1355" s="15">
        <v>-0.40294248</v>
      </c>
      <c r="H1355" s="15">
        <v>-0.20892802</v>
      </c>
      <c r="I1355" s="15">
        <v>0.00860702</v>
      </c>
      <c r="J1355" s="15">
        <v>0.60309059</v>
      </c>
      <c r="K1355" s="15">
        <v>4827.23</v>
      </c>
    </row>
    <row r="1356" ht="22.5" customHeight="1">
      <c r="A1356" s="167">
        <v>46090.88311342592</v>
      </c>
      <c r="B1356" s="144" t="s">
        <v>558</v>
      </c>
      <c r="C1356" s="15">
        <v>253.62</v>
      </c>
      <c r="D1356" s="15">
        <v>0.25</v>
      </c>
      <c r="E1356" s="146">
        <v>0.2</v>
      </c>
      <c r="F1356" s="15">
        <v>0.2</v>
      </c>
      <c r="G1356" s="15">
        <v>0.03305494</v>
      </c>
      <c r="H1356" s="15">
        <v>-0.03714006</v>
      </c>
      <c r="I1356" s="15">
        <v>0.00692516</v>
      </c>
      <c r="J1356" s="15">
        <v>0.03141323</v>
      </c>
      <c r="K1356" s="15">
        <v>0.51</v>
      </c>
    </row>
    <row r="1357" ht="22.5" customHeight="1">
      <c r="A1357" s="167">
        <v>46090.88313657408</v>
      </c>
      <c r="B1357" s="144" t="s">
        <v>591</v>
      </c>
      <c r="C1357" s="15">
        <v>60.63</v>
      </c>
      <c r="D1357" s="15">
        <v>0.31</v>
      </c>
      <c r="E1357" s="146">
        <v>0.12</v>
      </c>
      <c r="F1357" s="15">
        <v>0.12</v>
      </c>
      <c r="G1357" s="15">
        <v>0.07913719</v>
      </c>
      <c r="H1357" s="15">
        <v>-0.01223077</v>
      </c>
      <c r="I1357" s="15">
        <v>0.02421006</v>
      </c>
      <c r="J1357" s="15">
        <v>0.02910029</v>
      </c>
      <c r="K1357" s="15">
        <v>10.22</v>
      </c>
    </row>
    <row r="1358" ht="22.5" customHeight="1">
      <c r="A1358" s="167">
        <v>46090.88375</v>
      </c>
      <c r="B1358" s="144" t="s">
        <v>567</v>
      </c>
      <c r="C1358" s="15">
        <v>58.31</v>
      </c>
      <c r="D1358" s="15">
        <v>0.6</v>
      </c>
      <c r="E1358" s="146">
        <v>0.0</v>
      </c>
      <c r="F1358" s="15">
        <v>0.0</v>
      </c>
      <c r="G1358" s="15">
        <v>0.00459931</v>
      </c>
      <c r="H1358" s="15">
        <v>-0.00244242</v>
      </c>
      <c r="I1358" s="15">
        <v>0.00238477</v>
      </c>
      <c r="J1358" s="15">
        <v>0.00137852</v>
      </c>
      <c r="K1358" s="15">
        <v>0.27</v>
      </c>
    </row>
    <row r="1359" ht="22.5" customHeight="1">
      <c r="A1359" s="167">
        <v>46090.88377314815</v>
      </c>
      <c r="B1359" s="144" t="s">
        <v>518</v>
      </c>
      <c r="C1359" s="15">
        <v>11.34</v>
      </c>
      <c r="D1359" s="15">
        <v>0.32</v>
      </c>
      <c r="E1359" s="146">
        <v>0.05</v>
      </c>
      <c r="F1359" s="15">
        <v>0.05</v>
      </c>
      <c r="G1359" s="15">
        <v>0.16440956</v>
      </c>
      <c r="H1359" s="15">
        <v>-0.00729906</v>
      </c>
      <c r="I1359" s="15">
        <v>0.39657555</v>
      </c>
      <c r="J1359" s="15">
        <v>0.00479289</v>
      </c>
      <c r="K1359" s="15">
        <v>3.26</v>
      </c>
    </row>
    <row r="1360" ht="22.5" customHeight="1">
      <c r="A1360" s="167">
        <v>46090.88438657407</v>
      </c>
      <c r="B1360" s="144" t="s">
        <v>570</v>
      </c>
      <c r="C1360" s="15">
        <v>45.24</v>
      </c>
      <c r="D1360" s="15">
        <v>0.55</v>
      </c>
      <c r="E1360" s="146">
        <v>0.0</v>
      </c>
      <c r="F1360" s="15">
        <v>0.0</v>
      </c>
      <c r="G1360" s="15">
        <v>0.00484612</v>
      </c>
      <c r="H1360" s="15">
        <v>-0.00213041</v>
      </c>
      <c r="I1360" s="15">
        <v>0.00289088</v>
      </c>
      <c r="J1360" s="15">
        <v>0.00126231</v>
      </c>
      <c r="K1360" s="15">
        <v>0.2</v>
      </c>
    </row>
    <row r="1361" ht="22.5" customHeight="1">
      <c r="A1361" s="167">
        <v>46090.885</v>
      </c>
      <c r="B1361" s="144" t="s">
        <v>550</v>
      </c>
      <c r="C1361" s="15">
        <v>8.11</v>
      </c>
      <c r="D1361" s="15">
        <v>0.46</v>
      </c>
      <c r="E1361" s="146">
        <v>0.0</v>
      </c>
      <c r="F1361" s="15">
        <v>0.0</v>
      </c>
      <c r="G1361" s="15">
        <v>0.02653437</v>
      </c>
      <c r="H1361" s="15">
        <v>-0.00172433</v>
      </c>
      <c r="I1361" s="15">
        <v>0.07012306</v>
      </c>
      <c r="J1361" s="15">
        <v>0.00116972</v>
      </c>
      <c r="K1361" s="15">
        <v>0.53</v>
      </c>
    </row>
    <row r="1362" ht="22.5" customHeight="1">
      <c r="A1362" s="167">
        <v>46090.88502314815</v>
      </c>
      <c r="B1362" s="144" t="s">
        <v>601</v>
      </c>
      <c r="C1362" s="15">
        <v>5.63</v>
      </c>
      <c r="D1362" s="15">
        <v>0.7</v>
      </c>
      <c r="E1362" s="146">
        <v>0.1</v>
      </c>
      <c r="F1362" s="15">
        <v>0.1</v>
      </c>
      <c r="G1362" s="15">
        <v>0.23500086</v>
      </c>
      <c r="H1362" s="15">
        <v>-0.00949686</v>
      </c>
      <c r="I1362" s="15">
        <v>0.46405398</v>
      </c>
      <c r="J1362" s="15">
        <v>0.00312048</v>
      </c>
      <c r="K1362" s="15">
        <v>7.26</v>
      </c>
    </row>
    <row r="1363" ht="22.5" customHeight="1">
      <c r="A1363" s="167">
        <v>46090.885046296295</v>
      </c>
      <c r="B1363" s="144" t="s">
        <v>568</v>
      </c>
      <c r="C1363" s="15">
        <v>38.63</v>
      </c>
      <c r="D1363" s="15">
        <v>0.36</v>
      </c>
      <c r="E1363" s="146">
        <v>1.8</v>
      </c>
      <c r="F1363" s="15">
        <v>0.43</v>
      </c>
      <c r="G1363" s="15">
        <v>-0.69404583</v>
      </c>
      <c r="H1363" s="15">
        <v>-0.0364668</v>
      </c>
      <c r="I1363" s="15">
        <v>0.14692571</v>
      </c>
      <c r="J1363" s="15">
        <v>0.02413813</v>
      </c>
      <c r="K1363" s="15">
        <v>159.01</v>
      </c>
    </row>
    <row r="1364" ht="22.5" customHeight="1">
      <c r="A1364" s="167">
        <v>46090.88508101852</v>
      </c>
      <c r="B1364" s="144" t="s">
        <v>597</v>
      </c>
      <c r="C1364" s="15">
        <v>61.0</v>
      </c>
      <c r="D1364" s="15">
        <v>1.15</v>
      </c>
      <c r="E1364" s="146">
        <v>3.2</v>
      </c>
      <c r="F1364" s="15">
        <v>3.2</v>
      </c>
      <c r="G1364" s="15">
        <v>0.41536844</v>
      </c>
      <c r="H1364" s="15">
        <v>-0.21848829</v>
      </c>
      <c r="I1364" s="15">
        <v>0.03216678</v>
      </c>
      <c r="J1364" s="15">
        <v>0.04161513</v>
      </c>
      <c r="K1364" s="15">
        <v>1234.77</v>
      </c>
    </row>
    <row r="1365" ht="22.5" customHeight="1">
      <c r="A1365" s="167">
        <v>46090.885092592594</v>
      </c>
      <c r="B1365" s="144" t="s">
        <v>598</v>
      </c>
      <c r="C1365" s="15">
        <v>61.0</v>
      </c>
      <c r="D1365" s="15">
        <v>1.23</v>
      </c>
      <c r="E1365" s="146">
        <v>1.99</v>
      </c>
      <c r="F1365" s="15">
        <v>1.99</v>
      </c>
      <c r="G1365" s="15">
        <v>0.29621553</v>
      </c>
      <c r="H1365" s="15">
        <v>-0.20677863</v>
      </c>
      <c r="I1365" s="15">
        <v>0.02670213</v>
      </c>
      <c r="J1365" s="15">
        <v>0.03538613</v>
      </c>
      <c r="K1365" s="15">
        <v>171.87</v>
      </c>
    </row>
    <row r="1366" ht="22.5" customHeight="1">
      <c r="A1366" s="167">
        <v>46090.88511574074</v>
      </c>
      <c r="B1366" s="144" t="s">
        <v>610</v>
      </c>
      <c r="C1366" s="15">
        <v>20.71</v>
      </c>
      <c r="D1366" s="15">
        <v>0.61</v>
      </c>
      <c r="E1366" s="146">
        <v>1.25</v>
      </c>
      <c r="F1366" s="15">
        <v>1.25</v>
      </c>
      <c r="G1366" s="15">
        <v>-0.38322389</v>
      </c>
      <c r="H1366" s="15">
        <v>-0.0193675</v>
      </c>
      <c r="I1366" s="15">
        <v>0.0938451</v>
      </c>
      <c r="J1366" s="15">
        <v>0.02619986</v>
      </c>
      <c r="K1366" s="15">
        <v>114.93</v>
      </c>
    </row>
    <row r="1367" ht="22.5" customHeight="1">
      <c r="A1367" s="167">
        <v>46090.885150462964</v>
      </c>
      <c r="B1367" s="144" t="s">
        <v>602</v>
      </c>
      <c r="C1367" s="15">
        <v>70.17</v>
      </c>
      <c r="D1367" s="15">
        <v>0.46</v>
      </c>
      <c r="E1367" s="146">
        <v>0.1</v>
      </c>
      <c r="F1367" s="15">
        <v>0.1</v>
      </c>
      <c r="G1367" s="15">
        <v>0.01522364</v>
      </c>
      <c r="H1367" s="15">
        <v>-0.00527088</v>
      </c>
      <c r="I1367" s="15">
        <v>0.0084966</v>
      </c>
      <c r="J1367" s="15">
        <v>0.00657758</v>
      </c>
      <c r="K1367" s="15">
        <v>1.98</v>
      </c>
    </row>
    <row r="1368" ht="22.5" customHeight="1">
      <c r="A1368" s="167">
        <v>46090.88575231482</v>
      </c>
      <c r="B1368" s="144" t="s">
        <v>596</v>
      </c>
      <c r="C1368" s="15">
        <v>75.72</v>
      </c>
      <c r="D1368" s="15">
        <v>0.29</v>
      </c>
      <c r="E1368" s="146">
        <v>0.0</v>
      </c>
      <c r="F1368" s="15">
        <v>0.0</v>
      </c>
      <c r="G1368" s="15">
        <v>0.02578374</v>
      </c>
      <c r="H1368" s="15">
        <v>-0.0055486</v>
      </c>
      <c r="I1368" s="15">
        <v>0.00706067</v>
      </c>
      <c r="J1368" s="15">
        <v>0.0165809</v>
      </c>
      <c r="K1368" s="15">
        <v>2.58</v>
      </c>
    </row>
    <row r="1369" ht="22.5" customHeight="1">
      <c r="A1369" s="167">
        <v>46090.88636574074</v>
      </c>
      <c r="B1369" s="144" t="s">
        <v>611</v>
      </c>
      <c r="C1369" s="15">
        <v>44.35</v>
      </c>
      <c r="D1369" s="15">
        <v>0.3</v>
      </c>
      <c r="E1369" s="146">
        <v>0.0</v>
      </c>
      <c r="F1369" s="15">
        <v>0.0</v>
      </c>
      <c r="G1369" s="15">
        <v>0.06977976</v>
      </c>
      <c r="H1369" s="15">
        <v>-0.00869392</v>
      </c>
      <c r="I1369" s="15">
        <v>0.02868507</v>
      </c>
      <c r="J1369" s="15">
        <v>0.02251463</v>
      </c>
      <c r="K1369" s="15">
        <v>8.69</v>
      </c>
    </row>
    <row r="1370" ht="22.5" customHeight="1">
      <c r="A1370" s="167">
        <v>46090.88637731481</v>
      </c>
      <c r="B1370" s="144" t="s">
        <v>612</v>
      </c>
      <c r="C1370" s="15">
        <v>44.35</v>
      </c>
      <c r="D1370" s="15">
        <v>0.28</v>
      </c>
      <c r="E1370" s="146">
        <v>0.9</v>
      </c>
      <c r="F1370" s="15">
        <v>0.9</v>
      </c>
      <c r="G1370" s="15">
        <v>-0.29208857</v>
      </c>
      <c r="H1370" s="15">
        <v>-0.0168465</v>
      </c>
      <c r="I1370" s="15">
        <v>0.08445502</v>
      </c>
      <c r="J1370" s="15">
        <v>0.04901965</v>
      </c>
      <c r="K1370" s="15">
        <v>67.71</v>
      </c>
    </row>
    <row r="1371" ht="22.5" customHeight="1">
      <c r="A1371" s="167">
        <v>46090.886400462965</v>
      </c>
      <c r="B1371" s="144" t="s">
        <v>619</v>
      </c>
      <c r="C1371" s="15">
        <v>104.33</v>
      </c>
      <c r="D1371" s="15">
        <v>0.68</v>
      </c>
      <c r="E1371" s="146">
        <v>4.05</v>
      </c>
      <c r="F1371" s="15">
        <v>4.05</v>
      </c>
      <c r="G1371" s="15">
        <v>-0.17134962</v>
      </c>
      <c r="H1371" s="15">
        <v>-0.04453612</v>
      </c>
      <c r="I1371" s="15">
        <v>0.00691871</v>
      </c>
      <c r="J1371" s="15">
        <v>0.14393028</v>
      </c>
      <c r="K1371" s="15">
        <v>340.96</v>
      </c>
    </row>
    <row r="1372" ht="22.5" customHeight="1">
      <c r="A1372" s="167">
        <v>46090.886412037034</v>
      </c>
      <c r="B1372" s="144" t="s">
        <v>620</v>
      </c>
      <c r="C1372" s="15">
        <v>104.33</v>
      </c>
      <c r="D1372" s="15">
        <v>0.7</v>
      </c>
      <c r="E1372" s="146">
        <v>7.5</v>
      </c>
      <c r="F1372" s="15">
        <v>7.5</v>
      </c>
      <c r="G1372" s="15">
        <v>-0.27221104</v>
      </c>
      <c r="H1372" s="15">
        <v>-0.06016283</v>
      </c>
      <c r="I1372" s="15">
        <v>0.00874179</v>
      </c>
      <c r="J1372" s="15">
        <v>0.18829565</v>
      </c>
      <c r="K1372" s="15">
        <v>505.61</v>
      </c>
    </row>
    <row r="1373" ht="22.5" customHeight="1">
      <c r="A1373" s="167">
        <v>46091.87684027778</v>
      </c>
      <c r="B1373" s="144" t="s">
        <v>543</v>
      </c>
      <c r="C1373" s="15">
        <v>678.13</v>
      </c>
      <c r="D1373" s="15">
        <v>0.3</v>
      </c>
      <c r="E1373" s="146">
        <v>3.38</v>
      </c>
      <c r="F1373" s="15">
        <v>3.38</v>
      </c>
      <c r="G1373" s="15">
        <v>-0.18372421</v>
      </c>
      <c r="H1373" s="15">
        <v>-0.42879337</v>
      </c>
      <c r="I1373" s="15">
        <v>0.00798079</v>
      </c>
      <c r="J1373" s="15">
        <v>0.29819066</v>
      </c>
      <c r="K1373" s="15">
        <v>4991.36</v>
      </c>
    </row>
    <row r="1374" ht="22.5" customHeight="1">
      <c r="A1374" s="167">
        <v>46091.876921296294</v>
      </c>
      <c r="B1374" s="144" t="s">
        <v>544</v>
      </c>
      <c r="C1374" s="15">
        <v>678.13</v>
      </c>
      <c r="D1374" s="15">
        <v>0.25</v>
      </c>
      <c r="E1374" s="146">
        <v>7.6</v>
      </c>
      <c r="F1374" s="15">
        <v>7.6</v>
      </c>
      <c r="G1374" s="15">
        <v>-0.37410071</v>
      </c>
      <c r="H1374" s="15">
        <v>-0.51198563</v>
      </c>
      <c r="I1374" s="15">
        <v>0.01328994</v>
      </c>
      <c r="J1374" s="15">
        <v>0.42504694</v>
      </c>
      <c r="K1374" s="15">
        <v>5140.45</v>
      </c>
    </row>
    <row r="1375" ht="22.5" customHeight="1">
      <c r="A1375" s="167">
        <v>46091.87694444445</v>
      </c>
      <c r="B1375" s="144" t="s">
        <v>556</v>
      </c>
      <c r="C1375" s="15">
        <v>253.36</v>
      </c>
      <c r="D1375" s="15">
        <v>0.24</v>
      </c>
      <c r="E1375" s="146">
        <v>0.22</v>
      </c>
      <c r="F1375" s="15">
        <v>0.22</v>
      </c>
      <c r="G1375" s="15">
        <v>0.05269507</v>
      </c>
      <c r="H1375" s="15">
        <v>-0.05656299</v>
      </c>
      <c r="I1375" s="15">
        <v>0.01071397</v>
      </c>
      <c r="J1375" s="15">
        <v>0.04299092</v>
      </c>
      <c r="K1375" s="15">
        <v>1.86</v>
      </c>
    </row>
    <row r="1376" ht="22.5" customHeight="1">
      <c r="A1376" s="167">
        <v>46091.87695601852</v>
      </c>
      <c r="B1376" s="144" t="s">
        <v>557</v>
      </c>
      <c r="C1376" s="15">
        <v>253.36</v>
      </c>
      <c r="D1376" s="15">
        <v>0.41</v>
      </c>
      <c r="E1376" s="146">
        <v>2.02</v>
      </c>
      <c r="F1376" s="15">
        <v>2.02</v>
      </c>
      <c r="G1376" s="15">
        <v>-0.20615858</v>
      </c>
      <c r="H1376" s="15">
        <v>-0.24538989</v>
      </c>
      <c r="I1376" s="15">
        <v>0.01696913</v>
      </c>
      <c r="J1376" s="15">
        <v>0.12598839</v>
      </c>
      <c r="K1376" s="15">
        <v>1789.78</v>
      </c>
    </row>
    <row r="1377" ht="22.5" customHeight="1">
      <c r="A1377" s="167">
        <v>46091.87703703704</v>
      </c>
      <c r="B1377" s="144" t="s">
        <v>515</v>
      </c>
      <c r="C1377" s="15">
        <v>17.99</v>
      </c>
      <c r="D1377" s="15">
        <v>0.46</v>
      </c>
      <c r="E1377" s="146">
        <v>1.16</v>
      </c>
      <c r="F1377" s="15">
        <v>0.17</v>
      </c>
      <c r="G1377" s="15">
        <v>0.78798649</v>
      </c>
      <c r="H1377" s="15">
        <v>-0.02133527</v>
      </c>
      <c r="I1377" s="15">
        <v>0.21204017</v>
      </c>
      <c r="J1377" s="15">
        <v>0.00895407</v>
      </c>
      <c r="K1377" s="15">
        <v>103.52</v>
      </c>
    </row>
    <row r="1378" ht="22.5" customHeight="1">
      <c r="A1378" s="167">
        <v>46091.87763888889</v>
      </c>
      <c r="B1378" s="144" t="s">
        <v>517</v>
      </c>
      <c r="C1378" s="15">
        <v>17.99</v>
      </c>
      <c r="D1378" s="15">
        <v>0.92</v>
      </c>
      <c r="E1378" s="146">
        <v>0.0</v>
      </c>
      <c r="F1378" s="15">
        <v>0.0</v>
      </c>
      <c r="G1378" s="15">
        <v>-8.122E-4</v>
      </c>
      <c r="H1378" s="15">
        <v>-2.7378E-4</v>
      </c>
      <c r="I1378" s="15">
        <v>0.00111915</v>
      </c>
      <c r="J1378" s="15">
        <v>7.533E-5</v>
      </c>
      <c r="K1378" s="15">
        <v>0.46</v>
      </c>
    </row>
    <row r="1379" ht="22.5" customHeight="1">
      <c r="A1379" s="167">
        <v>46091.87771990741</v>
      </c>
      <c r="B1379" s="144" t="s">
        <v>561</v>
      </c>
      <c r="C1379" s="15">
        <v>27.71</v>
      </c>
      <c r="D1379" s="15">
        <v>0.3</v>
      </c>
      <c r="E1379" s="146">
        <v>0.26</v>
      </c>
      <c r="F1379" s="15">
        <v>0.26</v>
      </c>
      <c r="G1379" s="15">
        <v>-0.28385535</v>
      </c>
      <c r="H1379" s="15">
        <v>-0.02267598</v>
      </c>
      <c r="I1379" s="15">
        <v>0.24649704</v>
      </c>
      <c r="J1379" s="15">
        <v>0.01579514</v>
      </c>
      <c r="K1379" s="15">
        <v>21.67</v>
      </c>
    </row>
    <row r="1380" ht="22.5" customHeight="1">
      <c r="A1380" s="167">
        <v>46091.8778125</v>
      </c>
      <c r="B1380" s="144" t="s">
        <v>592</v>
      </c>
      <c r="C1380" s="15">
        <v>96.94</v>
      </c>
      <c r="D1380" s="15">
        <v>0.43</v>
      </c>
      <c r="E1380" s="146">
        <v>7.5</v>
      </c>
      <c r="F1380" s="15">
        <v>0.56</v>
      </c>
      <c r="G1380" s="15">
        <v>0.86546549</v>
      </c>
      <c r="H1380" s="15">
        <v>-0.08253623</v>
      </c>
      <c r="I1380" s="15">
        <v>0.03178298</v>
      </c>
      <c r="J1380" s="15">
        <v>0.03314973</v>
      </c>
      <c r="K1380" s="15">
        <v>850.68</v>
      </c>
    </row>
    <row r="1381" ht="22.5" customHeight="1">
      <c r="A1381" s="167">
        <v>46091.87782407407</v>
      </c>
      <c r="B1381" s="144" t="s">
        <v>593</v>
      </c>
      <c r="C1381" s="15">
        <v>96.94</v>
      </c>
      <c r="D1381" s="15">
        <v>0.38</v>
      </c>
      <c r="E1381" s="146">
        <v>3.7</v>
      </c>
      <c r="F1381" s="15">
        <v>1.76</v>
      </c>
      <c r="G1381" s="15">
        <v>0.71543678</v>
      </c>
      <c r="H1381" s="15">
        <v>-0.11216951</v>
      </c>
      <c r="I1381" s="15">
        <v>0.05169672</v>
      </c>
      <c r="J1381" s="15">
        <v>0.05862238</v>
      </c>
      <c r="K1381" s="15">
        <v>308.52</v>
      </c>
    </row>
    <row r="1382" ht="22.5" customHeight="1">
      <c r="A1382" s="167">
        <v>46091.877847222226</v>
      </c>
      <c r="B1382" s="144" t="s">
        <v>577</v>
      </c>
      <c r="C1382" s="15">
        <v>72.36</v>
      </c>
      <c r="D1382" s="15">
        <v>0.61</v>
      </c>
      <c r="E1382" s="146">
        <v>0.07</v>
      </c>
      <c r="F1382" s="15">
        <v>0.07</v>
      </c>
      <c r="G1382" s="15">
        <v>-0.02169918</v>
      </c>
      <c r="H1382" s="15">
        <v>-0.01765739</v>
      </c>
      <c r="I1382" s="15">
        <v>0.00659275</v>
      </c>
      <c r="J1382" s="15">
        <v>0.00734658</v>
      </c>
      <c r="K1382" s="15">
        <v>7.06</v>
      </c>
    </row>
    <row r="1383" ht="22.5" customHeight="1">
      <c r="A1383" s="167">
        <v>46091.877916666665</v>
      </c>
      <c r="B1383" s="144" t="s">
        <v>606</v>
      </c>
      <c r="C1383" s="15">
        <v>678.13</v>
      </c>
      <c r="D1383" s="15">
        <v>0.29</v>
      </c>
      <c r="E1383" s="146">
        <v>5.26</v>
      </c>
      <c r="F1383" s="15">
        <v>5.26</v>
      </c>
      <c r="G1383" s="15">
        <v>-0.15153503</v>
      </c>
      <c r="H1383" s="15">
        <v>-0.18553953</v>
      </c>
      <c r="I1383" s="15">
        <v>0.00367687</v>
      </c>
      <c r="J1383" s="15">
        <v>0.51305159</v>
      </c>
      <c r="K1383" s="15">
        <v>4535.19</v>
      </c>
    </row>
    <row r="1384" ht="22.5" customHeight="1">
      <c r="A1384" s="167">
        <v>46091.87792824074</v>
      </c>
      <c r="B1384" s="144" t="s">
        <v>607</v>
      </c>
      <c r="C1384" s="15">
        <v>678.13</v>
      </c>
      <c r="D1384" s="15">
        <v>0.23</v>
      </c>
      <c r="E1384" s="146">
        <v>9.0</v>
      </c>
      <c r="F1384" s="15">
        <v>9.0</v>
      </c>
      <c r="G1384" s="15">
        <v>-0.32739101</v>
      </c>
      <c r="H1384" s="15">
        <v>-0.65631164</v>
      </c>
      <c r="I1384" s="15">
        <v>0.00714364</v>
      </c>
      <c r="J1384" s="15">
        <v>0.79208697</v>
      </c>
      <c r="K1384" s="15">
        <v>4961.5</v>
      </c>
    </row>
    <row r="1385" ht="22.5" customHeight="1">
      <c r="A1385" s="167">
        <v>46091.87800925926</v>
      </c>
      <c r="B1385" s="144" t="s">
        <v>621</v>
      </c>
      <c r="C1385" s="15">
        <v>5837.17</v>
      </c>
      <c r="D1385" s="15">
        <v>0.32</v>
      </c>
      <c r="E1385" s="146">
        <v>40.7</v>
      </c>
      <c r="F1385" s="15">
        <v>40.7</v>
      </c>
      <c r="G1385" s="15">
        <v>-0.12828404</v>
      </c>
      <c r="H1385" s="15">
        <v>-1.64917208</v>
      </c>
      <c r="I1385" s="15">
        <v>3.4789E-4</v>
      </c>
      <c r="J1385" s="15">
        <v>3.90719327</v>
      </c>
      <c r="K1385" s="15">
        <v>3624.15</v>
      </c>
    </row>
    <row r="1386" ht="22.5" customHeight="1">
      <c r="A1386" s="167">
        <v>46091.878020833334</v>
      </c>
      <c r="B1386" s="144" t="s">
        <v>622</v>
      </c>
      <c r="C1386" s="15">
        <v>5837.17</v>
      </c>
      <c r="D1386" s="15">
        <v>0.22</v>
      </c>
      <c r="E1386" s="146">
        <v>148.2</v>
      </c>
      <c r="F1386" s="15">
        <v>148.2</v>
      </c>
      <c r="G1386" s="15">
        <v>0.32522674</v>
      </c>
      <c r="H1386" s="15">
        <v>20.10638651</v>
      </c>
      <c r="I1386" s="15">
        <v>8.9272E-4</v>
      </c>
      <c r="J1386" s="15">
        <v>6.6541099</v>
      </c>
      <c r="K1386" s="15">
        <v>79.82</v>
      </c>
    </row>
    <row r="1387" ht="22.5" customHeight="1">
      <c r="A1387" s="167">
        <v>46091.87803240741</v>
      </c>
      <c r="B1387" s="144" t="s">
        <v>623</v>
      </c>
      <c r="C1387" s="15">
        <v>5837.17</v>
      </c>
      <c r="D1387" s="15">
        <v>0.31</v>
      </c>
      <c r="E1387" s="146">
        <v>47.3</v>
      </c>
      <c r="F1387" s="15">
        <v>47.3</v>
      </c>
      <c r="G1387" s="15">
        <v>-0.22482672</v>
      </c>
      <c r="H1387" s="15">
        <v>-15.36113094</v>
      </c>
      <c r="I1387" s="15">
        <v>5.1081E-4</v>
      </c>
      <c r="J1387" s="15">
        <v>5.55357957</v>
      </c>
      <c r="K1387" s="15">
        <v>4212.97</v>
      </c>
    </row>
    <row r="1388" ht="22.5" customHeight="1">
      <c r="A1388" s="167">
        <v>46091.878125</v>
      </c>
      <c r="B1388" s="144" t="s">
        <v>615</v>
      </c>
      <c r="C1388" s="15">
        <v>37.53</v>
      </c>
      <c r="D1388" s="15">
        <v>0.31</v>
      </c>
      <c r="E1388" s="146">
        <v>1.56</v>
      </c>
      <c r="F1388" s="15">
        <v>1.56</v>
      </c>
      <c r="G1388" s="15">
        <v>0.40375031</v>
      </c>
      <c r="H1388" s="15">
        <v>-0.01338261</v>
      </c>
      <c r="I1388" s="15">
        <v>0.06476192</v>
      </c>
      <c r="J1388" s="15">
        <v>0.07487596</v>
      </c>
      <c r="K1388" s="15">
        <v>136.44</v>
      </c>
    </row>
    <row r="1389" ht="22.5" customHeight="1">
      <c r="A1389" s="167">
        <v>46091.87814814815</v>
      </c>
      <c r="B1389" s="144" t="s">
        <v>617</v>
      </c>
      <c r="C1389" s="15">
        <v>36.59</v>
      </c>
      <c r="D1389" s="15">
        <v>0.25</v>
      </c>
      <c r="E1389" s="146">
        <v>1.65</v>
      </c>
      <c r="F1389" s="15">
        <v>1.65</v>
      </c>
      <c r="G1389" s="15">
        <v>0.5076949</v>
      </c>
      <c r="H1389" s="15">
        <v>-0.0137734</v>
      </c>
      <c r="I1389" s="15">
        <v>0.10171805</v>
      </c>
      <c r="J1389" s="15">
        <v>0.06222494</v>
      </c>
      <c r="K1389" s="15">
        <v>120.38</v>
      </c>
    </row>
    <row r="1390" ht="22.5" customHeight="1">
      <c r="A1390" s="167">
        <v>46091.87815972222</v>
      </c>
      <c r="B1390" s="144" t="s">
        <v>524</v>
      </c>
      <c r="C1390" s="15">
        <v>5837.17</v>
      </c>
      <c r="D1390" s="15">
        <v>0.22</v>
      </c>
      <c r="E1390" s="146">
        <v>1.8</v>
      </c>
      <c r="F1390" s="15">
        <v>1.8</v>
      </c>
      <c r="G1390" s="15">
        <v>0.00672025</v>
      </c>
      <c r="H1390" s="15">
        <v>-0.1805147</v>
      </c>
      <c r="I1390" s="15">
        <v>8.015E-5</v>
      </c>
      <c r="J1390" s="15">
        <v>0.20786389</v>
      </c>
      <c r="K1390" s="15">
        <v>1.22</v>
      </c>
    </row>
    <row r="1391" ht="22.5" customHeight="1">
      <c r="A1391" s="167">
        <v>46091.87819444444</v>
      </c>
      <c r="B1391" s="144" t="s">
        <v>599</v>
      </c>
      <c r="C1391" s="15">
        <v>10.33</v>
      </c>
      <c r="D1391" s="15">
        <v>0.89</v>
      </c>
      <c r="E1391" s="146">
        <v>0.75</v>
      </c>
      <c r="F1391" s="15">
        <v>0.42</v>
      </c>
      <c r="G1391" s="15">
        <v>0.64598687</v>
      </c>
      <c r="H1391" s="15">
        <v>-0.02998259</v>
      </c>
      <c r="I1391" s="15">
        <v>0.219525</v>
      </c>
      <c r="J1391" s="15">
        <v>0.00675258</v>
      </c>
      <c r="K1391" s="15">
        <v>66.91</v>
      </c>
    </row>
    <row r="1392" ht="22.5" customHeight="1">
      <c r="A1392" s="167">
        <v>46091.878217592595</v>
      </c>
      <c r="B1392" s="144" t="s">
        <v>532</v>
      </c>
      <c r="C1392" s="15">
        <v>90.94</v>
      </c>
      <c r="D1392" s="15">
        <v>0.57</v>
      </c>
      <c r="E1392" s="146">
        <v>0.4</v>
      </c>
      <c r="F1392" s="15">
        <v>0.4</v>
      </c>
      <c r="G1392" s="15">
        <v>-0.05364835</v>
      </c>
      <c r="H1392" s="15">
        <v>-0.04280067</v>
      </c>
      <c r="I1392" s="15">
        <v>0.01267874</v>
      </c>
      <c r="J1392" s="15">
        <v>0.0189034</v>
      </c>
      <c r="K1392" s="15">
        <v>441.05</v>
      </c>
    </row>
    <row r="1393" ht="22.5" customHeight="1">
      <c r="A1393" s="167">
        <v>46091.878229166665</v>
      </c>
      <c r="B1393" s="144" t="s">
        <v>562</v>
      </c>
      <c r="C1393" s="15">
        <v>90.94</v>
      </c>
      <c r="D1393" s="15">
        <v>0.52</v>
      </c>
      <c r="E1393" s="146">
        <v>0.59</v>
      </c>
      <c r="F1393" s="15">
        <v>0.59</v>
      </c>
      <c r="G1393" s="15">
        <v>-0.2003925</v>
      </c>
      <c r="H1393" s="15">
        <v>-0.10857382</v>
      </c>
      <c r="I1393" s="15">
        <v>0.03597789</v>
      </c>
      <c r="J1393" s="15">
        <v>0.04504268</v>
      </c>
      <c r="K1393" s="15">
        <v>358.08</v>
      </c>
    </row>
    <row r="1394" ht="22.5" customHeight="1">
      <c r="A1394" s="167">
        <v>46091.87826388889</v>
      </c>
      <c r="B1394" s="144" t="s">
        <v>588</v>
      </c>
      <c r="C1394" s="15">
        <v>16.37</v>
      </c>
      <c r="D1394" s="15">
        <v>0.45</v>
      </c>
      <c r="E1394" s="146">
        <v>0.05</v>
      </c>
      <c r="F1394" s="15">
        <v>0.05</v>
      </c>
      <c r="G1394" s="15">
        <v>0.28099448</v>
      </c>
      <c r="H1394" s="15">
        <v>-0.02149409</v>
      </c>
      <c r="I1394" s="15">
        <v>0.24272723</v>
      </c>
      <c r="J1394" s="15">
        <v>0.00932389</v>
      </c>
      <c r="K1394" s="15">
        <v>10.78</v>
      </c>
    </row>
    <row r="1395" ht="22.5" customHeight="1">
      <c r="A1395" s="167">
        <v>46091.878287037034</v>
      </c>
      <c r="B1395" s="144" t="s">
        <v>553</v>
      </c>
      <c r="C1395" s="15">
        <v>49.4</v>
      </c>
      <c r="D1395" s="15">
        <v>1.06</v>
      </c>
      <c r="E1395" s="146">
        <v>0.8</v>
      </c>
      <c r="F1395" s="15">
        <v>0.8</v>
      </c>
      <c r="G1395" s="15">
        <v>-0.15461266</v>
      </c>
      <c r="H1395" s="15">
        <v>-0.09757697</v>
      </c>
      <c r="I1395" s="15">
        <v>0.02744037</v>
      </c>
      <c r="J1395" s="15">
        <v>0.02086131</v>
      </c>
      <c r="K1395" s="15">
        <v>631.82</v>
      </c>
    </row>
    <row r="1396" ht="22.5" customHeight="1">
      <c r="A1396" s="167">
        <v>46091.87829861111</v>
      </c>
      <c r="B1396" s="144" t="s">
        <v>554</v>
      </c>
      <c r="C1396" s="15">
        <v>49.4</v>
      </c>
      <c r="D1396" s="15">
        <v>0.5</v>
      </c>
      <c r="E1396" s="146">
        <v>0.05</v>
      </c>
      <c r="F1396" s="15">
        <v>0.05</v>
      </c>
      <c r="G1396" s="15">
        <v>0.04766423</v>
      </c>
      <c r="H1396" s="15">
        <v>-0.02069055</v>
      </c>
      <c r="I1396" s="15">
        <v>0.02278726</v>
      </c>
      <c r="J1396" s="15">
        <v>0.00884564</v>
      </c>
      <c r="K1396" s="15">
        <v>0.39</v>
      </c>
    </row>
    <row r="1397" ht="22.5" customHeight="1">
      <c r="A1397" s="167">
        <v>46091.87832175926</v>
      </c>
      <c r="B1397" s="144" t="s">
        <v>595</v>
      </c>
      <c r="C1397" s="15">
        <v>8.68</v>
      </c>
      <c r="D1397" s="15">
        <v>1.26</v>
      </c>
      <c r="E1397" s="146">
        <v>0.06</v>
      </c>
      <c r="F1397" s="15">
        <v>0.06</v>
      </c>
      <c r="G1397" s="15">
        <v>0.0606625</v>
      </c>
      <c r="H1397" s="15">
        <v>-0.00950181</v>
      </c>
      <c r="I1397" s="15">
        <v>0.06645562</v>
      </c>
      <c r="J1397" s="15">
        <v>0.00163521</v>
      </c>
      <c r="K1397" s="15">
        <v>5.38</v>
      </c>
    </row>
    <row r="1398" ht="22.5" customHeight="1">
      <c r="A1398" s="167">
        <v>46091.87841435185</v>
      </c>
      <c r="B1398" s="144" t="s">
        <v>626</v>
      </c>
      <c r="C1398" s="15">
        <v>101.32</v>
      </c>
      <c r="D1398" s="15">
        <v>0.34</v>
      </c>
      <c r="E1398" s="146">
        <v>0.74</v>
      </c>
      <c r="F1398" s="15">
        <v>0.74</v>
      </c>
      <c r="G1398" s="15">
        <v>-0.12192464</v>
      </c>
      <c r="H1398" s="15">
        <v>-0.02843691</v>
      </c>
      <c r="I1398" s="15">
        <v>0.01822151</v>
      </c>
      <c r="J1398" s="15">
        <v>0.06452924</v>
      </c>
      <c r="K1398" s="15">
        <v>59.78</v>
      </c>
    </row>
    <row r="1399" ht="22.5" customHeight="1">
      <c r="A1399" s="167">
        <v>46091.878483796296</v>
      </c>
      <c r="B1399" s="144" t="s">
        <v>627</v>
      </c>
      <c r="C1399" s="15">
        <v>101.32</v>
      </c>
      <c r="D1399" s="15">
        <v>0.32</v>
      </c>
      <c r="E1399" s="146">
        <v>1.54</v>
      </c>
      <c r="F1399" s="15">
        <v>1.54</v>
      </c>
      <c r="G1399" s="15">
        <v>-0.2372593</v>
      </c>
      <c r="H1399" s="15">
        <v>-0.03993039</v>
      </c>
      <c r="I1399" s="15">
        <v>0.0300542</v>
      </c>
      <c r="J1399" s="15">
        <v>0.09685859</v>
      </c>
      <c r="K1399" s="15">
        <v>637.03</v>
      </c>
    </row>
    <row r="1400" ht="22.5" customHeight="1">
      <c r="A1400" s="167">
        <v>46091.87856481481</v>
      </c>
      <c r="B1400" s="144" t="s">
        <v>594</v>
      </c>
      <c r="C1400" s="15">
        <v>28.35</v>
      </c>
      <c r="D1400" s="15">
        <v>0.81</v>
      </c>
      <c r="E1400" s="146">
        <v>0.18</v>
      </c>
      <c r="F1400" s="15">
        <v>0.18</v>
      </c>
      <c r="G1400" s="15">
        <v>0.05199314</v>
      </c>
      <c r="H1400" s="15">
        <v>-0.01055183</v>
      </c>
      <c r="I1400" s="15">
        <v>0.01433943</v>
      </c>
      <c r="J1400" s="15">
        <v>0.01096454</v>
      </c>
      <c r="K1400" s="15">
        <v>10.75</v>
      </c>
    </row>
    <row r="1401" ht="22.5" customHeight="1">
      <c r="A1401" s="167">
        <v>46091.878599537034</v>
      </c>
      <c r="B1401" s="144" t="s">
        <v>609</v>
      </c>
      <c r="C1401" s="15">
        <v>7.0</v>
      </c>
      <c r="D1401" s="15">
        <v>1.09</v>
      </c>
      <c r="E1401" s="146">
        <v>0.24</v>
      </c>
      <c r="F1401" s="15">
        <v>0.24</v>
      </c>
      <c r="G1401" s="15" t="s">
        <v>688</v>
      </c>
      <c r="H1401" s="15">
        <v>-0.00887365</v>
      </c>
      <c r="I1401" s="15">
        <v>0.10864542</v>
      </c>
      <c r="J1401" s="15">
        <v>0.00577186</v>
      </c>
      <c r="K1401" s="15">
        <v>20.62</v>
      </c>
    </row>
    <row r="1402" ht="22.5" customHeight="1">
      <c r="A1402" s="167">
        <v>46091.87868055556</v>
      </c>
      <c r="B1402" s="144" t="s">
        <v>586</v>
      </c>
      <c r="C1402" s="15">
        <v>46.57</v>
      </c>
      <c r="D1402" s="15">
        <v>0.23</v>
      </c>
      <c r="E1402" s="146">
        <v>0.35</v>
      </c>
      <c r="F1402" s="15">
        <v>0.35</v>
      </c>
      <c r="G1402" s="15">
        <v>0.19296247</v>
      </c>
      <c r="H1402" s="15">
        <v>-0.01332395</v>
      </c>
      <c r="I1402" s="15">
        <v>0.08019631</v>
      </c>
      <c r="J1402" s="15">
        <v>0.04352172</v>
      </c>
      <c r="K1402" s="15">
        <v>26.04</v>
      </c>
    </row>
    <row r="1403" ht="22.5" customHeight="1">
      <c r="A1403" s="167">
        <v>46091.87875</v>
      </c>
      <c r="B1403" s="144" t="s">
        <v>613</v>
      </c>
      <c r="C1403" s="15">
        <v>27.71</v>
      </c>
      <c r="D1403" s="15">
        <v>0.27</v>
      </c>
      <c r="E1403" s="146">
        <v>0.11</v>
      </c>
      <c r="F1403" s="15">
        <v>0.11</v>
      </c>
      <c r="G1403" s="15">
        <v>0.10325278</v>
      </c>
      <c r="H1403" s="15">
        <v>-0.00618844</v>
      </c>
      <c r="I1403" s="15">
        <v>0.07689092</v>
      </c>
      <c r="J1403" s="15">
        <v>0.01743411</v>
      </c>
      <c r="K1403" s="15">
        <v>9.06</v>
      </c>
    </row>
    <row r="1404" ht="22.5" customHeight="1">
      <c r="A1404" s="167">
        <v>46091.878842592596</v>
      </c>
      <c r="B1404" s="144" t="s">
        <v>614</v>
      </c>
      <c r="C1404" s="15">
        <v>50.71</v>
      </c>
      <c r="D1404" s="15">
        <v>0.23</v>
      </c>
      <c r="E1404" s="146">
        <v>0.22</v>
      </c>
      <c r="F1404" s="15">
        <v>0.22</v>
      </c>
      <c r="G1404" s="15">
        <v>0.13350187</v>
      </c>
      <c r="H1404" s="15">
        <v>-0.01167875</v>
      </c>
      <c r="I1404" s="15">
        <v>0.06199145</v>
      </c>
      <c r="J1404" s="15">
        <v>0.03502232</v>
      </c>
      <c r="K1404" s="15">
        <v>21.65</v>
      </c>
    </row>
    <row r="1405" ht="22.5" customHeight="1">
      <c r="A1405" s="167">
        <v>46091.87893518519</v>
      </c>
      <c r="B1405" s="144" t="s">
        <v>600</v>
      </c>
      <c r="C1405" s="15">
        <v>12.68</v>
      </c>
      <c r="D1405" s="15">
        <v>0.59</v>
      </c>
      <c r="E1405" s="146">
        <v>0.35</v>
      </c>
      <c r="F1405" s="15">
        <v>0.35</v>
      </c>
      <c r="G1405" s="15">
        <v>0.13998355</v>
      </c>
      <c r="H1405" s="15">
        <v>-0.00897799</v>
      </c>
      <c r="I1405" s="15">
        <v>0.06655633</v>
      </c>
      <c r="J1405" s="15">
        <v>0.00839931</v>
      </c>
      <c r="K1405" s="15">
        <v>5.17</v>
      </c>
    </row>
    <row r="1406" ht="22.5" customHeight="1">
      <c r="A1406" s="167">
        <v>46091.87900462963</v>
      </c>
      <c r="B1406" s="144" t="s">
        <v>542</v>
      </c>
      <c r="C1406" s="15">
        <v>678.13</v>
      </c>
      <c r="D1406" s="15">
        <v>0.24</v>
      </c>
      <c r="E1406" s="146">
        <v>8.97</v>
      </c>
      <c r="F1406" s="15">
        <v>8.97</v>
      </c>
      <c r="G1406" s="15">
        <v>-0.43451227</v>
      </c>
      <c r="H1406" s="15">
        <v>-0.49200158</v>
      </c>
      <c r="I1406" s="15">
        <v>0.01476119</v>
      </c>
      <c r="J1406" s="15">
        <v>0.44166463</v>
      </c>
      <c r="K1406" s="15">
        <v>5169.78</v>
      </c>
    </row>
    <row r="1407" ht="22.5" customHeight="1">
      <c r="A1407" s="167">
        <v>46091.87907407407</v>
      </c>
      <c r="B1407" s="144" t="s">
        <v>608</v>
      </c>
      <c r="C1407" s="15">
        <v>678.13</v>
      </c>
      <c r="D1407" s="15">
        <v>0.21</v>
      </c>
      <c r="E1407" s="146">
        <v>10.35</v>
      </c>
      <c r="F1407" s="15">
        <v>10.35</v>
      </c>
      <c r="G1407" s="15">
        <v>-0.35467142</v>
      </c>
      <c r="H1407" s="15">
        <v>-0.19845086</v>
      </c>
      <c r="I1407" s="15">
        <v>0.00807602</v>
      </c>
      <c r="J1407" s="15">
        <v>0.81377706</v>
      </c>
      <c r="K1407" s="15">
        <v>5006.19</v>
      </c>
    </row>
    <row r="1408" ht="22.5" customHeight="1">
      <c r="A1408" s="167">
        <v>46091.87908564815</v>
      </c>
      <c r="B1408" s="144" t="s">
        <v>616</v>
      </c>
      <c r="C1408" s="15">
        <v>37.53</v>
      </c>
      <c r="D1408" s="15">
        <v>0.33</v>
      </c>
      <c r="E1408" s="146">
        <v>3.15</v>
      </c>
      <c r="F1408" s="15">
        <v>2.62</v>
      </c>
      <c r="G1408" s="15">
        <v>0.59504943</v>
      </c>
      <c r="H1408" s="15">
        <v>-0.01418645</v>
      </c>
      <c r="I1408" s="15">
        <v>0.06211547</v>
      </c>
      <c r="J1408" s="15">
        <v>0.07528607</v>
      </c>
      <c r="K1408" s="15">
        <v>262.19</v>
      </c>
    </row>
    <row r="1409" ht="22.5" customHeight="1">
      <c r="A1409" s="167">
        <v>46091.879108796296</v>
      </c>
      <c r="B1409" s="144" t="s">
        <v>628</v>
      </c>
      <c r="C1409" s="15">
        <v>6.93</v>
      </c>
      <c r="D1409" s="15">
        <v>0.95</v>
      </c>
      <c r="E1409" s="146">
        <v>0.13</v>
      </c>
      <c r="F1409" s="15">
        <v>0.13</v>
      </c>
      <c r="G1409" s="15">
        <v>0.16366158</v>
      </c>
      <c r="H1409" s="15">
        <v>-0.00790561</v>
      </c>
      <c r="I1409" s="15">
        <v>0.10827335</v>
      </c>
      <c r="J1409" s="15">
        <v>0.00584783</v>
      </c>
      <c r="K1409" s="15">
        <v>12.92</v>
      </c>
    </row>
    <row r="1410" ht="22.5" customHeight="1">
      <c r="A1410" s="167">
        <v>46091.87918981481</v>
      </c>
      <c r="B1410" s="144" t="s">
        <v>521</v>
      </c>
      <c r="C1410" s="15">
        <v>10.09</v>
      </c>
      <c r="D1410" s="15">
        <v>2.21</v>
      </c>
      <c r="E1410" s="146">
        <v>0.01</v>
      </c>
      <c r="F1410" s="15">
        <v>0.01</v>
      </c>
      <c r="G1410" s="15">
        <v>0.01042037</v>
      </c>
      <c r="H1410" s="15">
        <v>-0.00508758</v>
      </c>
      <c r="I1410" s="15">
        <v>0.0074681</v>
      </c>
      <c r="J1410" s="15">
        <v>4.4165E-4</v>
      </c>
      <c r="K1410" s="15">
        <v>1.51</v>
      </c>
    </row>
    <row r="1411" ht="22.5" customHeight="1">
      <c r="A1411" s="167">
        <v>46091.879224537035</v>
      </c>
      <c r="B1411" s="144" t="s">
        <v>618</v>
      </c>
      <c r="C1411" s="15">
        <v>27.73</v>
      </c>
      <c r="D1411" s="15">
        <v>0.37</v>
      </c>
      <c r="E1411" s="146">
        <v>0.7</v>
      </c>
      <c r="F1411" s="15">
        <v>0.7</v>
      </c>
      <c r="G1411" s="15">
        <v>0.3290272</v>
      </c>
      <c r="H1411" s="15">
        <v>-0.01573581</v>
      </c>
      <c r="I1411" s="15">
        <v>0.12551094</v>
      </c>
      <c r="J1411" s="15">
        <v>0.03061073</v>
      </c>
      <c r="K1411" s="15">
        <v>56.92</v>
      </c>
    </row>
    <row r="1412" ht="22.5" customHeight="1">
      <c r="A1412" s="167">
        <v>46091.87923611111</v>
      </c>
      <c r="B1412" s="144" t="s">
        <v>624</v>
      </c>
      <c r="C1412" s="15">
        <v>5837.17</v>
      </c>
      <c r="D1412" s="15">
        <v>0.2</v>
      </c>
      <c r="E1412" s="146">
        <v>108.9</v>
      </c>
      <c r="F1412" s="15">
        <v>108.9</v>
      </c>
      <c r="G1412" s="15">
        <v>0.25357638</v>
      </c>
      <c r="H1412" s="15">
        <v>15.76060828</v>
      </c>
      <c r="I1412" s="15">
        <v>8.3012E-4</v>
      </c>
      <c r="J1412" s="15">
        <v>5.95247195</v>
      </c>
      <c r="K1412" s="15">
        <v>68.0</v>
      </c>
    </row>
    <row r="1413" ht="22.5" customHeight="1">
      <c r="A1413" s="167">
        <v>46091.87924768519</v>
      </c>
      <c r="B1413" s="144" t="s">
        <v>625</v>
      </c>
      <c r="C1413" s="15">
        <v>5837.17</v>
      </c>
      <c r="D1413" s="15">
        <v>0.34</v>
      </c>
      <c r="E1413" s="146">
        <v>31.3</v>
      </c>
      <c r="F1413" s="15">
        <v>31.3</v>
      </c>
      <c r="G1413" s="15">
        <v>-0.16016709</v>
      </c>
      <c r="H1413" s="15">
        <v>-11.48851298</v>
      </c>
      <c r="I1413" s="15">
        <v>3.7795E-4</v>
      </c>
      <c r="J1413" s="15">
        <v>4.53072813</v>
      </c>
      <c r="K1413" s="15">
        <v>3625.95</v>
      </c>
    </row>
    <row r="1414" ht="22.5" customHeight="1">
      <c r="A1414" s="167">
        <v>46091.879270833335</v>
      </c>
      <c r="B1414" s="144" t="s">
        <v>519</v>
      </c>
      <c r="C1414" s="15">
        <v>80.09</v>
      </c>
      <c r="D1414" s="15">
        <v>0.65</v>
      </c>
      <c r="E1414" s="146">
        <v>2.74</v>
      </c>
      <c r="F1414" s="15">
        <v>2.74</v>
      </c>
      <c r="G1414" s="15">
        <v>-0.33109367</v>
      </c>
      <c r="H1414" s="15">
        <v>-0.15484973</v>
      </c>
      <c r="I1414" s="15">
        <v>0.04215103</v>
      </c>
      <c r="J1414" s="15">
        <v>0.049461</v>
      </c>
      <c r="K1414" s="15">
        <v>1024.12</v>
      </c>
    </row>
    <row r="1415" ht="22.5" customHeight="1">
      <c r="A1415" s="167">
        <v>46091.87930555556</v>
      </c>
      <c r="B1415" s="144" t="s">
        <v>603</v>
      </c>
      <c r="C1415" s="15">
        <v>477.86</v>
      </c>
      <c r="D1415" s="15">
        <v>0.3</v>
      </c>
      <c r="E1415" s="146">
        <v>6.8</v>
      </c>
      <c r="F1415" s="15">
        <v>6.8</v>
      </c>
      <c r="G1415" s="15">
        <v>-0.24006387</v>
      </c>
      <c r="H1415" s="15">
        <v>-0.1671472</v>
      </c>
      <c r="I1415" s="15">
        <v>0.00690656</v>
      </c>
      <c r="J1415" s="15">
        <v>0.46095284</v>
      </c>
      <c r="K1415" s="15">
        <v>3826.38</v>
      </c>
    </row>
    <row r="1416" ht="22.5" customHeight="1">
      <c r="A1416" s="167">
        <v>46091.87931712963</v>
      </c>
      <c r="B1416" s="144" t="s">
        <v>604</v>
      </c>
      <c r="C1416" s="15">
        <v>477.86</v>
      </c>
      <c r="D1416" s="15">
        <v>0.29</v>
      </c>
      <c r="E1416" s="146">
        <v>9.4</v>
      </c>
      <c r="F1416" s="15">
        <v>9.4</v>
      </c>
      <c r="G1416" s="15">
        <v>-0.31639845</v>
      </c>
      <c r="H1416" s="15">
        <v>-0.20373672</v>
      </c>
      <c r="I1416" s="15">
        <v>0.00805336</v>
      </c>
      <c r="J1416" s="15">
        <v>0.56699646</v>
      </c>
      <c r="K1416" s="15">
        <v>3582.21</v>
      </c>
    </row>
    <row r="1417" ht="22.5" customHeight="1">
      <c r="A1417" s="167">
        <v>46091.879328703704</v>
      </c>
      <c r="B1417" s="144" t="s">
        <v>605</v>
      </c>
      <c r="C1417" s="15">
        <v>477.86</v>
      </c>
      <c r="D1417" s="15">
        <v>0.29</v>
      </c>
      <c r="E1417" s="146">
        <v>11.52</v>
      </c>
      <c r="F1417" s="15">
        <v>11.52</v>
      </c>
      <c r="G1417" s="15">
        <v>-0.35744151</v>
      </c>
      <c r="H1417" s="15">
        <v>-0.20447971</v>
      </c>
      <c r="I1417" s="15">
        <v>0.0083923</v>
      </c>
      <c r="J1417" s="15">
        <v>0.57300547</v>
      </c>
      <c r="K1417" s="15">
        <v>4726.33</v>
      </c>
    </row>
    <row r="1418" ht="22.5" customHeight="1">
      <c r="A1418" s="167">
        <v>46091.87935185185</v>
      </c>
      <c r="B1418" s="144" t="s">
        <v>591</v>
      </c>
      <c r="C1418" s="15">
        <v>60.13</v>
      </c>
      <c r="D1418" s="15">
        <v>0.27</v>
      </c>
      <c r="E1418" s="146">
        <v>0.16</v>
      </c>
      <c r="F1418" s="15">
        <v>0.16</v>
      </c>
      <c r="G1418" s="15">
        <v>0.0564043</v>
      </c>
      <c r="H1418" s="15">
        <v>-0.00823187</v>
      </c>
      <c r="I1418" s="15">
        <v>0.02065026</v>
      </c>
      <c r="J1418" s="15">
        <v>0.02131758</v>
      </c>
      <c r="K1418" s="15">
        <v>6.91</v>
      </c>
    </row>
    <row r="1419" ht="22.5" customHeight="1">
      <c r="A1419" s="167">
        <v>46091.879965277774</v>
      </c>
      <c r="B1419" s="144" t="s">
        <v>567</v>
      </c>
      <c r="C1419" s="15">
        <v>58.89</v>
      </c>
      <c r="D1419" s="15">
        <v>0.49</v>
      </c>
      <c r="E1419" s="146">
        <v>0.0</v>
      </c>
      <c r="F1419" s="15">
        <v>0.0</v>
      </c>
      <c r="G1419" s="15">
        <v>0.00818801</v>
      </c>
      <c r="H1419" s="15">
        <v>-0.00559754</v>
      </c>
      <c r="I1419" s="15">
        <v>0.00370735</v>
      </c>
      <c r="J1419" s="15">
        <v>0.00199954</v>
      </c>
      <c r="K1419" s="15">
        <v>1.44</v>
      </c>
    </row>
    <row r="1420" ht="22.5" customHeight="1">
      <c r="A1420" s="167">
        <v>46091.8800462963</v>
      </c>
      <c r="B1420" s="144" t="s">
        <v>518</v>
      </c>
      <c r="C1420" s="15">
        <v>11.3</v>
      </c>
      <c r="D1420" s="15">
        <v>0.44</v>
      </c>
      <c r="E1420" s="146">
        <v>0.12</v>
      </c>
      <c r="F1420" s="15">
        <v>0.12</v>
      </c>
      <c r="G1420" s="15">
        <v>0.21701075</v>
      </c>
      <c r="H1420" s="15">
        <v>-0.01238985</v>
      </c>
      <c r="I1420" s="15">
        <v>0.35888029</v>
      </c>
      <c r="J1420" s="15">
        <v>0.00519203</v>
      </c>
      <c r="K1420" s="15">
        <v>3.3</v>
      </c>
    </row>
    <row r="1421" ht="22.5" customHeight="1">
      <c r="A1421" s="167">
        <v>46091.88065972222</v>
      </c>
      <c r="B1421" s="144" t="s">
        <v>570</v>
      </c>
      <c r="C1421" s="15">
        <v>45.97</v>
      </c>
      <c r="D1421" s="15">
        <v>0.53</v>
      </c>
      <c r="E1421" s="146">
        <v>0.0</v>
      </c>
      <c r="F1421" s="15">
        <v>0.0</v>
      </c>
      <c r="G1421" s="15">
        <v>0.0018117</v>
      </c>
      <c r="H1421" s="15">
        <v>-9.7108E-4</v>
      </c>
      <c r="I1421" s="15">
        <v>0.00132821</v>
      </c>
      <c r="J1421" s="15">
        <v>5.2509E-4</v>
      </c>
      <c r="K1421" s="15">
        <v>0.19</v>
      </c>
    </row>
    <row r="1422" ht="22.5" customHeight="1">
      <c r="A1422" s="167">
        <v>46091.88068287037</v>
      </c>
      <c r="B1422" s="144" t="s">
        <v>550</v>
      </c>
      <c r="C1422" s="15">
        <v>8.28</v>
      </c>
      <c r="D1422" s="15">
        <v>0.6</v>
      </c>
      <c r="E1422" s="146">
        <v>0.05</v>
      </c>
      <c r="F1422" s="15">
        <v>0.05</v>
      </c>
      <c r="G1422" s="15">
        <v>0.00516464</v>
      </c>
      <c r="H1422" s="15">
        <v>-3.6372E-4</v>
      </c>
      <c r="I1422" s="15">
        <v>0.02282475</v>
      </c>
      <c r="J1422" s="15">
        <v>2.7552E-4</v>
      </c>
      <c r="K1422" s="15">
        <v>0.11</v>
      </c>
    </row>
    <row r="1423" ht="22.5" customHeight="1">
      <c r="A1423" s="167">
        <v>46091.88071759259</v>
      </c>
      <c r="B1423" s="144" t="s">
        <v>601</v>
      </c>
      <c r="C1423" s="15">
        <v>5.37</v>
      </c>
      <c r="D1423" s="15">
        <v>0.87</v>
      </c>
      <c r="E1423" s="146">
        <v>0.1</v>
      </c>
      <c r="F1423" s="15">
        <v>0.1</v>
      </c>
      <c r="G1423" s="15">
        <v>0.24092672</v>
      </c>
      <c r="H1423" s="15">
        <v>-0.01217764</v>
      </c>
      <c r="I1423" s="15">
        <v>0.40693841</v>
      </c>
      <c r="J1423" s="15">
        <v>0.00294618</v>
      </c>
      <c r="K1423" s="15">
        <v>6.05</v>
      </c>
    </row>
    <row r="1424" ht="22.5" customHeight="1">
      <c r="A1424" s="167">
        <v>46091.880740740744</v>
      </c>
      <c r="B1424" s="144" t="s">
        <v>597</v>
      </c>
      <c r="C1424" s="15">
        <v>63.79</v>
      </c>
      <c r="D1424" s="15">
        <v>1.09</v>
      </c>
      <c r="E1424" s="146">
        <v>4.01</v>
      </c>
      <c r="F1424" s="15">
        <v>4.01</v>
      </c>
      <c r="G1424" s="15">
        <v>0.49663011</v>
      </c>
      <c r="H1424" s="15">
        <v>-0.23233429</v>
      </c>
      <c r="I1424" s="15">
        <v>0.03488158</v>
      </c>
      <c r="J1424" s="15">
        <v>0.04223199</v>
      </c>
      <c r="K1424" s="15">
        <v>1267.24</v>
      </c>
    </row>
    <row r="1425" ht="22.5" customHeight="1">
      <c r="A1425" s="167">
        <v>46091.88075231481</v>
      </c>
      <c r="B1425" s="144" t="s">
        <v>598</v>
      </c>
      <c r="C1425" s="15">
        <v>63.79</v>
      </c>
      <c r="D1425" s="15">
        <v>1.12</v>
      </c>
      <c r="E1425" s="146">
        <v>2.4</v>
      </c>
      <c r="F1425" s="15">
        <v>2.4</v>
      </c>
      <c r="G1425" s="15">
        <v>0.3430695</v>
      </c>
      <c r="H1425" s="15">
        <v>-0.21936194</v>
      </c>
      <c r="I1425" s="15">
        <v>0.03125914</v>
      </c>
      <c r="J1425" s="15">
        <v>0.03894866</v>
      </c>
      <c r="K1425" s="15">
        <v>218.56</v>
      </c>
    </row>
    <row r="1426" ht="22.5" customHeight="1">
      <c r="A1426" s="167">
        <v>46091.88078703704</v>
      </c>
      <c r="B1426" s="144" t="s">
        <v>610</v>
      </c>
      <c r="C1426" s="15">
        <v>20.35</v>
      </c>
      <c r="D1426" s="15">
        <v>0.62</v>
      </c>
      <c r="E1426" s="146">
        <v>1.41</v>
      </c>
      <c r="F1426" s="15">
        <v>1.41</v>
      </c>
      <c r="G1426" s="15">
        <v>-0.41974079</v>
      </c>
      <c r="H1426" s="15">
        <v>-0.0200958</v>
      </c>
      <c r="I1426" s="15">
        <v>0.09660399</v>
      </c>
      <c r="J1426" s="15">
        <v>0.02567308</v>
      </c>
      <c r="K1426" s="15">
        <v>122.91</v>
      </c>
    </row>
    <row r="1427" ht="22.5" customHeight="1">
      <c r="A1427" s="167">
        <v>46091.88081018518</v>
      </c>
      <c r="B1427" s="144" t="s">
        <v>602</v>
      </c>
      <c r="C1427" s="15">
        <v>72.84</v>
      </c>
      <c r="D1427" s="15">
        <v>0.43</v>
      </c>
      <c r="E1427" s="146">
        <v>0.28</v>
      </c>
      <c r="F1427" s="15">
        <v>0.28</v>
      </c>
      <c r="G1427" s="15">
        <v>0.10187668</v>
      </c>
      <c r="H1427" s="15">
        <v>-0.0468774</v>
      </c>
      <c r="I1427" s="15">
        <v>0.03440642</v>
      </c>
      <c r="J1427" s="15">
        <v>0.02205004</v>
      </c>
      <c r="K1427" s="15">
        <v>8.56</v>
      </c>
    </row>
    <row r="1428" ht="22.5" customHeight="1">
      <c r="A1428" s="167">
        <v>46091.881840277776</v>
      </c>
      <c r="B1428" s="144" t="s">
        <v>596</v>
      </c>
      <c r="C1428" s="15">
        <v>76.7</v>
      </c>
      <c r="D1428" s="15">
        <v>0.33</v>
      </c>
      <c r="E1428" s="146">
        <v>0.0</v>
      </c>
      <c r="F1428" s="15">
        <v>0.0</v>
      </c>
      <c r="G1428" s="15">
        <v>0.00969168</v>
      </c>
      <c r="H1428" s="15">
        <v>-0.00201667</v>
      </c>
      <c r="I1428" s="15">
        <v>0.00363877</v>
      </c>
      <c r="J1428" s="15">
        <v>0.00815506</v>
      </c>
      <c r="K1428" s="15">
        <v>2.92</v>
      </c>
    </row>
    <row r="1429" ht="22.5" customHeight="1">
      <c r="A1429" s="167">
        <v>46091.88244212963</v>
      </c>
      <c r="B1429" s="144" t="s">
        <v>611</v>
      </c>
      <c r="C1429" s="15">
        <v>43.97</v>
      </c>
      <c r="D1429" s="15">
        <v>0.28</v>
      </c>
      <c r="E1429" s="146">
        <v>0.0</v>
      </c>
      <c r="F1429" s="15">
        <v>0.0</v>
      </c>
      <c r="G1429" s="15">
        <v>0.04898861</v>
      </c>
      <c r="H1429" s="15">
        <v>-0.00628672</v>
      </c>
      <c r="I1429" s="15">
        <v>0.02359582</v>
      </c>
      <c r="J1429" s="15">
        <v>0.01581078</v>
      </c>
      <c r="K1429" s="15">
        <v>5.6</v>
      </c>
    </row>
    <row r="1430" ht="22.5" customHeight="1">
      <c r="A1430" s="167">
        <v>46091.88245370371</v>
      </c>
      <c r="B1430" s="144" t="s">
        <v>612</v>
      </c>
      <c r="C1430" s="15">
        <v>43.97</v>
      </c>
      <c r="D1430" s="15">
        <v>0.28</v>
      </c>
      <c r="E1430" s="146">
        <v>0.8</v>
      </c>
      <c r="F1430" s="15">
        <v>0.8</v>
      </c>
      <c r="G1430" s="15">
        <v>-0.32279404</v>
      </c>
      <c r="H1430" s="15">
        <v>-0.01758339</v>
      </c>
      <c r="I1430" s="15">
        <v>0.09085838</v>
      </c>
      <c r="J1430" s="15">
        <v>0.05231209</v>
      </c>
      <c r="K1430" s="15">
        <v>77.77</v>
      </c>
    </row>
    <row r="1431" ht="22.5" customHeight="1">
      <c r="A1431" s="167">
        <v>46091.88248842592</v>
      </c>
      <c r="B1431" s="144" t="s">
        <v>619</v>
      </c>
      <c r="C1431" s="15">
        <v>105.86</v>
      </c>
      <c r="D1431" s="15">
        <v>0.7</v>
      </c>
      <c r="E1431" s="146">
        <v>4.0</v>
      </c>
      <c r="F1431" s="15">
        <v>4.0</v>
      </c>
      <c r="G1431" s="15">
        <v>-0.16353568</v>
      </c>
      <c r="H1431" s="15">
        <v>-0.0457371</v>
      </c>
      <c r="I1431" s="15">
        <v>0.00643852</v>
      </c>
      <c r="J1431" s="15">
        <v>0.1442669</v>
      </c>
      <c r="K1431" s="15">
        <v>305.25</v>
      </c>
    </row>
    <row r="1432" ht="22.5" customHeight="1">
      <c r="A1432" s="167">
        <v>46091.8825</v>
      </c>
      <c r="B1432" s="144" t="s">
        <v>620</v>
      </c>
      <c r="C1432" s="15">
        <v>105.86</v>
      </c>
      <c r="D1432" s="15">
        <v>0.72</v>
      </c>
      <c r="E1432" s="146">
        <v>7.6</v>
      </c>
      <c r="F1432" s="15">
        <v>7.6</v>
      </c>
      <c r="G1432" s="15">
        <v>-0.25924866</v>
      </c>
      <c r="H1432" s="15">
        <v>-0.06144634</v>
      </c>
      <c r="I1432" s="15">
        <v>0.00820775</v>
      </c>
      <c r="J1432" s="15">
        <v>0.17450184</v>
      </c>
      <c r="K1432" s="15">
        <v>467.59</v>
      </c>
    </row>
    <row r="1433" ht="22.5" customHeight="1">
      <c r="A1433" s="167"/>
      <c r="B1433" s="144"/>
      <c r="C1433" s="15"/>
      <c r="D1433" s="15"/>
      <c r="E1433" s="146"/>
      <c r="F1433" s="15"/>
      <c r="G1433" s="15"/>
      <c r="H1433" s="15"/>
      <c r="I1433" s="15"/>
      <c r="J1433" s="15"/>
      <c r="K1433" s="15"/>
    </row>
    <row r="1434" ht="22.5" customHeight="1">
      <c r="A1434" s="167"/>
      <c r="B1434" s="144"/>
      <c r="C1434" s="15"/>
      <c r="D1434" s="15"/>
      <c r="E1434" s="146"/>
      <c r="F1434" s="15"/>
      <c r="G1434" s="15"/>
      <c r="H1434" s="15"/>
      <c r="I1434" s="15"/>
      <c r="J1434" s="15"/>
      <c r="K1434" s="15"/>
    </row>
    <row r="1435" ht="22.5" customHeight="1">
      <c r="A1435" s="167"/>
      <c r="B1435" s="144"/>
      <c r="C1435" s="15"/>
      <c r="D1435" s="15"/>
      <c r="E1435" s="146"/>
      <c r="F1435" s="15"/>
      <c r="G1435" s="15"/>
      <c r="H1435" s="15"/>
      <c r="I1435" s="15"/>
      <c r="J1435" s="15"/>
      <c r="K1435" s="15"/>
    </row>
    <row r="1436" ht="22.5" customHeight="1">
      <c r="A1436" s="167"/>
      <c r="B1436" s="144"/>
      <c r="C1436" s="15"/>
      <c r="D1436" s="15"/>
      <c r="E1436" s="146"/>
      <c r="F1436" s="15"/>
      <c r="G1436" s="15"/>
      <c r="H1436" s="15"/>
      <c r="I1436" s="15"/>
      <c r="J1436" s="15"/>
      <c r="K1436" s="15"/>
    </row>
    <row r="1437" ht="22.5" customHeight="1">
      <c r="A1437" s="167"/>
      <c r="B1437" s="144"/>
      <c r="C1437" s="15"/>
      <c r="D1437" s="15"/>
      <c r="E1437" s="146"/>
      <c r="F1437" s="15"/>
      <c r="G1437" s="15"/>
      <c r="H1437" s="15"/>
      <c r="I1437" s="15"/>
      <c r="J1437" s="15"/>
      <c r="K1437" s="15"/>
    </row>
    <row r="1438" ht="22.5" customHeight="1">
      <c r="A1438" s="167"/>
      <c r="B1438" s="144"/>
      <c r="C1438" s="15"/>
      <c r="D1438" s="15"/>
      <c r="E1438" s="146"/>
      <c r="F1438" s="15"/>
      <c r="G1438" s="15"/>
      <c r="H1438" s="15"/>
      <c r="I1438" s="15"/>
      <c r="J1438" s="15"/>
      <c r="K1438" s="15"/>
    </row>
    <row r="1439" ht="22.5" customHeight="1">
      <c r="A1439" s="167"/>
      <c r="B1439" s="144"/>
      <c r="C1439" s="15"/>
      <c r="D1439" s="15"/>
      <c r="E1439" s="146"/>
      <c r="F1439" s="15"/>
      <c r="G1439" s="15"/>
      <c r="H1439" s="15"/>
      <c r="I1439" s="15"/>
      <c r="J1439" s="15"/>
      <c r="K1439" s="15"/>
    </row>
    <row r="1440" ht="22.5" customHeight="1">
      <c r="A1440" s="167"/>
      <c r="B1440" s="144"/>
      <c r="C1440" s="15"/>
      <c r="D1440" s="15"/>
      <c r="E1440" s="146"/>
      <c r="F1440" s="15"/>
      <c r="G1440" s="15"/>
      <c r="H1440" s="15"/>
      <c r="I1440" s="15"/>
      <c r="J1440" s="15"/>
      <c r="K1440" s="15"/>
    </row>
    <row r="1441" ht="22.5" customHeight="1">
      <c r="A1441" s="167"/>
      <c r="B1441" s="144"/>
      <c r="C1441" s="15"/>
      <c r="D1441" s="15"/>
      <c r="E1441" s="146"/>
      <c r="F1441" s="15"/>
      <c r="G1441" s="15"/>
      <c r="H1441" s="15"/>
      <c r="I1441" s="15"/>
      <c r="J1441" s="15"/>
      <c r="K1441" s="15"/>
    </row>
    <row r="1442" ht="22.5" customHeight="1">
      <c r="A1442" s="167"/>
      <c r="B1442" s="144"/>
      <c r="C1442" s="15"/>
      <c r="D1442" s="15"/>
      <c r="E1442" s="146"/>
      <c r="F1442" s="15"/>
      <c r="G1442" s="15"/>
      <c r="H1442" s="15"/>
      <c r="I1442" s="15"/>
      <c r="J1442" s="15"/>
      <c r="K1442" s="15"/>
    </row>
    <row r="1443" ht="22.5" customHeight="1">
      <c r="A1443" s="167"/>
      <c r="B1443" s="144"/>
      <c r="C1443" s="15"/>
      <c r="D1443" s="15"/>
      <c r="E1443" s="146"/>
      <c r="F1443" s="15"/>
      <c r="G1443" s="15"/>
      <c r="H1443" s="15"/>
      <c r="I1443" s="15"/>
      <c r="J1443" s="15"/>
      <c r="K1443" s="15"/>
    </row>
    <row r="1444" ht="22.5" customHeight="1">
      <c r="A1444" s="167"/>
      <c r="B1444" s="144"/>
      <c r="C1444" s="15"/>
      <c r="D1444" s="15"/>
      <c r="E1444" s="146"/>
      <c r="F1444" s="15"/>
      <c r="G1444" s="15"/>
      <c r="H1444" s="15"/>
      <c r="I1444" s="15"/>
      <c r="J1444" s="15"/>
      <c r="K1444" s="15"/>
    </row>
    <row r="1445" ht="22.5" customHeight="1">
      <c r="A1445" s="167"/>
      <c r="B1445" s="144"/>
      <c r="C1445" s="15"/>
      <c r="D1445" s="15"/>
      <c r="E1445" s="146"/>
      <c r="F1445" s="15"/>
      <c r="G1445" s="15"/>
      <c r="H1445" s="15"/>
      <c r="I1445" s="15"/>
      <c r="J1445" s="15"/>
      <c r="K1445" s="15"/>
    </row>
    <row r="1446" ht="22.5" customHeight="1">
      <c r="A1446" s="167"/>
      <c r="B1446" s="144"/>
      <c r="C1446" s="15"/>
      <c r="D1446" s="15"/>
      <c r="E1446" s="146"/>
      <c r="F1446" s="15"/>
      <c r="G1446" s="15"/>
      <c r="H1446" s="15"/>
      <c r="I1446" s="15"/>
      <c r="J1446" s="15"/>
      <c r="K1446" s="15"/>
    </row>
    <row r="1447" ht="22.5" customHeight="1">
      <c r="A1447" s="167"/>
      <c r="B1447" s="144"/>
      <c r="C1447" s="15"/>
      <c r="D1447" s="15"/>
      <c r="E1447" s="146"/>
      <c r="F1447" s="15"/>
      <c r="G1447" s="15"/>
      <c r="H1447" s="15"/>
      <c r="I1447" s="15"/>
      <c r="J1447" s="15"/>
      <c r="K1447" s="15"/>
    </row>
    <row r="1448" ht="22.5" customHeight="1">
      <c r="A1448" s="167"/>
      <c r="B1448" s="144"/>
      <c r="C1448" s="15"/>
      <c r="D1448" s="15"/>
      <c r="E1448" s="146"/>
      <c r="F1448" s="15"/>
      <c r="G1448" s="15"/>
      <c r="H1448" s="15"/>
      <c r="I1448" s="15"/>
      <c r="J1448" s="15"/>
      <c r="K1448" s="15"/>
    </row>
    <row r="1449" ht="22.5" customHeight="1">
      <c r="A1449" s="167"/>
      <c r="B1449" s="144"/>
      <c r="C1449" s="15"/>
      <c r="D1449" s="15"/>
      <c r="E1449" s="146"/>
      <c r="F1449" s="15"/>
      <c r="G1449" s="15"/>
      <c r="H1449" s="15"/>
      <c r="I1449" s="15"/>
      <c r="J1449" s="15"/>
      <c r="K1449" s="15"/>
    </row>
    <row r="1450" ht="22.5" customHeight="1">
      <c r="A1450" s="167"/>
      <c r="B1450" s="144"/>
      <c r="C1450" s="15"/>
      <c r="D1450" s="15"/>
      <c r="E1450" s="146"/>
      <c r="F1450" s="15"/>
      <c r="G1450" s="15"/>
      <c r="H1450" s="15"/>
      <c r="I1450" s="15"/>
      <c r="J1450" s="15"/>
      <c r="K1450" s="15"/>
    </row>
    <row r="1451" ht="22.5" customHeight="1">
      <c r="A1451" s="167"/>
      <c r="B1451" s="144"/>
      <c r="C1451" s="15"/>
      <c r="D1451" s="15"/>
      <c r="E1451" s="146"/>
      <c r="F1451" s="15"/>
      <c r="G1451" s="15"/>
      <c r="H1451" s="15"/>
      <c r="I1451" s="15"/>
      <c r="J1451" s="15"/>
      <c r="K1451" s="15"/>
    </row>
    <row r="1452" ht="22.5" customHeight="1">
      <c r="A1452" s="167"/>
      <c r="B1452" s="144"/>
      <c r="C1452" s="15"/>
      <c r="D1452" s="15"/>
      <c r="E1452" s="146"/>
      <c r="F1452" s="15"/>
      <c r="G1452" s="15"/>
      <c r="H1452" s="15"/>
      <c r="I1452" s="15"/>
      <c r="J1452" s="15"/>
      <c r="K1452" s="15"/>
    </row>
    <row r="1453" ht="22.5" customHeight="1">
      <c r="A1453" s="167"/>
      <c r="B1453" s="144"/>
      <c r="C1453" s="15"/>
      <c r="D1453" s="15"/>
      <c r="E1453" s="146"/>
      <c r="F1453" s="15"/>
      <c r="G1453" s="15"/>
      <c r="H1453" s="15"/>
      <c r="I1453" s="15"/>
      <c r="J1453" s="15"/>
      <c r="K1453" s="15"/>
    </row>
    <row r="1454" ht="22.5" customHeight="1">
      <c r="A1454" s="167"/>
      <c r="B1454" s="144"/>
      <c r="C1454" s="15"/>
      <c r="D1454" s="15"/>
      <c r="E1454" s="146"/>
      <c r="F1454" s="15"/>
      <c r="G1454" s="15"/>
      <c r="H1454" s="15"/>
      <c r="I1454" s="15"/>
      <c r="J1454" s="15"/>
      <c r="K1454" s="15"/>
    </row>
    <row r="1455" ht="22.5" customHeight="1">
      <c r="A1455" s="167"/>
      <c r="B1455" s="144"/>
      <c r="C1455" s="15"/>
      <c r="D1455" s="15"/>
      <c r="E1455" s="146"/>
      <c r="F1455" s="15"/>
      <c r="G1455" s="15"/>
      <c r="H1455" s="15"/>
      <c r="I1455" s="15"/>
      <c r="J1455" s="15"/>
      <c r="K1455" s="15"/>
    </row>
    <row r="1456" ht="22.5" customHeight="1">
      <c r="A1456" s="167"/>
      <c r="B1456" s="144"/>
      <c r="C1456" s="15"/>
      <c r="D1456" s="15"/>
      <c r="E1456" s="146"/>
      <c r="F1456" s="15"/>
      <c r="G1456" s="15"/>
      <c r="H1456" s="15"/>
      <c r="I1456" s="15"/>
      <c r="J1456" s="15"/>
      <c r="K1456" s="15"/>
    </row>
    <row r="1457" ht="22.5" customHeight="1">
      <c r="A1457" s="167"/>
      <c r="B1457" s="144"/>
      <c r="C1457" s="15"/>
      <c r="D1457" s="15"/>
      <c r="E1457" s="146"/>
      <c r="F1457" s="15"/>
      <c r="G1457" s="15"/>
      <c r="H1457" s="15"/>
      <c r="I1457" s="15"/>
      <c r="J1457" s="15"/>
      <c r="K1457" s="15"/>
    </row>
    <row r="1458" ht="22.5" customHeight="1">
      <c r="A1458" s="167"/>
      <c r="B1458" s="144"/>
      <c r="C1458" s="15"/>
      <c r="D1458" s="15"/>
      <c r="E1458" s="146"/>
      <c r="F1458" s="15"/>
      <c r="G1458" s="15"/>
      <c r="H1458" s="15"/>
      <c r="I1458" s="15"/>
      <c r="J1458" s="15"/>
      <c r="K1458" s="15"/>
    </row>
    <row r="1459" ht="22.5" customHeight="1">
      <c r="A1459" s="167"/>
      <c r="B1459" s="144"/>
      <c r="C1459" s="15"/>
      <c r="D1459" s="15"/>
      <c r="E1459" s="146"/>
      <c r="F1459" s="15"/>
      <c r="G1459" s="15"/>
      <c r="H1459" s="15"/>
      <c r="I1459" s="15"/>
      <c r="J1459" s="15"/>
      <c r="K1459" s="15"/>
    </row>
    <row r="1460" ht="22.5" customHeight="1">
      <c r="A1460" s="167"/>
      <c r="B1460" s="144"/>
      <c r="C1460" s="15"/>
      <c r="D1460" s="15"/>
      <c r="E1460" s="146"/>
      <c r="F1460" s="15"/>
      <c r="G1460" s="15"/>
      <c r="H1460" s="15"/>
      <c r="I1460" s="15"/>
      <c r="J1460" s="15"/>
      <c r="K1460" s="15"/>
    </row>
    <row r="1461" ht="22.5" customHeight="1">
      <c r="A1461" s="167"/>
      <c r="B1461" s="144"/>
      <c r="C1461" s="15"/>
      <c r="D1461" s="15"/>
      <c r="E1461" s="146"/>
      <c r="F1461" s="15"/>
      <c r="G1461" s="15"/>
      <c r="H1461" s="15"/>
      <c r="I1461" s="15"/>
      <c r="J1461" s="15"/>
      <c r="K1461" s="15"/>
    </row>
    <row r="1462" ht="22.5" customHeight="1">
      <c r="A1462" s="167"/>
      <c r="B1462" s="144"/>
      <c r="C1462" s="15"/>
      <c r="D1462" s="15"/>
      <c r="E1462" s="146"/>
      <c r="F1462" s="15"/>
      <c r="G1462" s="15"/>
      <c r="H1462" s="15"/>
      <c r="I1462" s="15"/>
      <c r="J1462" s="15"/>
      <c r="K1462" s="15"/>
    </row>
    <row r="1463" ht="22.5" customHeight="1">
      <c r="A1463" s="167"/>
      <c r="B1463" s="144"/>
      <c r="C1463" s="15"/>
      <c r="D1463" s="15"/>
      <c r="E1463" s="146"/>
      <c r="F1463" s="15"/>
      <c r="G1463" s="15"/>
      <c r="H1463" s="15"/>
      <c r="I1463" s="15"/>
      <c r="J1463" s="15"/>
      <c r="K1463" s="15"/>
    </row>
    <row r="1464" ht="22.5" customHeight="1">
      <c r="A1464" s="167"/>
      <c r="B1464" s="144"/>
      <c r="C1464" s="15"/>
      <c r="D1464" s="15"/>
      <c r="E1464" s="146"/>
      <c r="F1464" s="15"/>
      <c r="G1464" s="15"/>
      <c r="H1464" s="15"/>
      <c r="I1464" s="15"/>
      <c r="J1464" s="15"/>
      <c r="K1464" s="15"/>
    </row>
    <row r="1465" ht="22.5" customHeight="1">
      <c r="A1465" s="167"/>
      <c r="B1465" s="144"/>
      <c r="C1465" s="15"/>
      <c r="D1465" s="15"/>
      <c r="E1465" s="146"/>
      <c r="F1465" s="15"/>
      <c r="G1465" s="15"/>
      <c r="H1465" s="15"/>
      <c r="I1465" s="15"/>
      <c r="J1465" s="15"/>
      <c r="K1465" s="15"/>
    </row>
    <row r="1466" ht="22.5" customHeight="1">
      <c r="A1466" s="167"/>
      <c r="B1466" s="144"/>
      <c r="C1466" s="15"/>
      <c r="D1466" s="15"/>
      <c r="E1466" s="146"/>
      <c r="F1466" s="15"/>
      <c r="G1466" s="15"/>
      <c r="H1466" s="15"/>
      <c r="I1466" s="15"/>
      <c r="J1466" s="15"/>
      <c r="K1466" s="15"/>
    </row>
    <row r="1467" ht="22.5" customHeight="1">
      <c r="A1467" s="167"/>
      <c r="B1467" s="144"/>
      <c r="C1467" s="15"/>
      <c r="D1467" s="15"/>
      <c r="E1467" s="146"/>
      <c r="F1467" s="15"/>
      <c r="G1467" s="15"/>
      <c r="H1467" s="15"/>
      <c r="I1467" s="15"/>
      <c r="J1467" s="15"/>
      <c r="K1467" s="15"/>
    </row>
    <row r="1468" ht="22.5" customHeight="1">
      <c r="A1468" s="167"/>
      <c r="B1468" s="144"/>
      <c r="C1468" s="15"/>
      <c r="D1468" s="15"/>
      <c r="E1468" s="146"/>
      <c r="F1468" s="15"/>
      <c r="G1468" s="15"/>
      <c r="H1468" s="15"/>
      <c r="I1468" s="15"/>
      <c r="J1468" s="15"/>
      <c r="K1468" s="15"/>
    </row>
    <row r="1469" ht="22.5" customHeight="1">
      <c r="A1469" s="167"/>
      <c r="B1469" s="144"/>
      <c r="C1469" s="15"/>
      <c r="D1469" s="15"/>
      <c r="E1469" s="146"/>
      <c r="F1469" s="15"/>
      <c r="G1469" s="15"/>
      <c r="H1469" s="15"/>
      <c r="I1469" s="15"/>
      <c r="J1469" s="15"/>
      <c r="K1469" s="15"/>
    </row>
    <row r="1470" ht="22.5" customHeight="1">
      <c r="A1470" s="167"/>
      <c r="B1470" s="144"/>
      <c r="C1470" s="15"/>
      <c r="D1470" s="15"/>
      <c r="E1470" s="146"/>
      <c r="F1470" s="15"/>
      <c r="G1470" s="15"/>
      <c r="H1470" s="15"/>
      <c r="I1470" s="15"/>
      <c r="J1470" s="15"/>
      <c r="K1470" s="15"/>
    </row>
    <row r="1471" ht="22.5" customHeight="1">
      <c r="A1471" s="167"/>
      <c r="B1471" s="144"/>
      <c r="C1471" s="15"/>
      <c r="D1471" s="15"/>
      <c r="E1471" s="146"/>
      <c r="F1471" s="15"/>
      <c r="G1471" s="15"/>
      <c r="H1471" s="15"/>
      <c r="I1471" s="15"/>
      <c r="J1471" s="15"/>
      <c r="K1471" s="15"/>
    </row>
    <row r="1472" ht="22.5" customHeight="1">
      <c r="A1472" s="167"/>
      <c r="B1472" s="144"/>
      <c r="C1472" s="15"/>
      <c r="D1472" s="15"/>
      <c r="E1472" s="146"/>
      <c r="F1472" s="15"/>
      <c r="G1472" s="15"/>
      <c r="H1472" s="15"/>
      <c r="I1472" s="15"/>
      <c r="J1472" s="15"/>
      <c r="K1472" s="15"/>
    </row>
    <row r="1473" ht="22.5" customHeight="1">
      <c r="A1473" s="167"/>
      <c r="B1473" s="144"/>
      <c r="C1473" s="15"/>
      <c r="D1473" s="15"/>
      <c r="E1473" s="146"/>
      <c r="F1473" s="15"/>
      <c r="G1473" s="15"/>
      <c r="H1473" s="15"/>
      <c r="I1473" s="15"/>
      <c r="J1473" s="15"/>
      <c r="K1473" s="15"/>
    </row>
    <row r="1474" ht="22.5" customHeight="1">
      <c r="A1474" s="167"/>
      <c r="B1474" s="144"/>
      <c r="C1474" s="15"/>
      <c r="D1474" s="15"/>
      <c r="E1474" s="146"/>
      <c r="F1474" s="15"/>
      <c r="G1474" s="15"/>
      <c r="H1474" s="15"/>
      <c r="I1474" s="15"/>
      <c r="J1474" s="15"/>
      <c r="K1474" s="15"/>
    </row>
    <row r="1475" ht="22.5" customHeight="1">
      <c r="A1475" s="167"/>
      <c r="B1475" s="144"/>
      <c r="C1475" s="15"/>
      <c r="D1475" s="15"/>
      <c r="E1475" s="146"/>
      <c r="F1475" s="15"/>
      <c r="G1475" s="15"/>
      <c r="H1475" s="15"/>
      <c r="I1475" s="15"/>
      <c r="J1475" s="15"/>
      <c r="K1475" s="15"/>
    </row>
    <row r="1476" ht="22.5" customHeight="1">
      <c r="A1476" s="167"/>
      <c r="B1476" s="144"/>
      <c r="C1476" s="15"/>
      <c r="D1476" s="15"/>
      <c r="E1476" s="146"/>
      <c r="F1476" s="15"/>
      <c r="G1476" s="15"/>
      <c r="H1476" s="15"/>
      <c r="I1476" s="15"/>
      <c r="J1476" s="15"/>
      <c r="K1476" s="15"/>
    </row>
    <row r="1477" ht="22.5" customHeight="1">
      <c r="A1477" s="167"/>
      <c r="B1477" s="144"/>
      <c r="C1477" s="15"/>
      <c r="D1477" s="15"/>
      <c r="E1477" s="146"/>
      <c r="F1477" s="15"/>
      <c r="G1477" s="15"/>
      <c r="H1477" s="15"/>
      <c r="I1477" s="15"/>
      <c r="J1477" s="15"/>
      <c r="K1477" s="15"/>
    </row>
    <row r="1478" ht="22.5" customHeight="1">
      <c r="A1478" s="167"/>
      <c r="B1478" s="144"/>
      <c r="C1478" s="15"/>
      <c r="D1478" s="15"/>
      <c r="E1478" s="146"/>
      <c r="F1478" s="15"/>
      <c r="G1478" s="15"/>
      <c r="H1478" s="15"/>
      <c r="I1478" s="15"/>
      <c r="J1478" s="15"/>
      <c r="K1478" s="15"/>
    </row>
    <row r="1479" ht="22.5" customHeight="1">
      <c r="A1479" s="167"/>
      <c r="B1479" s="144"/>
      <c r="C1479" s="15"/>
      <c r="D1479" s="15"/>
      <c r="E1479" s="146"/>
      <c r="F1479" s="15"/>
      <c r="G1479" s="15"/>
      <c r="H1479" s="15"/>
      <c r="I1479" s="15"/>
      <c r="J1479" s="15"/>
      <c r="K1479" s="15"/>
    </row>
    <row r="1480" ht="22.5" customHeight="1">
      <c r="A1480" s="167"/>
      <c r="B1480" s="144"/>
      <c r="C1480" s="15"/>
      <c r="D1480" s="15"/>
      <c r="E1480" s="146"/>
      <c r="F1480" s="15"/>
      <c r="G1480" s="15"/>
      <c r="H1480" s="15"/>
      <c r="I1480" s="15"/>
      <c r="J1480" s="15"/>
      <c r="K1480" s="15"/>
    </row>
    <row r="1481" ht="22.5" customHeight="1">
      <c r="A1481" s="167"/>
      <c r="B1481" s="144"/>
      <c r="C1481" s="15"/>
      <c r="D1481" s="15"/>
      <c r="E1481" s="146"/>
      <c r="F1481" s="15"/>
      <c r="G1481" s="15"/>
      <c r="H1481" s="15"/>
      <c r="I1481" s="15"/>
      <c r="J1481" s="15"/>
      <c r="K1481" s="15"/>
    </row>
    <row r="1482" ht="22.5" customHeight="1">
      <c r="A1482" s="167"/>
      <c r="B1482" s="144"/>
      <c r="C1482" s="15"/>
      <c r="D1482" s="15"/>
      <c r="E1482" s="146"/>
      <c r="F1482" s="15"/>
      <c r="G1482" s="15"/>
      <c r="H1482" s="15"/>
      <c r="I1482" s="15"/>
      <c r="J1482" s="15"/>
      <c r="K1482" s="15"/>
    </row>
    <row r="1483" ht="22.5" customHeight="1">
      <c r="A1483" s="167"/>
      <c r="B1483" s="144"/>
      <c r="C1483" s="15"/>
      <c r="D1483" s="15"/>
      <c r="E1483" s="146"/>
      <c r="F1483" s="15"/>
      <c r="G1483" s="15"/>
      <c r="H1483" s="15"/>
      <c r="I1483" s="15"/>
      <c r="J1483" s="15"/>
      <c r="K1483" s="15"/>
    </row>
    <row r="1484" ht="22.5" customHeight="1">
      <c r="A1484" s="167"/>
      <c r="B1484" s="144"/>
      <c r="C1484" s="15"/>
      <c r="D1484" s="15"/>
      <c r="E1484" s="146"/>
      <c r="F1484" s="15"/>
      <c r="G1484" s="15"/>
      <c r="H1484" s="15"/>
      <c r="I1484" s="15"/>
      <c r="J1484" s="15"/>
      <c r="K1484" s="15"/>
    </row>
    <row r="1485" ht="22.5" customHeight="1">
      <c r="A1485" s="167"/>
      <c r="B1485" s="144"/>
      <c r="C1485" s="15"/>
      <c r="D1485" s="15"/>
      <c r="E1485" s="146"/>
      <c r="F1485" s="15"/>
      <c r="G1485" s="15"/>
      <c r="H1485" s="15"/>
      <c r="I1485" s="15"/>
      <c r="J1485" s="15"/>
      <c r="K1485" s="15"/>
    </row>
    <row r="1486" ht="22.5" customHeight="1">
      <c r="A1486" s="167"/>
      <c r="B1486" s="144"/>
      <c r="C1486" s="15"/>
      <c r="D1486" s="15"/>
      <c r="E1486" s="146"/>
      <c r="F1486" s="15"/>
      <c r="G1486" s="15"/>
      <c r="H1486" s="15"/>
      <c r="I1486" s="15"/>
      <c r="J1486" s="15"/>
      <c r="K1486" s="15"/>
    </row>
    <row r="1487" ht="22.5" customHeight="1">
      <c r="A1487" s="167"/>
      <c r="B1487" s="144"/>
      <c r="C1487" s="15"/>
      <c r="D1487" s="15"/>
      <c r="E1487" s="146"/>
      <c r="F1487" s="15"/>
      <c r="G1487" s="15"/>
      <c r="H1487" s="15"/>
      <c r="I1487" s="15"/>
      <c r="J1487" s="15"/>
      <c r="K1487" s="15"/>
    </row>
    <row r="1488" ht="22.5" customHeight="1">
      <c r="A1488" s="167"/>
      <c r="B1488" s="144"/>
      <c r="C1488" s="15"/>
      <c r="D1488" s="15"/>
      <c r="E1488" s="146"/>
      <c r="F1488" s="15"/>
      <c r="G1488" s="15"/>
      <c r="H1488" s="15"/>
      <c r="I1488" s="15"/>
      <c r="J1488" s="15"/>
      <c r="K1488" s="15"/>
    </row>
    <row r="1489" ht="22.5" customHeight="1">
      <c r="A1489" s="167"/>
      <c r="B1489" s="144"/>
      <c r="C1489" s="15"/>
      <c r="D1489" s="15"/>
      <c r="E1489" s="146"/>
      <c r="F1489" s="15"/>
      <c r="G1489" s="15"/>
      <c r="H1489" s="15"/>
      <c r="I1489" s="15"/>
      <c r="J1489" s="15"/>
      <c r="K1489" s="15"/>
    </row>
    <row r="1490" ht="22.5" customHeight="1">
      <c r="A1490" s="167"/>
      <c r="B1490" s="144"/>
      <c r="C1490" s="15"/>
      <c r="D1490" s="15"/>
      <c r="E1490" s="146"/>
      <c r="F1490" s="15"/>
      <c r="G1490" s="15"/>
      <c r="H1490" s="15"/>
      <c r="I1490" s="15"/>
      <c r="J1490" s="15"/>
      <c r="K1490" s="15"/>
    </row>
    <row r="1491" ht="22.5" customHeight="1">
      <c r="A1491" s="167"/>
      <c r="B1491" s="144"/>
      <c r="C1491" s="15"/>
      <c r="D1491" s="15"/>
      <c r="E1491" s="146"/>
      <c r="F1491" s="15"/>
      <c r="G1491" s="15"/>
      <c r="H1491" s="15"/>
      <c r="I1491" s="15"/>
      <c r="J1491" s="15"/>
      <c r="K1491" s="15"/>
    </row>
    <row r="1492" ht="22.5" customHeight="1">
      <c r="A1492" s="167"/>
      <c r="B1492" s="144"/>
      <c r="C1492" s="15"/>
      <c r="D1492" s="15"/>
      <c r="E1492" s="146"/>
      <c r="F1492" s="15"/>
      <c r="G1492" s="15"/>
      <c r="H1492" s="15"/>
      <c r="I1492" s="15"/>
      <c r="J1492" s="15"/>
      <c r="K1492" s="15"/>
    </row>
    <row r="1493" ht="22.5" customHeight="1">
      <c r="A1493" s="167"/>
      <c r="B1493" s="144"/>
      <c r="C1493" s="15"/>
      <c r="D1493" s="15"/>
      <c r="E1493" s="146"/>
      <c r="F1493" s="15"/>
      <c r="G1493" s="15"/>
      <c r="H1493" s="15"/>
      <c r="I1493" s="15"/>
      <c r="J1493" s="15"/>
      <c r="K1493" s="15"/>
    </row>
    <row r="1494" ht="22.5" customHeight="1">
      <c r="A1494" s="167"/>
      <c r="B1494" s="144"/>
      <c r="C1494" s="15"/>
      <c r="D1494" s="15"/>
      <c r="E1494" s="146"/>
      <c r="F1494" s="15"/>
      <c r="G1494" s="15"/>
      <c r="H1494" s="15"/>
      <c r="I1494" s="15"/>
      <c r="J1494" s="15"/>
      <c r="K1494" s="15"/>
    </row>
    <row r="1495" ht="22.5" customHeight="1">
      <c r="A1495" s="167"/>
      <c r="B1495" s="144"/>
      <c r="C1495" s="15"/>
      <c r="D1495" s="15"/>
      <c r="E1495" s="146"/>
      <c r="F1495" s="15"/>
      <c r="G1495" s="15"/>
      <c r="H1495" s="15"/>
      <c r="I1495" s="15"/>
      <c r="J1495" s="15"/>
      <c r="K1495" s="15"/>
    </row>
    <row r="1496" ht="22.5" customHeight="1">
      <c r="A1496" s="167"/>
      <c r="B1496" s="144"/>
      <c r="C1496" s="15"/>
      <c r="D1496" s="15"/>
      <c r="E1496" s="146"/>
      <c r="F1496" s="15"/>
      <c r="G1496" s="15"/>
      <c r="H1496" s="15"/>
      <c r="I1496" s="15"/>
      <c r="J1496" s="15"/>
      <c r="K1496" s="15"/>
    </row>
    <row r="1497" ht="22.5" customHeight="1">
      <c r="A1497" s="167"/>
      <c r="B1497" s="144"/>
      <c r="C1497" s="15"/>
      <c r="D1497" s="15"/>
      <c r="E1497" s="146"/>
      <c r="F1497" s="15"/>
      <c r="G1497" s="15"/>
      <c r="H1497" s="15"/>
      <c r="I1497" s="15"/>
      <c r="J1497" s="15"/>
      <c r="K1497" s="15"/>
    </row>
    <row r="1498" ht="22.5" customHeight="1">
      <c r="A1498" s="167"/>
      <c r="B1498" s="144"/>
      <c r="C1498" s="15"/>
      <c r="D1498" s="15"/>
      <c r="E1498" s="146"/>
      <c r="F1498" s="15"/>
      <c r="G1498" s="15"/>
      <c r="H1498" s="15"/>
      <c r="I1498" s="15"/>
      <c r="J1498" s="15"/>
      <c r="K1498" s="15"/>
    </row>
    <row r="1499" ht="22.5" customHeight="1">
      <c r="A1499" s="167"/>
      <c r="B1499" s="144"/>
      <c r="C1499" s="15"/>
      <c r="D1499" s="15"/>
      <c r="E1499" s="146"/>
      <c r="F1499" s="15"/>
      <c r="G1499" s="15"/>
      <c r="H1499" s="15"/>
      <c r="I1499" s="15"/>
      <c r="J1499" s="15"/>
      <c r="K1499" s="15"/>
    </row>
    <row r="1500" ht="22.5" customHeight="1">
      <c r="A1500" s="167"/>
      <c r="B1500" s="144"/>
      <c r="C1500" s="15"/>
      <c r="D1500" s="15"/>
      <c r="E1500" s="146"/>
      <c r="F1500" s="15"/>
      <c r="G1500" s="15"/>
      <c r="H1500" s="15"/>
      <c r="I1500" s="15"/>
      <c r="J1500" s="15"/>
      <c r="K1500" s="15"/>
    </row>
    <row r="1501" ht="22.5" customHeight="1">
      <c r="A1501" s="167"/>
      <c r="B1501" s="144"/>
      <c r="C1501" s="15"/>
      <c r="D1501" s="15"/>
      <c r="E1501" s="146"/>
      <c r="F1501" s="15"/>
      <c r="G1501" s="15"/>
      <c r="H1501" s="15"/>
      <c r="I1501" s="15"/>
      <c r="J1501" s="15"/>
      <c r="K1501" s="15"/>
    </row>
    <row r="1502" ht="22.5" customHeight="1">
      <c r="A1502" s="167"/>
      <c r="B1502" s="144"/>
      <c r="C1502" s="15"/>
      <c r="D1502" s="15"/>
      <c r="E1502" s="146"/>
      <c r="F1502" s="15"/>
      <c r="G1502" s="15"/>
      <c r="H1502" s="15"/>
      <c r="I1502" s="15"/>
      <c r="J1502" s="15"/>
      <c r="K1502" s="15"/>
    </row>
    <row r="1503" ht="22.5" customHeight="1">
      <c r="A1503" s="167"/>
      <c r="B1503" s="144"/>
      <c r="C1503" s="15"/>
      <c r="D1503" s="15"/>
      <c r="E1503" s="146"/>
      <c r="F1503" s="15"/>
      <c r="G1503" s="15"/>
      <c r="H1503" s="15"/>
      <c r="I1503" s="15"/>
      <c r="J1503" s="15"/>
      <c r="K1503" s="15"/>
    </row>
    <row r="1504" ht="22.5" customHeight="1">
      <c r="A1504" s="167"/>
      <c r="B1504" s="144"/>
      <c r="C1504" s="15"/>
      <c r="D1504" s="15"/>
      <c r="E1504" s="146"/>
      <c r="F1504" s="15"/>
      <c r="G1504" s="15"/>
      <c r="H1504" s="15"/>
      <c r="I1504" s="15"/>
      <c r="J1504" s="15"/>
      <c r="K1504" s="15"/>
    </row>
    <row r="1505" ht="22.5" customHeight="1">
      <c r="A1505" s="167"/>
      <c r="B1505" s="144"/>
      <c r="C1505" s="15"/>
      <c r="D1505" s="15"/>
      <c r="E1505" s="146"/>
      <c r="F1505" s="15"/>
      <c r="G1505" s="15"/>
      <c r="H1505" s="15"/>
      <c r="I1505" s="15"/>
      <c r="J1505" s="15"/>
      <c r="K1505" s="15"/>
    </row>
    <row r="1506" ht="22.5" customHeight="1">
      <c r="A1506" s="167"/>
      <c r="B1506" s="144"/>
      <c r="C1506" s="15"/>
      <c r="D1506" s="15"/>
      <c r="E1506" s="146"/>
      <c r="F1506" s="15"/>
      <c r="G1506" s="15"/>
      <c r="H1506" s="15"/>
      <c r="I1506" s="15"/>
      <c r="J1506" s="15"/>
      <c r="K1506" s="15"/>
    </row>
    <row r="1507" ht="22.5" customHeight="1">
      <c r="A1507" s="167"/>
      <c r="B1507" s="144"/>
      <c r="C1507" s="15"/>
      <c r="D1507" s="15"/>
      <c r="E1507" s="146"/>
      <c r="F1507" s="15"/>
      <c r="G1507" s="15"/>
      <c r="H1507" s="15"/>
      <c r="I1507" s="15"/>
      <c r="J1507" s="15"/>
      <c r="K1507" s="15"/>
    </row>
    <row r="1508" ht="22.5" customHeight="1">
      <c r="A1508" s="167"/>
      <c r="B1508" s="144"/>
      <c r="C1508" s="15"/>
      <c r="D1508" s="15"/>
      <c r="E1508" s="146"/>
      <c r="F1508" s="15"/>
      <c r="G1508" s="15"/>
      <c r="H1508" s="15"/>
      <c r="I1508" s="15"/>
      <c r="J1508" s="15"/>
      <c r="K1508" s="15"/>
    </row>
    <row r="1509" ht="22.5" customHeight="1">
      <c r="A1509" s="167"/>
      <c r="B1509" s="144"/>
      <c r="C1509" s="15"/>
      <c r="D1509" s="15"/>
      <c r="E1509" s="146"/>
      <c r="F1509" s="15"/>
      <c r="G1509" s="15"/>
      <c r="H1509" s="15"/>
      <c r="I1509" s="15"/>
      <c r="J1509" s="15"/>
      <c r="K1509" s="15"/>
    </row>
    <row r="1510" ht="22.5" customHeight="1">
      <c r="A1510" s="167"/>
      <c r="B1510" s="144"/>
      <c r="C1510" s="15"/>
      <c r="D1510" s="15"/>
      <c r="E1510" s="146"/>
      <c r="F1510" s="15"/>
      <c r="G1510" s="15"/>
      <c r="H1510" s="15"/>
      <c r="I1510" s="15"/>
      <c r="J1510" s="15"/>
      <c r="K1510" s="15"/>
    </row>
    <row r="1511" ht="22.5" customHeight="1">
      <c r="A1511" s="167"/>
      <c r="B1511" s="144"/>
      <c r="C1511" s="15"/>
      <c r="D1511" s="15"/>
      <c r="E1511" s="146"/>
      <c r="F1511" s="15"/>
      <c r="G1511" s="15"/>
      <c r="H1511" s="15"/>
      <c r="I1511" s="15"/>
      <c r="J1511" s="15"/>
      <c r="K1511" s="15"/>
    </row>
    <row r="1512" ht="22.5" customHeight="1">
      <c r="A1512" s="167"/>
      <c r="B1512" s="144"/>
      <c r="C1512" s="15"/>
      <c r="D1512" s="15"/>
      <c r="E1512" s="146"/>
      <c r="F1512" s="15"/>
      <c r="G1512" s="15"/>
      <c r="H1512" s="15"/>
      <c r="I1512" s="15"/>
      <c r="J1512" s="15"/>
      <c r="K1512" s="15"/>
    </row>
    <row r="1513" ht="22.5" customHeight="1">
      <c r="A1513" s="167"/>
      <c r="B1513" s="144"/>
      <c r="C1513" s="15"/>
      <c r="D1513" s="15"/>
      <c r="E1513" s="146"/>
      <c r="F1513" s="15"/>
      <c r="G1513" s="15"/>
      <c r="H1513" s="15"/>
      <c r="I1513" s="15"/>
      <c r="J1513" s="15"/>
      <c r="K1513" s="15"/>
    </row>
    <row r="1514" ht="22.5" customHeight="1">
      <c r="A1514" s="167"/>
      <c r="B1514" s="144"/>
      <c r="C1514" s="15"/>
      <c r="D1514" s="15"/>
      <c r="E1514" s="146"/>
      <c r="F1514" s="15"/>
      <c r="G1514" s="15"/>
      <c r="H1514" s="15"/>
      <c r="I1514" s="15"/>
      <c r="J1514" s="15"/>
      <c r="K1514" s="15"/>
    </row>
    <row r="1515" ht="22.5" customHeight="1">
      <c r="A1515" s="167"/>
      <c r="B1515" s="144"/>
      <c r="C1515" s="15"/>
      <c r="D1515" s="15"/>
      <c r="E1515" s="146"/>
      <c r="F1515" s="15"/>
      <c r="G1515" s="15"/>
      <c r="H1515" s="15"/>
      <c r="I1515" s="15"/>
      <c r="J1515" s="15"/>
      <c r="K1515" s="15"/>
    </row>
    <row r="1516" ht="22.5" customHeight="1">
      <c r="A1516" s="167"/>
      <c r="B1516" s="144"/>
      <c r="C1516" s="15"/>
      <c r="D1516" s="15"/>
      <c r="E1516" s="146"/>
      <c r="F1516" s="15"/>
      <c r="G1516" s="15"/>
      <c r="H1516" s="15"/>
      <c r="I1516" s="15"/>
      <c r="J1516" s="15"/>
      <c r="K1516" s="15"/>
    </row>
    <row r="1517" ht="22.5" customHeight="1">
      <c r="A1517" s="167"/>
      <c r="B1517" s="144"/>
      <c r="C1517" s="15"/>
      <c r="D1517" s="15"/>
      <c r="E1517" s="146"/>
      <c r="F1517" s="15"/>
      <c r="G1517" s="15"/>
      <c r="H1517" s="15"/>
      <c r="I1517" s="15"/>
      <c r="J1517" s="15"/>
      <c r="K1517" s="15"/>
    </row>
    <row r="1518" ht="22.5" customHeight="1">
      <c r="A1518" s="167"/>
      <c r="B1518" s="144"/>
      <c r="C1518" s="15"/>
      <c r="D1518" s="15"/>
      <c r="E1518" s="146"/>
      <c r="F1518" s="15"/>
      <c r="G1518" s="15"/>
      <c r="H1518" s="15"/>
      <c r="I1518" s="15"/>
      <c r="J1518" s="15"/>
      <c r="K1518" s="15"/>
    </row>
    <row r="1519" ht="22.5" customHeight="1">
      <c r="A1519" s="167"/>
      <c r="B1519" s="144"/>
      <c r="C1519" s="15"/>
      <c r="D1519" s="15"/>
      <c r="E1519" s="146"/>
      <c r="F1519" s="15"/>
      <c r="G1519" s="15"/>
      <c r="H1519" s="15"/>
      <c r="I1519" s="15"/>
      <c r="J1519" s="15"/>
      <c r="K1519" s="15"/>
    </row>
    <row r="1520" ht="22.5" customHeight="1">
      <c r="A1520" s="167"/>
      <c r="B1520" s="144"/>
      <c r="C1520" s="15"/>
      <c r="D1520" s="15"/>
      <c r="E1520" s="146"/>
      <c r="F1520" s="15"/>
      <c r="G1520" s="15"/>
      <c r="H1520" s="15"/>
      <c r="I1520" s="15"/>
      <c r="J1520" s="15"/>
      <c r="K1520" s="15"/>
    </row>
    <row r="1521" ht="22.5" customHeight="1">
      <c r="A1521" s="167"/>
      <c r="B1521" s="144"/>
      <c r="C1521" s="15"/>
      <c r="D1521" s="15"/>
      <c r="E1521" s="146"/>
      <c r="F1521" s="15"/>
      <c r="G1521" s="15"/>
      <c r="H1521" s="15"/>
      <c r="I1521" s="15"/>
      <c r="J1521" s="15"/>
      <c r="K1521" s="15"/>
    </row>
    <row r="1522" ht="22.5" customHeight="1">
      <c r="A1522" s="167"/>
      <c r="B1522" s="144"/>
      <c r="C1522" s="15"/>
      <c r="D1522" s="15"/>
      <c r="E1522" s="146"/>
      <c r="F1522" s="15"/>
      <c r="G1522" s="15"/>
      <c r="H1522" s="15"/>
      <c r="I1522" s="15"/>
      <c r="J1522" s="15"/>
      <c r="K1522" s="15"/>
    </row>
    <row r="1523" ht="22.5" customHeight="1">
      <c r="A1523" s="167"/>
      <c r="B1523" s="144"/>
      <c r="C1523" s="15"/>
      <c r="D1523" s="15"/>
      <c r="E1523" s="146"/>
      <c r="F1523" s="15"/>
      <c r="G1523" s="15"/>
      <c r="H1523" s="15"/>
      <c r="I1523" s="15"/>
      <c r="J1523" s="15"/>
      <c r="K1523" s="15"/>
    </row>
    <row r="1524" ht="22.5" customHeight="1">
      <c r="A1524" s="167"/>
      <c r="B1524" s="144"/>
      <c r="C1524" s="15"/>
      <c r="D1524" s="15"/>
      <c r="E1524" s="146"/>
      <c r="F1524" s="15"/>
      <c r="G1524" s="15"/>
      <c r="H1524" s="15"/>
      <c r="I1524" s="15"/>
      <c r="J1524" s="15"/>
      <c r="K1524" s="15"/>
    </row>
    <row r="1525" ht="22.5" customHeight="1">
      <c r="A1525" s="167"/>
      <c r="B1525" s="144"/>
      <c r="C1525" s="15"/>
      <c r="D1525" s="15"/>
      <c r="E1525" s="146"/>
      <c r="F1525" s="15"/>
      <c r="G1525" s="15"/>
      <c r="H1525" s="15"/>
      <c r="I1525" s="15"/>
      <c r="J1525" s="15"/>
      <c r="K1525" s="15"/>
    </row>
    <row r="1526" ht="22.5" customHeight="1">
      <c r="A1526" s="167"/>
      <c r="B1526" s="144"/>
      <c r="C1526" s="15"/>
      <c r="D1526" s="15"/>
      <c r="E1526" s="146"/>
      <c r="F1526" s="15"/>
      <c r="G1526" s="15"/>
      <c r="H1526" s="15"/>
      <c r="I1526" s="15"/>
      <c r="J1526" s="15"/>
      <c r="K1526" s="15"/>
    </row>
    <row r="1527" ht="22.5" customHeight="1">
      <c r="A1527" s="167"/>
      <c r="B1527" s="144"/>
      <c r="C1527" s="15"/>
      <c r="D1527" s="15"/>
      <c r="E1527" s="146"/>
      <c r="F1527" s="15"/>
      <c r="G1527" s="15"/>
      <c r="H1527" s="15"/>
      <c r="I1527" s="15"/>
      <c r="J1527" s="15"/>
      <c r="K1527" s="15"/>
    </row>
    <row r="1528" ht="22.5" customHeight="1">
      <c r="A1528" s="167"/>
      <c r="B1528" s="144"/>
      <c r="C1528" s="15"/>
      <c r="D1528" s="15"/>
      <c r="E1528" s="146"/>
      <c r="F1528" s="15"/>
      <c r="G1528" s="15"/>
      <c r="H1528" s="15"/>
      <c r="I1528" s="15"/>
      <c r="J1528" s="15"/>
      <c r="K1528" s="15"/>
    </row>
    <row r="1529" ht="22.5" customHeight="1">
      <c r="A1529" s="167"/>
      <c r="B1529" s="144"/>
      <c r="C1529" s="15"/>
      <c r="D1529" s="15"/>
      <c r="E1529" s="146"/>
      <c r="F1529" s="15"/>
      <c r="G1529" s="15"/>
      <c r="H1529" s="15"/>
      <c r="I1529" s="15"/>
      <c r="J1529" s="15"/>
      <c r="K1529" s="15"/>
    </row>
    <row r="1530" ht="22.5" customHeight="1">
      <c r="A1530" s="167"/>
      <c r="B1530" s="144"/>
      <c r="C1530" s="15"/>
      <c r="D1530" s="15"/>
      <c r="E1530" s="146"/>
      <c r="F1530" s="15"/>
      <c r="G1530" s="15"/>
      <c r="H1530" s="15"/>
      <c r="I1530" s="15"/>
      <c r="J1530" s="15"/>
      <c r="K1530" s="15"/>
    </row>
    <row r="1531" ht="22.5" customHeight="1">
      <c r="A1531" s="167"/>
      <c r="B1531" s="144"/>
      <c r="C1531" s="15"/>
      <c r="D1531" s="15"/>
      <c r="E1531" s="146"/>
      <c r="F1531" s="15"/>
      <c r="G1531" s="15"/>
      <c r="H1531" s="15"/>
      <c r="I1531" s="15"/>
      <c r="J1531" s="15"/>
      <c r="K1531" s="15"/>
    </row>
    <row r="1532" ht="22.5" customHeight="1">
      <c r="A1532" s="167"/>
      <c r="B1532" s="144"/>
      <c r="C1532" s="15"/>
      <c r="D1532" s="15"/>
      <c r="E1532" s="146"/>
      <c r="F1532" s="15"/>
      <c r="G1532" s="15"/>
      <c r="H1532" s="15"/>
      <c r="I1532" s="15"/>
      <c r="J1532" s="15"/>
      <c r="K1532" s="15"/>
    </row>
    <row r="1533" ht="22.5" customHeight="1">
      <c r="A1533" s="167"/>
      <c r="B1533" s="144"/>
      <c r="C1533" s="15"/>
      <c r="D1533" s="15"/>
      <c r="E1533" s="146"/>
      <c r="F1533" s="15"/>
      <c r="G1533" s="15"/>
      <c r="H1533" s="15"/>
      <c r="I1533" s="15"/>
      <c r="J1533" s="15"/>
      <c r="K1533" s="15"/>
    </row>
    <row r="1534" ht="22.5" customHeight="1">
      <c r="A1534" s="167"/>
      <c r="B1534" s="144"/>
      <c r="C1534" s="15"/>
      <c r="D1534" s="15"/>
      <c r="E1534" s="146"/>
      <c r="F1534" s="15"/>
      <c r="G1534" s="15"/>
      <c r="H1534" s="15"/>
      <c r="I1534" s="15"/>
      <c r="J1534" s="15"/>
      <c r="K1534" s="15"/>
    </row>
    <row r="1535" ht="22.5" customHeight="1">
      <c r="A1535" s="167"/>
      <c r="B1535" s="144"/>
      <c r="C1535" s="15"/>
      <c r="D1535" s="15"/>
      <c r="E1535" s="146"/>
      <c r="F1535" s="15"/>
      <c r="G1535" s="15"/>
      <c r="H1535" s="15"/>
      <c r="I1535" s="15"/>
      <c r="J1535" s="15"/>
      <c r="K1535" s="15"/>
    </row>
    <row r="1536" ht="22.5" customHeight="1">
      <c r="A1536" s="167"/>
      <c r="B1536" s="144"/>
      <c r="C1536" s="15"/>
      <c r="D1536" s="15"/>
      <c r="E1536" s="146"/>
      <c r="F1536" s="15"/>
      <c r="G1536" s="15"/>
      <c r="H1536" s="15"/>
      <c r="I1536" s="15"/>
      <c r="J1536" s="15"/>
      <c r="K1536" s="15"/>
    </row>
    <row r="1537" ht="22.5" customHeight="1">
      <c r="A1537" s="167"/>
      <c r="B1537" s="144"/>
      <c r="C1537" s="15"/>
      <c r="D1537" s="15"/>
      <c r="E1537" s="146"/>
      <c r="F1537" s="15"/>
      <c r="G1537" s="15"/>
      <c r="H1537" s="15"/>
      <c r="I1537" s="15"/>
      <c r="J1537" s="15"/>
      <c r="K1537" s="15"/>
    </row>
    <row r="1538" ht="22.5" customHeight="1">
      <c r="A1538" s="167"/>
      <c r="B1538" s="144"/>
      <c r="C1538" s="15"/>
      <c r="D1538" s="15"/>
      <c r="E1538" s="146"/>
      <c r="F1538" s="15"/>
      <c r="G1538" s="15"/>
      <c r="H1538" s="15"/>
      <c r="I1538" s="15"/>
      <c r="J1538" s="15"/>
      <c r="K1538" s="15"/>
    </row>
    <row r="1539" ht="22.5" customHeight="1">
      <c r="A1539" s="167"/>
      <c r="B1539" s="144"/>
      <c r="C1539" s="15"/>
      <c r="D1539" s="15"/>
      <c r="E1539" s="146"/>
      <c r="F1539" s="15"/>
      <c r="G1539" s="15"/>
      <c r="H1539" s="15"/>
      <c r="I1539" s="15"/>
      <c r="J1539" s="15"/>
      <c r="K1539" s="15"/>
    </row>
    <row r="1540" ht="22.5" customHeight="1">
      <c r="A1540" s="167"/>
      <c r="B1540" s="144"/>
      <c r="C1540" s="15"/>
      <c r="D1540" s="15"/>
      <c r="E1540" s="146"/>
      <c r="F1540" s="15"/>
      <c r="G1540" s="15"/>
      <c r="H1540" s="15"/>
      <c r="I1540" s="15"/>
      <c r="J1540" s="15"/>
      <c r="K1540" s="15"/>
    </row>
    <row r="1541" ht="22.5" customHeight="1">
      <c r="A1541" s="167"/>
      <c r="B1541" s="144"/>
      <c r="C1541" s="15"/>
      <c r="D1541" s="15"/>
      <c r="E1541" s="146"/>
      <c r="F1541" s="15"/>
      <c r="G1541" s="15"/>
      <c r="H1541" s="15"/>
      <c r="I1541" s="15"/>
      <c r="J1541" s="15"/>
      <c r="K1541" s="15"/>
    </row>
    <row r="1542" ht="22.5" customHeight="1">
      <c r="A1542" s="167"/>
      <c r="B1542" s="144"/>
      <c r="C1542" s="15"/>
      <c r="D1542" s="15"/>
      <c r="E1542" s="146"/>
      <c r="F1542" s="15"/>
      <c r="G1542" s="15"/>
      <c r="H1542" s="15"/>
      <c r="I1542" s="15"/>
      <c r="J1542" s="15"/>
      <c r="K1542" s="15"/>
    </row>
    <row r="1543" ht="22.5" customHeight="1">
      <c r="A1543" s="167"/>
      <c r="B1543" s="144"/>
      <c r="C1543" s="15"/>
      <c r="D1543" s="15"/>
      <c r="E1543" s="146"/>
      <c r="F1543" s="15"/>
      <c r="G1543" s="15"/>
      <c r="H1543" s="15"/>
      <c r="I1543" s="15"/>
      <c r="J1543" s="15"/>
      <c r="K1543" s="15"/>
    </row>
    <row r="1544" ht="22.5" customHeight="1">
      <c r="A1544" s="167"/>
      <c r="B1544" s="144"/>
      <c r="C1544" s="15"/>
      <c r="D1544" s="15"/>
      <c r="E1544" s="146"/>
      <c r="F1544" s="15"/>
      <c r="G1544" s="15"/>
      <c r="H1544" s="15"/>
      <c r="I1544" s="15"/>
      <c r="J1544" s="15"/>
      <c r="K1544" s="15"/>
    </row>
    <row r="1545" ht="22.5" customHeight="1">
      <c r="A1545" s="167"/>
      <c r="B1545" s="144"/>
      <c r="C1545" s="15"/>
      <c r="D1545" s="15"/>
      <c r="E1545" s="146"/>
      <c r="F1545" s="15"/>
      <c r="G1545" s="15"/>
      <c r="H1545" s="15"/>
      <c r="I1545" s="15"/>
      <c r="J1545" s="15"/>
      <c r="K1545" s="15"/>
    </row>
    <row r="1546" ht="22.5" customHeight="1">
      <c r="A1546" s="167"/>
      <c r="B1546" s="144"/>
      <c r="C1546" s="15"/>
      <c r="D1546" s="15"/>
      <c r="E1546" s="146"/>
      <c r="F1546" s="15"/>
      <c r="G1546" s="15"/>
      <c r="H1546" s="15"/>
      <c r="I1546" s="15"/>
      <c r="J1546" s="15"/>
      <c r="K1546" s="15"/>
    </row>
    <row r="1547" ht="22.5" customHeight="1">
      <c r="A1547" s="167"/>
      <c r="B1547" s="144"/>
      <c r="C1547" s="15"/>
      <c r="D1547" s="15"/>
      <c r="E1547" s="146"/>
      <c r="F1547" s="15"/>
      <c r="G1547" s="15"/>
      <c r="H1547" s="15"/>
      <c r="I1547" s="15"/>
      <c r="J1547" s="15"/>
      <c r="K1547" s="15"/>
    </row>
    <row r="1548" ht="22.5" customHeight="1">
      <c r="A1548" s="167"/>
      <c r="B1548" s="144"/>
      <c r="C1548" s="15"/>
      <c r="D1548" s="15"/>
      <c r="E1548" s="146"/>
      <c r="F1548" s="15"/>
      <c r="G1548" s="15"/>
      <c r="H1548" s="15"/>
      <c r="I1548" s="15"/>
      <c r="J1548" s="15"/>
      <c r="K1548" s="15"/>
    </row>
    <row r="1549" ht="22.5" customHeight="1">
      <c r="A1549" s="167"/>
      <c r="B1549" s="144"/>
      <c r="C1549" s="15"/>
      <c r="D1549" s="15"/>
      <c r="E1549" s="146"/>
      <c r="F1549" s="15"/>
      <c r="G1549" s="15"/>
      <c r="H1549" s="15"/>
      <c r="I1549" s="15"/>
      <c r="J1549" s="15"/>
      <c r="K1549" s="15"/>
    </row>
    <row r="1550" ht="22.5" customHeight="1">
      <c r="A1550" s="167"/>
      <c r="B1550" s="144"/>
      <c r="C1550" s="15"/>
      <c r="D1550" s="15"/>
      <c r="E1550" s="146"/>
      <c r="F1550" s="15"/>
      <c r="G1550" s="15"/>
      <c r="H1550" s="15"/>
      <c r="I1550" s="15"/>
      <c r="J1550" s="15"/>
      <c r="K1550" s="15"/>
    </row>
    <row r="1551" ht="22.5" customHeight="1">
      <c r="A1551" s="167"/>
      <c r="B1551" s="144"/>
      <c r="C1551" s="15"/>
      <c r="D1551" s="15"/>
      <c r="E1551" s="146"/>
      <c r="F1551" s="15"/>
      <c r="G1551" s="15"/>
      <c r="H1551" s="15"/>
      <c r="I1551" s="15"/>
      <c r="J1551" s="15"/>
      <c r="K1551" s="15"/>
    </row>
    <row r="1552" ht="22.5" customHeight="1">
      <c r="A1552" s="167"/>
      <c r="B1552" s="144"/>
      <c r="C1552" s="15"/>
      <c r="D1552" s="15"/>
      <c r="E1552" s="146"/>
      <c r="F1552" s="15"/>
      <c r="G1552" s="15"/>
      <c r="H1552" s="15"/>
      <c r="I1552" s="15"/>
      <c r="J1552" s="15"/>
      <c r="K1552" s="15"/>
    </row>
    <row r="1553" ht="22.5" customHeight="1">
      <c r="A1553" s="167"/>
      <c r="B1553" s="144"/>
      <c r="C1553" s="15"/>
      <c r="D1553" s="15"/>
      <c r="E1553" s="146"/>
      <c r="F1553" s="15"/>
      <c r="G1553" s="15"/>
      <c r="H1553" s="15"/>
      <c r="I1553" s="15"/>
      <c r="J1553" s="15"/>
      <c r="K1553" s="15"/>
    </row>
    <row r="1554" ht="22.5" customHeight="1">
      <c r="A1554" s="167"/>
      <c r="B1554" s="144"/>
      <c r="C1554" s="15"/>
      <c r="D1554" s="15"/>
      <c r="E1554" s="146"/>
      <c r="F1554" s="15"/>
      <c r="G1554" s="15"/>
      <c r="H1554" s="15"/>
      <c r="I1554" s="15"/>
      <c r="J1554" s="15"/>
      <c r="K1554" s="15"/>
    </row>
    <row r="1555" ht="22.5" customHeight="1">
      <c r="A1555" s="167"/>
      <c r="B1555" s="144"/>
      <c r="C1555" s="15"/>
      <c r="D1555" s="15"/>
      <c r="E1555" s="146"/>
      <c r="F1555" s="15"/>
      <c r="G1555" s="15"/>
      <c r="H1555" s="15"/>
      <c r="I1555" s="15"/>
      <c r="J1555" s="15"/>
      <c r="K1555" s="15"/>
    </row>
    <row r="1556" ht="22.5" customHeight="1">
      <c r="A1556" s="167"/>
      <c r="B1556" s="144"/>
      <c r="C1556" s="15"/>
      <c r="D1556" s="15"/>
      <c r="E1556" s="146"/>
      <c r="F1556" s="15"/>
      <c r="G1556" s="15"/>
      <c r="H1556" s="15"/>
      <c r="I1556" s="15"/>
      <c r="J1556" s="15"/>
      <c r="K1556" s="15"/>
    </row>
    <row r="1557" ht="22.5" customHeight="1">
      <c r="A1557" s="167"/>
      <c r="B1557" s="144"/>
      <c r="C1557" s="15"/>
      <c r="D1557" s="15"/>
      <c r="E1557" s="146"/>
      <c r="F1557" s="15"/>
      <c r="G1557" s="15"/>
      <c r="H1557" s="15"/>
      <c r="I1557" s="15"/>
      <c r="J1557" s="15"/>
      <c r="K1557" s="15"/>
    </row>
    <row r="1558" ht="22.5" customHeight="1">
      <c r="A1558" s="167"/>
      <c r="B1558" s="144"/>
      <c r="C1558" s="15"/>
      <c r="D1558" s="15"/>
      <c r="E1558" s="146"/>
      <c r="F1558" s="15"/>
      <c r="G1558" s="15"/>
      <c r="H1558" s="15"/>
      <c r="I1558" s="15"/>
      <c r="J1558" s="15"/>
      <c r="K1558" s="15"/>
    </row>
    <row r="1559" ht="22.5" customHeight="1">
      <c r="A1559" s="167"/>
      <c r="B1559" s="144"/>
      <c r="C1559" s="15"/>
      <c r="D1559" s="15"/>
      <c r="E1559" s="146"/>
      <c r="F1559" s="15"/>
      <c r="G1559" s="15"/>
      <c r="H1559" s="15"/>
      <c r="I1559" s="15"/>
      <c r="J1559" s="15"/>
      <c r="K1559" s="15"/>
    </row>
    <row r="1560" ht="22.5" customHeight="1">
      <c r="A1560" s="167"/>
      <c r="B1560" s="144"/>
      <c r="C1560" s="15"/>
      <c r="D1560" s="15"/>
      <c r="E1560" s="146"/>
      <c r="F1560" s="15"/>
      <c r="G1560" s="15"/>
      <c r="H1560" s="15"/>
      <c r="I1560" s="15"/>
      <c r="J1560" s="15"/>
      <c r="K1560" s="15"/>
    </row>
    <row r="1561" ht="22.5" customHeight="1">
      <c r="A1561" s="167"/>
      <c r="B1561" s="144"/>
      <c r="C1561" s="15"/>
      <c r="D1561" s="15"/>
      <c r="E1561" s="146"/>
      <c r="F1561" s="15"/>
      <c r="G1561" s="15"/>
      <c r="H1561" s="15"/>
      <c r="I1561" s="15"/>
      <c r="J1561" s="15"/>
      <c r="K1561" s="15"/>
    </row>
    <row r="1562" ht="22.5" customHeight="1">
      <c r="A1562" s="167"/>
      <c r="B1562" s="144"/>
      <c r="C1562" s="15"/>
      <c r="D1562" s="15"/>
      <c r="E1562" s="146"/>
      <c r="F1562" s="15"/>
      <c r="G1562" s="15"/>
      <c r="H1562" s="15"/>
      <c r="I1562" s="15"/>
      <c r="J1562" s="15"/>
      <c r="K1562" s="15"/>
    </row>
    <row r="1563" ht="22.5" customHeight="1">
      <c r="A1563" s="167"/>
      <c r="B1563" s="144"/>
      <c r="C1563" s="15"/>
      <c r="D1563" s="15"/>
      <c r="E1563" s="146"/>
      <c r="F1563" s="15"/>
      <c r="G1563" s="15"/>
      <c r="H1563" s="15"/>
      <c r="I1563" s="15"/>
      <c r="J1563" s="15"/>
      <c r="K1563" s="15"/>
    </row>
    <row r="1564" ht="22.5" customHeight="1">
      <c r="A1564" s="167"/>
      <c r="B1564" s="144"/>
      <c r="C1564" s="15"/>
      <c r="D1564" s="15"/>
      <c r="E1564" s="146"/>
      <c r="F1564" s="15"/>
      <c r="G1564" s="15"/>
      <c r="H1564" s="15"/>
      <c r="I1564" s="15"/>
      <c r="J1564" s="15"/>
      <c r="K1564" s="15"/>
    </row>
    <row r="1565" ht="22.5" customHeight="1">
      <c r="A1565" s="167"/>
      <c r="B1565" s="144"/>
      <c r="C1565" s="15"/>
      <c r="D1565" s="15"/>
      <c r="E1565" s="146"/>
      <c r="F1565" s="15"/>
      <c r="G1565" s="15"/>
      <c r="H1565" s="15"/>
      <c r="I1565" s="15"/>
      <c r="J1565" s="15"/>
      <c r="K1565" s="15"/>
    </row>
    <row r="1566" ht="22.5" customHeight="1">
      <c r="A1566" s="167"/>
      <c r="B1566" s="144"/>
      <c r="C1566" s="15"/>
      <c r="D1566" s="15"/>
      <c r="E1566" s="146"/>
      <c r="F1566" s="15"/>
      <c r="G1566" s="15"/>
      <c r="H1566" s="15"/>
      <c r="I1566" s="15"/>
      <c r="J1566" s="15"/>
      <c r="K1566" s="15"/>
    </row>
    <row r="1567" ht="22.5" customHeight="1">
      <c r="A1567" s="167"/>
      <c r="B1567" s="144"/>
      <c r="C1567" s="15"/>
      <c r="D1567" s="15"/>
      <c r="E1567" s="146"/>
      <c r="F1567" s="15"/>
      <c r="G1567" s="15"/>
      <c r="H1567" s="15"/>
      <c r="I1567" s="15"/>
      <c r="J1567" s="15"/>
      <c r="K1567" s="15"/>
    </row>
    <row r="1568" ht="22.5" customHeight="1">
      <c r="A1568" s="167"/>
      <c r="B1568" s="144"/>
      <c r="C1568" s="15"/>
      <c r="D1568" s="15"/>
      <c r="E1568" s="146"/>
      <c r="F1568" s="15"/>
      <c r="G1568" s="15"/>
      <c r="H1568" s="15"/>
      <c r="I1568" s="15"/>
      <c r="J1568" s="15"/>
      <c r="K1568" s="15"/>
    </row>
    <row r="1569" ht="22.5" customHeight="1">
      <c r="A1569" s="167"/>
      <c r="B1569" s="144"/>
      <c r="C1569" s="15"/>
      <c r="D1569" s="15"/>
      <c r="E1569" s="146"/>
      <c r="F1569" s="15"/>
      <c r="G1569" s="15"/>
      <c r="H1569" s="15"/>
      <c r="I1569" s="15"/>
      <c r="J1569" s="15"/>
      <c r="K1569" s="15"/>
    </row>
    <row r="1570" ht="22.5" customHeight="1">
      <c r="A1570" s="167"/>
      <c r="B1570" s="144"/>
      <c r="C1570" s="15"/>
      <c r="D1570" s="15"/>
      <c r="E1570" s="146"/>
      <c r="F1570" s="15"/>
      <c r="G1570" s="15"/>
      <c r="H1570" s="15"/>
      <c r="I1570" s="15"/>
      <c r="J1570" s="15"/>
      <c r="K1570" s="15"/>
    </row>
    <row r="1571" ht="22.5" customHeight="1">
      <c r="A1571" s="167"/>
      <c r="B1571" s="144"/>
      <c r="C1571" s="15"/>
      <c r="D1571" s="15"/>
      <c r="E1571" s="146"/>
      <c r="F1571" s="15"/>
      <c r="G1571" s="15"/>
      <c r="H1571" s="15"/>
      <c r="I1571" s="15"/>
      <c r="J1571" s="15"/>
      <c r="K1571" s="15"/>
    </row>
    <row r="1572" ht="22.5" customHeight="1">
      <c r="A1572" s="167"/>
      <c r="B1572" s="144"/>
      <c r="C1572" s="15"/>
      <c r="D1572" s="15"/>
      <c r="E1572" s="146"/>
      <c r="F1572" s="15"/>
      <c r="G1572" s="15"/>
      <c r="H1572" s="15"/>
      <c r="I1572" s="15"/>
      <c r="J1572" s="15"/>
      <c r="K1572" s="15"/>
    </row>
    <row r="1573" ht="22.5" customHeight="1">
      <c r="A1573" s="167"/>
      <c r="B1573" s="144"/>
      <c r="C1573" s="15"/>
      <c r="D1573" s="15"/>
      <c r="E1573" s="146"/>
      <c r="F1573" s="15"/>
      <c r="G1573" s="15"/>
      <c r="H1573" s="15"/>
      <c r="I1573" s="15"/>
      <c r="J1573" s="15"/>
      <c r="K1573" s="15"/>
    </row>
    <row r="1574" ht="22.5" customHeight="1">
      <c r="A1574" s="167"/>
      <c r="B1574" s="144"/>
      <c r="C1574" s="15"/>
      <c r="D1574" s="15"/>
      <c r="E1574" s="146"/>
      <c r="F1574" s="15"/>
      <c r="G1574" s="15"/>
      <c r="H1574" s="15"/>
      <c r="I1574" s="15"/>
      <c r="J1574" s="15"/>
      <c r="K1574" s="15"/>
    </row>
    <row r="1575" ht="22.5" customHeight="1">
      <c r="A1575" s="167"/>
      <c r="B1575" s="144"/>
      <c r="C1575" s="15"/>
      <c r="D1575" s="15"/>
      <c r="E1575" s="146"/>
      <c r="F1575" s="15"/>
      <c r="G1575" s="15"/>
      <c r="H1575" s="15"/>
      <c r="I1575" s="15"/>
      <c r="J1575" s="15"/>
      <c r="K1575" s="15"/>
    </row>
    <row r="1576" ht="22.5" customHeight="1">
      <c r="A1576" s="167"/>
      <c r="B1576" s="144"/>
      <c r="C1576" s="15"/>
      <c r="D1576" s="15"/>
      <c r="E1576" s="146"/>
      <c r="F1576" s="15"/>
      <c r="G1576" s="15"/>
      <c r="H1576" s="15"/>
      <c r="I1576" s="15"/>
      <c r="J1576" s="15"/>
      <c r="K1576" s="15"/>
    </row>
    <row r="1577" ht="22.5" customHeight="1">
      <c r="A1577" s="167"/>
      <c r="B1577" s="144"/>
      <c r="C1577" s="15"/>
      <c r="D1577" s="15"/>
      <c r="E1577" s="146"/>
      <c r="F1577" s="15"/>
      <c r="G1577" s="15"/>
      <c r="H1577" s="15"/>
      <c r="I1577" s="15"/>
      <c r="J1577" s="15"/>
      <c r="K1577" s="15"/>
    </row>
    <row r="1578" ht="22.5" customHeight="1">
      <c r="A1578" s="167"/>
      <c r="B1578" s="144"/>
      <c r="C1578" s="15"/>
      <c r="D1578" s="15"/>
      <c r="E1578" s="146"/>
      <c r="F1578" s="15"/>
      <c r="G1578" s="15"/>
      <c r="H1578" s="15"/>
      <c r="I1578" s="15"/>
      <c r="J1578" s="15"/>
      <c r="K1578" s="15"/>
    </row>
    <row r="1579" ht="22.5" customHeight="1">
      <c r="A1579" s="167"/>
      <c r="B1579" s="144"/>
      <c r="C1579" s="15"/>
      <c r="D1579" s="15"/>
      <c r="E1579" s="146"/>
      <c r="F1579" s="15"/>
      <c r="G1579" s="15"/>
      <c r="H1579" s="15"/>
      <c r="I1579" s="15"/>
      <c r="J1579" s="15"/>
      <c r="K1579" s="15"/>
    </row>
    <row r="1580" ht="22.5" customHeight="1">
      <c r="A1580" s="167"/>
      <c r="B1580" s="144"/>
      <c r="C1580" s="15"/>
      <c r="D1580" s="15"/>
      <c r="E1580" s="146"/>
      <c r="F1580" s="15"/>
      <c r="G1580" s="15"/>
      <c r="H1580" s="15"/>
      <c r="I1580" s="15"/>
      <c r="J1580" s="15"/>
      <c r="K1580" s="15"/>
    </row>
    <row r="1581" ht="22.5" customHeight="1">
      <c r="A1581" s="167"/>
      <c r="B1581" s="144"/>
      <c r="C1581" s="15"/>
      <c r="D1581" s="15"/>
      <c r="E1581" s="146"/>
      <c r="F1581" s="15"/>
      <c r="G1581" s="15"/>
      <c r="H1581" s="15"/>
      <c r="I1581" s="15"/>
      <c r="J1581" s="15"/>
      <c r="K1581" s="15"/>
    </row>
    <row r="1582" ht="22.5" customHeight="1">
      <c r="A1582" s="167"/>
      <c r="B1582" s="144"/>
      <c r="C1582" s="15"/>
      <c r="D1582" s="15"/>
      <c r="E1582" s="146"/>
      <c r="F1582" s="15"/>
      <c r="G1582" s="15"/>
      <c r="H1582" s="15"/>
      <c r="I1582" s="15"/>
      <c r="J1582" s="15"/>
      <c r="K1582" s="15"/>
    </row>
    <row r="1583" ht="22.5" customHeight="1">
      <c r="A1583" s="167"/>
      <c r="B1583" s="144"/>
      <c r="C1583" s="15"/>
      <c r="D1583" s="15"/>
      <c r="E1583" s="146"/>
      <c r="F1583" s="15"/>
      <c r="G1583" s="15"/>
      <c r="H1583" s="15"/>
      <c r="I1583" s="15"/>
      <c r="J1583" s="15"/>
      <c r="K1583" s="15"/>
    </row>
    <row r="1584" ht="22.5" customHeight="1">
      <c r="A1584" s="167"/>
      <c r="B1584" s="144"/>
      <c r="C1584" s="15"/>
      <c r="D1584" s="15"/>
      <c r="E1584" s="146"/>
      <c r="F1584" s="15"/>
      <c r="G1584" s="15"/>
      <c r="H1584" s="15"/>
      <c r="I1584" s="15"/>
      <c r="J1584" s="15"/>
      <c r="K1584" s="15"/>
    </row>
    <row r="1585" ht="22.5" customHeight="1">
      <c r="A1585" s="167"/>
      <c r="B1585" s="144"/>
      <c r="C1585" s="15"/>
      <c r="D1585" s="15"/>
      <c r="E1585" s="146"/>
      <c r="F1585" s="15"/>
      <c r="G1585" s="15"/>
      <c r="H1585" s="15"/>
      <c r="I1585" s="15"/>
      <c r="J1585" s="15"/>
      <c r="K1585" s="15"/>
    </row>
    <row r="1586" ht="22.5" customHeight="1">
      <c r="A1586" s="167"/>
      <c r="B1586" s="144"/>
      <c r="C1586" s="15"/>
      <c r="D1586" s="15"/>
      <c r="E1586" s="146"/>
      <c r="F1586" s="15"/>
      <c r="G1586" s="15"/>
      <c r="H1586" s="15"/>
      <c r="I1586" s="15"/>
      <c r="J1586" s="15"/>
      <c r="K1586" s="15"/>
    </row>
    <row r="1587" ht="22.5" customHeight="1">
      <c r="A1587" s="167"/>
      <c r="B1587" s="144"/>
      <c r="C1587" s="15"/>
      <c r="D1587" s="15"/>
      <c r="E1587" s="146"/>
      <c r="F1587" s="15"/>
      <c r="G1587" s="15"/>
      <c r="H1587" s="15"/>
      <c r="I1587" s="15"/>
      <c r="J1587" s="15"/>
      <c r="K1587" s="15"/>
    </row>
    <row r="1588" ht="22.5" customHeight="1">
      <c r="A1588" s="167"/>
      <c r="B1588" s="144"/>
      <c r="C1588" s="15"/>
      <c r="D1588" s="15"/>
      <c r="E1588" s="146"/>
      <c r="F1588" s="15"/>
      <c r="G1588" s="15"/>
      <c r="H1588" s="15"/>
      <c r="I1588" s="15"/>
      <c r="J1588" s="15"/>
      <c r="K1588" s="15"/>
    </row>
    <row r="1589" ht="22.5" customHeight="1">
      <c r="A1589" s="167"/>
      <c r="B1589" s="144"/>
      <c r="C1589" s="15"/>
      <c r="D1589" s="15"/>
      <c r="E1589" s="146"/>
      <c r="F1589" s="15"/>
      <c r="G1589" s="15"/>
      <c r="H1589" s="15"/>
      <c r="I1589" s="15"/>
      <c r="J1589" s="15"/>
      <c r="K1589" s="15"/>
    </row>
    <row r="1590" ht="22.5" customHeight="1">
      <c r="A1590" s="167"/>
      <c r="B1590" s="144"/>
      <c r="C1590" s="15"/>
      <c r="D1590" s="15"/>
      <c r="E1590" s="146"/>
      <c r="F1590" s="15"/>
      <c r="G1590" s="15"/>
      <c r="H1590" s="15"/>
      <c r="I1590" s="15"/>
      <c r="J1590" s="15"/>
      <c r="K1590" s="15"/>
    </row>
    <row r="1591" ht="22.5" customHeight="1">
      <c r="A1591" s="167"/>
      <c r="B1591" s="144"/>
      <c r="C1591" s="15"/>
      <c r="D1591" s="15"/>
      <c r="E1591" s="146"/>
      <c r="F1591" s="15"/>
      <c r="G1591" s="15"/>
      <c r="H1591" s="15"/>
      <c r="I1591" s="15"/>
      <c r="J1591" s="15"/>
      <c r="K1591" s="15"/>
    </row>
    <row r="1592" ht="22.5" customHeight="1">
      <c r="A1592" s="167"/>
      <c r="B1592" s="144"/>
      <c r="C1592" s="15"/>
      <c r="D1592" s="15"/>
      <c r="E1592" s="146"/>
      <c r="F1592" s="15"/>
      <c r="G1592" s="15"/>
      <c r="H1592" s="15"/>
      <c r="I1592" s="15"/>
      <c r="J1592" s="15"/>
      <c r="K1592" s="15"/>
    </row>
    <row r="1593" ht="22.5" customHeight="1">
      <c r="A1593" s="167"/>
      <c r="B1593" s="144"/>
      <c r="C1593" s="15"/>
      <c r="D1593" s="15"/>
      <c r="E1593" s="146"/>
      <c r="F1593" s="15"/>
      <c r="G1593" s="15"/>
      <c r="H1593" s="15"/>
      <c r="I1593" s="15"/>
      <c r="J1593" s="15"/>
      <c r="K1593" s="15"/>
    </row>
    <row r="1594" ht="22.5" customHeight="1">
      <c r="A1594" s="167"/>
      <c r="B1594" s="144"/>
      <c r="C1594" s="15"/>
      <c r="D1594" s="15"/>
      <c r="E1594" s="146"/>
      <c r="F1594" s="15"/>
      <c r="G1594" s="15"/>
      <c r="H1594" s="15"/>
      <c r="I1594" s="15"/>
      <c r="J1594" s="15"/>
      <c r="K1594" s="15"/>
    </row>
    <row r="1595" ht="22.5" customHeight="1">
      <c r="A1595" s="167"/>
      <c r="B1595" s="144"/>
      <c r="C1595" s="15"/>
      <c r="D1595" s="15"/>
      <c r="E1595" s="146"/>
      <c r="F1595" s="15"/>
      <c r="G1595" s="15"/>
      <c r="H1595" s="15"/>
      <c r="I1595" s="15"/>
      <c r="J1595" s="15"/>
      <c r="K1595" s="15"/>
    </row>
    <row r="1596" ht="22.5" customHeight="1">
      <c r="A1596" s="167"/>
      <c r="B1596" s="144"/>
      <c r="C1596" s="15"/>
      <c r="D1596" s="15"/>
      <c r="E1596" s="146"/>
      <c r="F1596" s="15"/>
      <c r="G1596" s="15"/>
      <c r="H1596" s="15"/>
      <c r="I1596" s="15"/>
      <c r="J1596" s="15"/>
      <c r="K1596" s="15"/>
    </row>
    <row r="1597" ht="22.5" customHeight="1">
      <c r="A1597" s="167"/>
      <c r="B1597" s="144"/>
      <c r="C1597" s="15"/>
      <c r="D1597" s="15"/>
      <c r="E1597" s="146"/>
      <c r="F1597" s="15"/>
      <c r="G1597" s="15"/>
      <c r="H1597" s="15"/>
      <c r="I1597" s="15"/>
      <c r="J1597" s="15"/>
      <c r="K1597" s="15"/>
    </row>
    <row r="1598" ht="22.5" customHeight="1">
      <c r="A1598" s="167"/>
      <c r="B1598" s="144"/>
      <c r="C1598" s="15"/>
      <c r="D1598" s="15"/>
      <c r="E1598" s="146"/>
      <c r="F1598" s="15"/>
      <c r="G1598" s="15"/>
      <c r="H1598" s="15"/>
      <c r="I1598" s="15"/>
      <c r="J1598" s="15"/>
      <c r="K1598" s="15"/>
    </row>
    <row r="1599" ht="22.5" customHeight="1">
      <c r="A1599" s="167"/>
      <c r="B1599" s="144"/>
      <c r="C1599" s="15"/>
      <c r="D1599" s="15"/>
      <c r="E1599" s="146"/>
      <c r="F1599" s="15"/>
      <c r="G1599" s="15"/>
      <c r="H1599" s="15"/>
      <c r="I1599" s="15"/>
      <c r="J1599" s="15"/>
      <c r="K1599" s="15"/>
    </row>
    <row r="1600" ht="22.5" customHeight="1">
      <c r="A1600" s="167"/>
      <c r="B1600" s="144"/>
      <c r="C1600" s="15"/>
      <c r="D1600" s="15"/>
      <c r="E1600" s="146"/>
      <c r="F1600" s="15"/>
      <c r="G1600" s="15"/>
      <c r="H1600" s="15"/>
      <c r="I1600" s="15"/>
      <c r="J1600" s="15"/>
      <c r="K1600" s="15"/>
    </row>
    <row r="1601" ht="22.5" customHeight="1">
      <c r="A1601" s="167"/>
      <c r="B1601" s="144"/>
      <c r="C1601" s="15"/>
      <c r="D1601" s="15"/>
      <c r="E1601" s="146"/>
      <c r="F1601" s="15"/>
      <c r="G1601" s="15"/>
      <c r="H1601" s="15"/>
      <c r="I1601" s="15"/>
      <c r="J1601" s="15"/>
      <c r="K1601" s="15"/>
    </row>
    <row r="1602" ht="22.5" customHeight="1">
      <c r="A1602" s="167"/>
      <c r="B1602" s="144"/>
      <c r="C1602" s="15"/>
      <c r="D1602" s="15"/>
      <c r="E1602" s="146"/>
      <c r="F1602" s="15"/>
      <c r="G1602" s="15"/>
      <c r="H1602" s="15"/>
      <c r="I1602" s="15"/>
      <c r="J1602" s="15"/>
      <c r="K1602" s="15"/>
    </row>
    <row r="1603" ht="22.5" customHeight="1">
      <c r="A1603" s="167"/>
      <c r="B1603" s="144"/>
      <c r="C1603" s="15"/>
      <c r="D1603" s="15"/>
      <c r="E1603" s="146"/>
      <c r="F1603" s="15"/>
      <c r="G1603" s="15"/>
      <c r="H1603" s="15"/>
      <c r="I1603" s="15"/>
      <c r="J1603" s="15"/>
      <c r="K1603" s="15"/>
    </row>
    <row r="1604" ht="22.5" customHeight="1">
      <c r="A1604" s="167"/>
      <c r="B1604" s="144"/>
      <c r="C1604" s="15"/>
      <c r="D1604" s="15"/>
      <c r="E1604" s="146"/>
      <c r="F1604" s="15"/>
      <c r="G1604" s="15"/>
      <c r="H1604" s="15"/>
      <c r="I1604" s="15"/>
      <c r="J1604" s="15"/>
      <c r="K1604" s="15"/>
    </row>
    <row r="1605" ht="22.5" customHeight="1">
      <c r="A1605" s="167"/>
      <c r="B1605" s="144"/>
      <c r="C1605" s="15"/>
      <c r="D1605" s="15"/>
      <c r="E1605" s="146"/>
      <c r="F1605" s="15"/>
      <c r="G1605" s="15"/>
      <c r="H1605" s="15"/>
      <c r="I1605" s="15"/>
      <c r="J1605" s="15"/>
      <c r="K1605" s="15"/>
    </row>
    <row r="1606" ht="22.5" customHeight="1">
      <c r="A1606" s="167"/>
      <c r="B1606" s="144"/>
      <c r="C1606" s="15"/>
      <c r="D1606" s="15"/>
      <c r="E1606" s="146"/>
      <c r="F1606" s="15"/>
      <c r="G1606" s="15"/>
      <c r="H1606" s="15"/>
      <c r="I1606" s="15"/>
      <c r="J1606" s="15"/>
      <c r="K1606" s="15"/>
    </row>
    <row r="1607" ht="22.5" customHeight="1">
      <c r="A1607" s="167"/>
      <c r="B1607" s="144"/>
      <c r="C1607" s="15"/>
      <c r="D1607" s="15"/>
      <c r="E1607" s="146"/>
      <c r="F1607" s="15"/>
      <c r="G1607" s="15"/>
      <c r="H1607" s="15"/>
      <c r="I1607" s="15"/>
      <c r="J1607" s="15"/>
      <c r="K1607" s="15"/>
    </row>
    <row r="1608" ht="22.5" customHeight="1">
      <c r="A1608" s="167"/>
      <c r="B1608" s="144"/>
      <c r="C1608" s="15"/>
      <c r="D1608" s="15"/>
      <c r="E1608" s="146"/>
      <c r="F1608" s="15"/>
      <c r="G1608" s="15"/>
      <c r="H1608" s="15"/>
      <c r="I1608" s="15"/>
      <c r="J1608" s="15"/>
      <c r="K1608" s="15"/>
    </row>
    <row r="1609" ht="22.5" customHeight="1">
      <c r="A1609" s="167"/>
      <c r="B1609" s="144"/>
      <c r="C1609" s="15"/>
      <c r="D1609" s="15"/>
      <c r="E1609" s="146"/>
      <c r="F1609" s="15"/>
      <c r="G1609" s="15"/>
      <c r="H1609" s="15"/>
      <c r="I1609" s="15"/>
      <c r="J1609" s="15"/>
      <c r="K1609" s="15"/>
    </row>
    <row r="1610" ht="22.5" customHeight="1">
      <c r="A1610" s="167"/>
      <c r="B1610" s="144"/>
      <c r="C1610" s="15"/>
      <c r="D1610" s="15"/>
      <c r="E1610" s="146"/>
      <c r="F1610" s="15"/>
      <c r="G1610" s="15"/>
      <c r="H1610" s="15"/>
      <c r="I1610" s="15"/>
      <c r="J1610" s="15"/>
      <c r="K1610" s="15"/>
    </row>
    <row r="1611" ht="22.5" customHeight="1">
      <c r="A1611" s="167"/>
      <c r="B1611" s="144"/>
      <c r="C1611" s="15"/>
      <c r="D1611" s="15"/>
      <c r="E1611" s="146"/>
      <c r="F1611" s="15"/>
      <c r="G1611" s="15"/>
      <c r="H1611" s="15"/>
      <c r="I1611" s="15"/>
      <c r="J1611" s="15"/>
      <c r="K1611" s="15"/>
    </row>
    <row r="1612" ht="22.5" customHeight="1">
      <c r="A1612" s="167"/>
      <c r="B1612" s="144"/>
      <c r="C1612" s="15"/>
      <c r="D1612" s="15"/>
      <c r="E1612" s="146"/>
      <c r="F1612" s="15"/>
      <c r="G1612" s="15"/>
      <c r="H1612" s="15"/>
      <c r="I1612" s="15"/>
      <c r="J1612" s="15"/>
      <c r="K1612" s="15"/>
    </row>
    <row r="1613" ht="22.5" customHeight="1">
      <c r="A1613" s="167"/>
      <c r="B1613" s="144"/>
      <c r="C1613" s="15"/>
      <c r="D1613" s="15"/>
      <c r="E1613" s="146"/>
      <c r="F1613" s="15"/>
      <c r="G1613" s="15"/>
      <c r="H1613" s="15"/>
      <c r="I1613" s="15"/>
      <c r="J1613" s="15"/>
      <c r="K1613" s="15"/>
    </row>
    <row r="1614" ht="22.5" customHeight="1">
      <c r="A1614" s="167"/>
      <c r="B1614" s="144"/>
      <c r="C1614" s="15"/>
      <c r="D1614" s="15"/>
      <c r="E1614" s="146"/>
      <c r="F1614" s="15"/>
      <c r="G1614" s="15"/>
      <c r="H1614" s="15"/>
      <c r="I1614" s="15"/>
      <c r="J1614" s="15"/>
      <c r="K1614" s="15"/>
    </row>
    <row r="1615" ht="22.5" customHeight="1">
      <c r="A1615" s="167"/>
      <c r="B1615" s="144"/>
      <c r="C1615" s="15"/>
      <c r="D1615" s="15"/>
      <c r="E1615" s="146"/>
      <c r="F1615" s="15"/>
      <c r="G1615" s="15"/>
      <c r="H1615" s="15"/>
      <c r="I1615" s="15"/>
      <c r="J1615" s="15"/>
      <c r="K1615" s="15"/>
    </row>
    <row r="1616" ht="22.5" customHeight="1">
      <c r="A1616" s="167"/>
      <c r="B1616" s="144"/>
      <c r="C1616" s="15"/>
      <c r="D1616" s="15"/>
      <c r="E1616" s="146"/>
      <c r="F1616" s="15"/>
      <c r="G1616" s="15"/>
      <c r="H1616" s="15"/>
      <c r="I1616" s="15"/>
      <c r="J1616" s="15"/>
      <c r="K1616" s="15"/>
    </row>
    <row r="1617" ht="22.5" customHeight="1">
      <c r="A1617" s="167"/>
      <c r="B1617" s="144"/>
      <c r="C1617" s="15"/>
      <c r="D1617" s="15"/>
      <c r="E1617" s="146"/>
      <c r="F1617" s="15"/>
      <c r="G1617" s="15"/>
      <c r="H1617" s="15"/>
      <c r="I1617" s="15"/>
      <c r="J1617" s="15"/>
      <c r="K1617" s="15"/>
    </row>
    <row r="1618" ht="22.5" customHeight="1">
      <c r="A1618" s="167"/>
      <c r="B1618" s="144"/>
      <c r="C1618" s="15"/>
      <c r="D1618" s="15"/>
      <c r="E1618" s="146"/>
      <c r="F1618" s="15"/>
      <c r="G1618" s="15"/>
      <c r="H1618" s="15"/>
      <c r="I1618" s="15"/>
      <c r="J1618" s="15"/>
      <c r="K1618" s="15"/>
    </row>
    <row r="1619" ht="22.5" customHeight="1">
      <c r="A1619" s="167"/>
      <c r="B1619" s="144"/>
      <c r="C1619" s="15"/>
      <c r="D1619" s="15"/>
      <c r="E1619" s="146"/>
      <c r="F1619" s="15"/>
      <c r="G1619" s="15"/>
      <c r="H1619" s="15"/>
      <c r="I1619" s="15"/>
      <c r="J1619" s="15"/>
      <c r="K1619" s="15"/>
    </row>
    <row r="1620" ht="22.5" customHeight="1">
      <c r="A1620" s="167"/>
      <c r="B1620" s="144"/>
      <c r="C1620" s="15"/>
      <c r="D1620" s="15"/>
      <c r="E1620" s="146"/>
      <c r="F1620" s="15"/>
      <c r="G1620" s="15"/>
      <c r="H1620" s="15"/>
      <c r="I1620" s="15"/>
      <c r="J1620" s="15"/>
      <c r="K1620" s="15"/>
    </row>
    <row r="1621" ht="22.5" customHeight="1">
      <c r="A1621" s="167"/>
      <c r="B1621" s="144"/>
      <c r="C1621" s="15"/>
      <c r="D1621" s="15"/>
      <c r="E1621" s="146"/>
      <c r="F1621" s="15"/>
      <c r="G1621" s="15"/>
      <c r="H1621" s="15"/>
      <c r="I1621" s="15"/>
      <c r="J1621" s="15"/>
      <c r="K1621" s="15"/>
    </row>
    <row r="1622" ht="22.5" customHeight="1">
      <c r="A1622" s="167"/>
      <c r="B1622" s="144"/>
      <c r="C1622" s="15"/>
      <c r="D1622" s="15"/>
      <c r="E1622" s="146"/>
      <c r="F1622" s="15"/>
      <c r="G1622" s="15"/>
      <c r="H1622" s="15"/>
      <c r="I1622" s="15"/>
      <c r="J1622" s="15"/>
      <c r="K1622" s="15"/>
    </row>
    <row r="1623" ht="22.5" customHeight="1">
      <c r="A1623" s="167"/>
      <c r="B1623" s="144"/>
      <c r="C1623" s="15"/>
      <c r="D1623" s="15"/>
      <c r="E1623" s="146"/>
      <c r="F1623" s="15"/>
      <c r="G1623" s="15"/>
      <c r="H1623" s="15"/>
      <c r="I1623" s="15"/>
      <c r="J1623" s="15"/>
      <c r="K1623" s="15"/>
    </row>
    <row r="1624" ht="22.5" customHeight="1">
      <c r="A1624" s="167"/>
      <c r="B1624" s="144"/>
      <c r="C1624" s="15"/>
      <c r="D1624" s="15"/>
      <c r="E1624" s="146"/>
      <c r="F1624" s="15"/>
      <c r="G1624" s="15"/>
      <c r="H1624" s="15"/>
      <c r="I1624" s="15"/>
      <c r="J1624" s="15"/>
      <c r="K1624" s="15"/>
    </row>
    <row r="1625" ht="22.5" customHeight="1">
      <c r="A1625" s="167"/>
      <c r="B1625" s="144"/>
      <c r="C1625" s="15"/>
      <c r="D1625" s="15"/>
      <c r="E1625" s="146"/>
      <c r="F1625" s="15"/>
      <c r="G1625" s="15"/>
      <c r="H1625" s="15"/>
      <c r="I1625" s="15"/>
      <c r="J1625" s="15"/>
      <c r="K1625" s="15"/>
    </row>
    <row r="1626" ht="22.5" customHeight="1">
      <c r="A1626" s="167"/>
      <c r="B1626" s="144"/>
      <c r="C1626" s="15"/>
      <c r="D1626" s="15"/>
      <c r="E1626" s="146"/>
      <c r="F1626" s="15"/>
      <c r="G1626" s="15"/>
      <c r="H1626" s="15"/>
      <c r="I1626" s="15"/>
      <c r="J1626" s="15"/>
      <c r="K1626" s="15"/>
    </row>
    <row r="1627" ht="22.5" customHeight="1">
      <c r="A1627" s="167"/>
      <c r="B1627" s="144"/>
      <c r="C1627" s="15"/>
      <c r="D1627" s="15"/>
      <c r="E1627" s="146"/>
      <c r="F1627" s="15"/>
      <c r="G1627" s="15"/>
      <c r="H1627" s="15"/>
      <c r="I1627" s="15"/>
      <c r="J1627" s="15"/>
      <c r="K1627" s="15"/>
    </row>
    <row r="1628" ht="22.5" customHeight="1">
      <c r="A1628" s="167"/>
      <c r="B1628" s="144"/>
      <c r="C1628" s="15"/>
      <c r="D1628" s="15"/>
      <c r="E1628" s="146"/>
      <c r="F1628" s="15"/>
      <c r="G1628" s="15"/>
      <c r="H1628" s="15"/>
      <c r="I1628" s="15"/>
      <c r="J1628" s="15"/>
      <c r="K1628" s="15"/>
    </row>
    <row r="1629" ht="22.5" customHeight="1">
      <c r="A1629" s="167"/>
      <c r="B1629" s="144"/>
      <c r="C1629" s="15"/>
      <c r="D1629" s="15"/>
      <c r="E1629" s="146"/>
      <c r="F1629" s="15"/>
      <c r="G1629" s="15"/>
      <c r="H1629" s="15"/>
      <c r="I1629" s="15"/>
      <c r="J1629" s="15"/>
      <c r="K1629" s="15"/>
    </row>
    <row r="1630" ht="22.5" customHeight="1">
      <c r="A1630" s="167"/>
      <c r="B1630" s="144"/>
      <c r="C1630" s="15"/>
      <c r="D1630" s="15"/>
      <c r="E1630" s="146"/>
      <c r="F1630" s="15"/>
      <c r="G1630" s="15"/>
      <c r="H1630" s="15"/>
      <c r="I1630" s="15"/>
      <c r="J1630" s="15"/>
      <c r="K1630" s="15"/>
    </row>
    <row r="1631" ht="22.5" customHeight="1">
      <c r="A1631" s="167"/>
      <c r="B1631" s="144"/>
      <c r="C1631" s="15"/>
      <c r="D1631" s="15"/>
      <c r="E1631" s="146"/>
      <c r="F1631" s="15"/>
      <c r="G1631" s="15"/>
      <c r="H1631" s="15"/>
      <c r="I1631" s="15"/>
      <c r="J1631" s="15"/>
      <c r="K1631" s="15"/>
    </row>
    <row r="1632" ht="22.5" customHeight="1">
      <c r="A1632" s="167"/>
      <c r="B1632" s="144"/>
      <c r="C1632" s="15"/>
      <c r="D1632" s="15"/>
      <c r="E1632" s="146"/>
      <c r="F1632" s="15"/>
      <c r="G1632" s="15"/>
      <c r="H1632" s="15"/>
      <c r="I1632" s="15"/>
      <c r="J1632" s="15"/>
      <c r="K1632" s="15"/>
    </row>
    <row r="1633" ht="22.5" customHeight="1">
      <c r="A1633" s="167"/>
      <c r="B1633" s="144"/>
      <c r="C1633" s="15"/>
      <c r="D1633" s="15"/>
      <c r="E1633" s="146"/>
      <c r="F1633" s="15"/>
      <c r="G1633" s="15"/>
      <c r="H1633" s="15"/>
      <c r="I1633" s="15"/>
      <c r="J1633" s="15"/>
      <c r="K1633" s="15"/>
    </row>
    <row r="1634" ht="22.5" customHeight="1">
      <c r="A1634" s="167"/>
      <c r="B1634" s="144"/>
      <c r="C1634" s="15"/>
      <c r="D1634" s="15"/>
      <c r="E1634" s="146"/>
      <c r="F1634" s="15"/>
      <c r="G1634" s="15"/>
      <c r="H1634" s="15"/>
      <c r="I1634" s="15"/>
      <c r="J1634" s="15"/>
      <c r="K1634" s="15"/>
    </row>
    <row r="1635" ht="22.5" customHeight="1">
      <c r="A1635" s="167"/>
      <c r="B1635" s="144"/>
      <c r="C1635" s="15"/>
      <c r="D1635" s="15"/>
      <c r="E1635" s="146"/>
      <c r="F1635" s="15"/>
      <c r="G1635" s="15"/>
      <c r="H1635" s="15"/>
      <c r="I1635" s="15"/>
      <c r="J1635" s="15"/>
      <c r="K1635" s="15"/>
    </row>
    <row r="1636" ht="22.5" customHeight="1">
      <c r="A1636" s="167"/>
      <c r="B1636" s="144"/>
      <c r="C1636" s="15"/>
      <c r="D1636" s="15"/>
      <c r="E1636" s="146"/>
      <c r="F1636" s="15"/>
      <c r="G1636" s="15"/>
      <c r="H1636" s="15"/>
      <c r="I1636" s="15"/>
      <c r="J1636" s="15"/>
      <c r="K1636" s="15"/>
    </row>
    <row r="1637" ht="22.5" customHeight="1">
      <c r="A1637" s="167"/>
      <c r="B1637" s="144"/>
      <c r="C1637" s="15"/>
      <c r="D1637" s="15"/>
      <c r="E1637" s="146"/>
      <c r="F1637" s="15"/>
      <c r="G1637" s="15"/>
      <c r="H1637" s="15"/>
      <c r="I1637" s="15"/>
      <c r="J1637" s="15"/>
      <c r="K1637" s="15"/>
    </row>
    <row r="1638" ht="22.5" customHeight="1">
      <c r="A1638" s="167"/>
      <c r="B1638" s="144"/>
      <c r="C1638" s="15"/>
      <c r="D1638" s="15"/>
      <c r="E1638" s="146"/>
      <c r="F1638" s="15"/>
      <c r="G1638" s="15"/>
      <c r="H1638" s="15"/>
      <c r="I1638" s="15"/>
      <c r="J1638" s="15"/>
      <c r="K1638" s="15"/>
    </row>
    <row r="1639" ht="22.5" customHeight="1">
      <c r="A1639" s="167"/>
      <c r="B1639" s="144"/>
      <c r="C1639" s="15"/>
      <c r="D1639" s="15"/>
      <c r="E1639" s="146"/>
      <c r="F1639" s="15"/>
      <c r="G1639" s="15"/>
      <c r="H1639" s="15"/>
      <c r="I1639" s="15"/>
      <c r="J1639" s="15"/>
      <c r="K1639" s="15"/>
    </row>
    <row r="1640" ht="22.5" customHeight="1">
      <c r="A1640" s="167"/>
      <c r="B1640" s="144"/>
      <c r="C1640" s="15"/>
      <c r="D1640" s="15"/>
      <c r="E1640" s="146"/>
      <c r="F1640" s="15"/>
      <c r="G1640" s="15"/>
      <c r="H1640" s="15"/>
      <c r="I1640" s="15"/>
      <c r="J1640" s="15"/>
      <c r="K1640" s="15"/>
    </row>
    <row r="1641" ht="22.5" customHeight="1">
      <c r="A1641" s="167"/>
      <c r="B1641" s="144"/>
      <c r="C1641" s="15"/>
      <c r="D1641" s="15"/>
      <c r="E1641" s="146"/>
      <c r="F1641" s="15"/>
      <c r="G1641" s="15"/>
      <c r="H1641" s="15"/>
      <c r="I1641" s="15"/>
      <c r="J1641" s="15"/>
      <c r="K1641" s="15"/>
    </row>
    <row r="1642" ht="22.5" customHeight="1">
      <c r="A1642" s="167"/>
      <c r="B1642" s="144"/>
      <c r="C1642" s="15"/>
      <c r="D1642" s="15"/>
      <c r="E1642" s="146"/>
      <c r="F1642" s="15"/>
      <c r="G1642" s="15"/>
      <c r="H1642" s="15"/>
      <c r="I1642" s="15"/>
      <c r="J1642" s="15"/>
      <c r="K1642" s="15"/>
    </row>
    <row r="1643" ht="22.5" customHeight="1">
      <c r="A1643" s="167"/>
      <c r="B1643" s="144"/>
      <c r="C1643" s="15"/>
      <c r="D1643" s="15"/>
      <c r="E1643" s="146"/>
      <c r="F1643" s="15"/>
      <c r="G1643" s="15"/>
      <c r="H1643" s="15"/>
      <c r="I1643" s="15"/>
      <c r="J1643" s="15"/>
      <c r="K1643" s="15"/>
    </row>
    <row r="1644" ht="22.5" customHeight="1">
      <c r="A1644" s="167"/>
      <c r="B1644" s="144"/>
      <c r="C1644" s="15"/>
      <c r="D1644" s="15"/>
      <c r="E1644" s="146"/>
      <c r="F1644" s="15"/>
      <c r="G1644" s="15"/>
      <c r="H1644" s="15"/>
      <c r="I1644" s="15"/>
      <c r="J1644" s="15"/>
      <c r="K1644" s="15"/>
    </row>
    <row r="1645" ht="22.5" customHeight="1">
      <c r="A1645" s="167"/>
      <c r="B1645" s="144"/>
      <c r="C1645" s="15"/>
      <c r="D1645" s="15"/>
      <c r="E1645" s="146"/>
      <c r="F1645" s="15"/>
      <c r="G1645" s="15"/>
      <c r="H1645" s="15"/>
      <c r="I1645" s="15"/>
      <c r="J1645" s="15"/>
      <c r="K1645" s="15"/>
    </row>
    <row r="1646" ht="22.5" customHeight="1">
      <c r="A1646" s="167"/>
      <c r="B1646" s="144"/>
      <c r="C1646" s="15"/>
      <c r="D1646" s="15"/>
      <c r="E1646" s="146"/>
      <c r="F1646" s="15"/>
      <c r="G1646" s="15"/>
      <c r="H1646" s="15"/>
      <c r="I1646" s="15"/>
      <c r="J1646" s="15"/>
      <c r="K1646" s="15"/>
    </row>
    <row r="1647" ht="22.5" customHeight="1">
      <c r="A1647" s="167"/>
      <c r="B1647" s="144"/>
      <c r="C1647" s="15"/>
      <c r="D1647" s="15"/>
      <c r="E1647" s="146"/>
      <c r="F1647" s="15"/>
      <c r="G1647" s="15"/>
      <c r="H1647" s="15"/>
      <c r="I1647" s="15"/>
      <c r="J1647" s="15"/>
      <c r="K1647" s="15"/>
    </row>
    <row r="1648" ht="22.5" customHeight="1">
      <c r="A1648" s="167"/>
      <c r="B1648" s="144"/>
      <c r="C1648" s="15"/>
      <c r="D1648" s="15"/>
      <c r="E1648" s="146"/>
      <c r="F1648" s="15"/>
      <c r="G1648" s="15"/>
      <c r="H1648" s="15"/>
      <c r="I1648" s="15"/>
      <c r="J1648" s="15"/>
      <c r="K1648" s="15"/>
    </row>
    <row r="1649" ht="22.5" customHeight="1">
      <c r="A1649" s="167"/>
      <c r="B1649" s="144"/>
      <c r="C1649" s="15"/>
      <c r="D1649" s="15"/>
      <c r="E1649" s="146"/>
      <c r="F1649" s="15"/>
      <c r="G1649" s="15"/>
      <c r="H1649" s="15"/>
      <c r="I1649" s="15"/>
      <c r="J1649" s="15"/>
      <c r="K1649" s="15"/>
    </row>
    <row r="1650" ht="22.5" customHeight="1">
      <c r="A1650" s="167"/>
      <c r="B1650" s="144"/>
      <c r="C1650" s="15"/>
      <c r="D1650" s="15"/>
      <c r="E1650" s="146"/>
      <c r="F1650" s="15"/>
      <c r="G1650" s="15"/>
      <c r="H1650" s="15"/>
      <c r="I1650" s="15"/>
      <c r="J1650" s="15"/>
      <c r="K1650" s="15"/>
    </row>
    <row r="1651" ht="22.5" customHeight="1">
      <c r="A1651" s="167"/>
      <c r="B1651" s="144"/>
      <c r="C1651" s="15"/>
      <c r="D1651" s="15"/>
      <c r="E1651" s="146"/>
      <c r="F1651" s="15"/>
      <c r="G1651" s="15"/>
      <c r="H1651" s="15"/>
      <c r="I1651" s="15"/>
      <c r="J1651" s="15"/>
      <c r="K1651" s="15"/>
    </row>
    <row r="1652" ht="22.5" customHeight="1">
      <c r="A1652" s="167"/>
      <c r="B1652" s="144"/>
      <c r="C1652" s="15"/>
      <c r="D1652" s="15"/>
      <c r="E1652" s="146"/>
      <c r="F1652" s="15"/>
      <c r="G1652" s="15"/>
      <c r="H1652" s="15"/>
      <c r="I1652" s="15"/>
      <c r="J1652" s="15"/>
      <c r="K1652" s="15"/>
    </row>
    <row r="1653" ht="22.5" customHeight="1">
      <c r="A1653" s="167"/>
      <c r="B1653" s="144"/>
      <c r="C1653" s="15"/>
      <c r="D1653" s="15"/>
      <c r="E1653" s="146"/>
      <c r="F1653" s="15"/>
      <c r="G1653" s="15"/>
      <c r="H1653" s="15"/>
      <c r="I1653" s="15"/>
      <c r="J1653" s="15"/>
      <c r="K1653" s="15"/>
    </row>
    <row r="1654" ht="22.5" customHeight="1">
      <c r="A1654" s="167"/>
      <c r="B1654" s="144"/>
      <c r="C1654" s="15"/>
      <c r="D1654" s="15"/>
      <c r="E1654" s="146"/>
      <c r="F1654" s="15"/>
      <c r="G1654" s="15"/>
      <c r="H1654" s="15"/>
      <c r="I1654" s="15"/>
      <c r="J1654" s="15"/>
      <c r="K1654" s="15"/>
    </row>
    <row r="1655" ht="22.5" customHeight="1">
      <c r="A1655" s="167"/>
      <c r="B1655" s="144"/>
      <c r="C1655" s="15"/>
      <c r="D1655" s="15"/>
      <c r="E1655" s="146"/>
      <c r="F1655" s="15"/>
      <c r="G1655" s="15"/>
      <c r="H1655" s="15"/>
      <c r="I1655" s="15"/>
      <c r="J1655" s="15"/>
      <c r="K1655" s="15"/>
    </row>
    <row r="1656" ht="22.5" customHeight="1">
      <c r="A1656" s="167"/>
      <c r="B1656" s="144"/>
      <c r="C1656" s="15"/>
      <c r="D1656" s="15"/>
      <c r="E1656" s="146"/>
      <c r="F1656" s="15"/>
      <c r="G1656" s="15"/>
      <c r="H1656" s="15"/>
      <c r="I1656" s="15"/>
      <c r="J1656" s="15"/>
      <c r="K1656" s="15"/>
    </row>
    <row r="1657" ht="22.5" customHeight="1">
      <c r="A1657" s="167"/>
      <c r="B1657" s="144"/>
      <c r="C1657" s="15"/>
      <c r="D1657" s="15"/>
      <c r="E1657" s="146"/>
      <c r="F1657" s="15"/>
      <c r="G1657" s="15"/>
      <c r="H1657" s="15"/>
      <c r="I1657" s="15"/>
      <c r="J1657" s="15"/>
      <c r="K1657" s="15"/>
    </row>
    <row r="1658" ht="22.5" customHeight="1">
      <c r="A1658" s="167"/>
      <c r="B1658" s="144"/>
      <c r="C1658" s="15"/>
      <c r="D1658" s="15"/>
      <c r="E1658" s="146"/>
      <c r="F1658" s="15"/>
      <c r="G1658" s="15"/>
      <c r="H1658" s="15"/>
      <c r="I1658" s="15"/>
      <c r="J1658" s="15"/>
      <c r="K1658" s="15"/>
    </row>
    <row r="1659" ht="22.5" customHeight="1">
      <c r="A1659" s="167"/>
      <c r="B1659" s="144"/>
      <c r="C1659" s="15"/>
      <c r="D1659" s="15"/>
      <c r="E1659" s="146"/>
      <c r="F1659" s="15"/>
      <c r="G1659" s="15"/>
      <c r="H1659" s="15"/>
      <c r="I1659" s="15"/>
      <c r="J1659" s="15"/>
      <c r="K1659" s="15"/>
    </row>
    <row r="1660" ht="22.5" customHeight="1">
      <c r="A1660" s="167"/>
      <c r="B1660" s="144"/>
      <c r="C1660" s="15"/>
      <c r="D1660" s="15"/>
      <c r="E1660" s="146"/>
      <c r="F1660" s="15"/>
      <c r="G1660" s="15"/>
      <c r="H1660" s="15"/>
      <c r="I1660" s="15"/>
      <c r="J1660" s="15"/>
      <c r="K1660" s="15"/>
    </row>
    <row r="1661" ht="22.5" customHeight="1">
      <c r="A1661" s="167"/>
      <c r="B1661" s="144"/>
      <c r="C1661" s="15"/>
      <c r="D1661" s="15"/>
      <c r="E1661" s="146"/>
      <c r="F1661" s="15"/>
      <c r="G1661" s="15"/>
      <c r="H1661" s="15"/>
      <c r="I1661" s="15"/>
      <c r="J1661" s="15"/>
      <c r="K1661" s="15"/>
    </row>
    <row r="1662" ht="22.5" customHeight="1">
      <c r="A1662" s="167"/>
      <c r="B1662" s="144"/>
      <c r="C1662" s="15"/>
      <c r="D1662" s="15"/>
      <c r="E1662" s="146"/>
      <c r="F1662" s="15"/>
      <c r="G1662" s="15"/>
      <c r="H1662" s="15"/>
      <c r="I1662" s="15"/>
      <c r="J1662" s="15"/>
      <c r="K1662" s="15"/>
    </row>
    <row r="1663" ht="22.5" customHeight="1">
      <c r="A1663" s="167"/>
      <c r="B1663" s="144"/>
      <c r="C1663" s="15"/>
      <c r="D1663" s="15"/>
      <c r="E1663" s="146"/>
      <c r="F1663" s="15"/>
      <c r="G1663" s="15"/>
      <c r="H1663" s="15"/>
      <c r="I1663" s="15"/>
      <c r="J1663" s="15"/>
      <c r="K1663" s="15"/>
    </row>
    <row r="1664" ht="22.5" customHeight="1">
      <c r="A1664" s="167"/>
      <c r="B1664" s="144"/>
      <c r="C1664" s="15"/>
      <c r="D1664" s="15"/>
      <c r="E1664" s="146"/>
      <c r="F1664" s="15"/>
      <c r="G1664" s="15"/>
      <c r="H1664" s="15"/>
      <c r="I1664" s="15"/>
      <c r="J1664" s="15"/>
      <c r="K1664" s="15"/>
    </row>
    <row r="1665" ht="22.5" customHeight="1">
      <c r="A1665" s="167"/>
      <c r="B1665" s="144"/>
      <c r="C1665" s="15"/>
      <c r="D1665" s="15"/>
      <c r="E1665" s="146"/>
      <c r="F1665" s="15"/>
      <c r="G1665" s="15"/>
      <c r="H1665" s="15"/>
      <c r="I1665" s="15"/>
      <c r="J1665" s="15"/>
      <c r="K1665" s="15"/>
    </row>
    <row r="1666" ht="22.5" customHeight="1">
      <c r="A1666" s="167"/>
      <c r="B1666" s="144"/>
      <c r="C1666" s="15"/>
      <c r="D1666" s="15"/>
      <c r="E1666" s="146"/>
      <c r="F1666" s="15"/>
      <c r="G1666" s="15"/>
      <c r="H1666" s="15"/>
      <c r="I1666" s="15"/>
      <c r="J1666" s="15"/>
      <c r="K1666" s="15"/>
    </row>
    <row r="1667" ht="22.5" customHeight="1">
      <c r="A1667" s="167"/>
      <c r="B1667" s="144"/>
      <c r="C1667" s="15"/>
      <c r="D1667" s="15"/>
      <c r="E1667" s="146"/>
      <c r="F1667" s="15"/>
      <c r="G1667" s="15"/>
      <c r="H1667" s="15"/>
      <c r="I1667" s="15"/>
      <c r="J1667" s="15"/>
      <c r="K1667" s="15"/>
    </row>
    <row r="1668" ht="22.5" customHeight="1">
      <c r="A1668" s="167"/>
      <c r="B1668" s="144"/>
      <c r="C1668" s="15"/>
      <c r="D1668" s="15"/>
      <c r="E1668" s="146"/>
      <c r="F1668" s="15"/>
      <c r="G1668" s="15"/>
      <c r="H1668" s="15"/>
      <c r="I1668" s="15"/>
      <c r="J1668" s="15"/>
      <c r="K1668" s="15"/>
    </row>
    <row r="1669" ht="22.5" customHeight="1">
      <c r="A1669" s="167"/>
      <c r="B1669" s="144"/>
      <c r="C1669" s="15"/>
      <c r="D1669" s="15"/>
      <c r="E1669" s="146"/>
      <c r="F1669" s="15"/>
      <c r="G1669" s="15"/>
      <c r="H1669" s="15"/>
      <c r="I1669" s="15"/>
      <c r="J1669" s="15"/>
      <c r="K1669" s="15"/>
    </row>
    <row r="1670" ht="22.5" customHeight="1">
      <c r="A1670" s="167"/>
      <c r="B1670" s="144"/>
      <c r="C1670" s="15"/>
      <c r="D1670" s="15"/>
      <c r="E1670" s="146"/>
      <c r="F1670" s="15"/>
      <c r="G1670" s="15"/>
      <c r="H1670" s="15"/>
      <c r="I1670" s="15"/>
      <c r="J1670" s="15"/>
      <c r="K1670" s="15"/>
    </row>
    <row r="1671" ht="22.5" customHeight="1">
      <c r="A1671" s="167"/>
      <c r="B1671" s="144"/>
      <c r="C1671" s="15"/>
      <c r="D1671" s="15"/>
      <c r="E1671" s="146"/>
      <c r="F1671" s="15"/>
      <c r="G1671" s="15"/>
      <c r="H1671" s="15"/>
      <c r="I1671" s="15"/>
      <c r="J1671" s="15"/>
      <c r="K1671" s="15"/>
    </row>
    <row r="1672" ht="22.5" customHeight="1">
      <c r="A1672" s="167"/>
      <c r="B1672" s="144"/>
      <c r="C1672" s="15"/>
      <c r="D1672" s="15"/>
      <c r="E1672" s="146"/>
      <c r="F1672" s="15"/>
      <c r="G1672" s="15"/>
      <c r="H1672" s="15"/>
      <c r="I1672" s="15"/>
      <c r="J1672" s="15"/>
      <c r="K1672" s="15"/>
    </row>
    <row r="1673" ht="22.5" customHeight="1">
      <c r="A1673" s="167"/>
      <c r="B1673" s="144"/>
      <c r="C1673" s="15"/>
      <c r="D1673" s="15"/>
      <c r="E1673" s="146"/>
      <c r="F1673" s="15"/>
      <c r="G1673" s="15"/>
      <c r="H1673" s="15"/>
      <c r="I1673" s="15"/>
      <c r="J1673" s="15"/>
      <c r="K1673" s="15"/>
    </row>
    <row r="1674" ht="22.5" customHeight="1">
      <c r="A1674" s="167"/>
      <c r="B1674" s="144"/>
      <c r="C1674" s="15"/>
      <c r="D1674" s="15"/>
      <c r="E1674" s="146"/>
      <c r="F1674" s="15"/>
      <c r="G1674" s="15"/>
      <c r="H1674" s="15"/>
      <c r="I1674" s="15"/>
      <c r="J1674" s="15"/>
      <c r="K1674" s="15"/>
    </row>
    <row r="1675" ht="22.5" customHeight="1">
      <c r="A1675" s="167"/>
      <c r="B1675" s="144"/>
      <c r="C1675" s="15"/>
      <c r="D1675" s="15"/>
      <c r="E1675" s="146"/>
      <c r="F1675" s="15"/>
      <c r="G1675" s="15"/>
      <c r="H1675" s="15"/>
      <c r="I1675" s="15"/>
      <c r="J1675" s="15"/>
      <c r="K1675" s="15"/>
    </row>
    <row r="1676" ht="22.5" customHeight="1">
      <c r="A1676" s="167"/>
      <c r="B1676" s="144"/>
      <c r="C1676" s="15"/>
      <c r="D1676" s="15"/>
      <c r="E1676" s="146"/>
      <c r="F1676" s="15"/>
      <c r="G1676" s="15"/>
      <c r="H1676" s="15"/>
      <c r="I1676" s="15"/>
      <c r="J1676" s="15"/>
      <c r="K1676" s="15"/>
    </row>
    <row r="1677" ht="22.5" customHeight="1">
      <c r="A1677" s="167"/>
      <c r="B1677" s="144"/>
      <c r="C1677" s="15"/>
      <c r="D1677" s="15"/>
      <c r="E1677" s="146"/>
      <c r="F1677" s="15"/>
      <c r="G1677" s="15"/>
      <c r="H1677" s="15"/>
      <c r="I1677" s="15"/>
      <c r="J1677" s="15"/>
      <c r="K1677" s="15"/>
    </row>
    <row r="1678" ht="22.5" customHeight="1">
      <c r="A1678" s="167"/>
      <c r="B1678" s="144"/>
      <c r="C1678" s="15"/>
      <c r="D1678" s="15"/>
      <c r="E1678" s="146"/>
      <c r="F1678" s="15"/>
      <c r="G1678" s="15"/>
      <c r="H1678" s="15"/>
      <c r="I1678" s="15"/>
      <c r="J1678" s="15"/>
      <c r="K1678" s="15"/>
    </row>
    <row r="1679" ht="22.5" customHeight="1">
      <c r="A1679" s="167"/>
      <c r="B1679" s="144"/>
      <c r="C1679" s="15"/>
      <c r="D1679" s="15"/>
      <c r="E1679" s="146"/>
      <c r="F1679" s="15"/>
      <c r="G1679" s="15"/>
      <c r="H1679" s="15"/>
      <c r="I1679" s="15"/>
      <c r="J1679" s="15"/>
      <c r="K1679" s="15"/>
    </row>
    <row r="1680" ht="22.5" customHeight="1">
      <c r="A1680" s="167"/>
      <c r="B1680" s="144"/>
      <c r="C1680" s="15"/>
      <c r="D1680" s="15"/>
      <c r="E1680" s="146"/>
      <c r="F1680" s="15"/>
      <c r="G1680" s="15"/>
      <c r="H1680" s="15"/>
      <c r="I1680" s="15"/>
      <c r="J1680" s="15"/>
      <c r="K1680" s="15"/>
    </row>
    <row r="1681" ht="22.5" customHeight="1">
      <c r="A1681" s="167"/>
      <c r="B1681" s="144"/>
      <c r="C1681" s="15"/>
      <c r="D1681" s="15"/>
      <c r="E1681" s="146"/>
      <c r="F1681" s="15"/>
      <c r="G1681" s="15"/>
      <c r="H1681" s="15"/>
      <c r="I1681" s="15"/>
      <c r="J1681" s="15"/>
      <c r="K1681" s="15"/>
    </row>
    <row r="1682" ht="22.5" customHeight="1">
      <c r="A1682" s="167"/>
      <c r="B1682" s="144"/>
      <c r="C1682" s="15"/>
      <c r="D1682" s="15"/>
      <c r="E1682" s="146"/>
      <c r="F1682" s="15"/>
      <c r="G1682" s="15"/>
      <c r="H1682" s="15"/>
      <c r="I1682" s="15"/>
      <c r="J1682" s="15"/>
      <c r="K1682" s="15"/>
    </row>
    <row r="1683" ht="22.5" customHeight="1">
      <c r="A1683" s="167"/>
      <c r="B1683" s="144"/>
      <c r="C1683" s="15"/>
      <c r="D1683" s="15"/>
      <c r="E1683" s="146"/>
      <c r="F1683" s="15"/>
      <c r="G1683" s="15"/>
      <c r="H1683" s="15"/>
      <c r="I1683" s="15"/>
      <c r="J1683" s="15"/>
      <c r="K1683" s="15"/>
    </row>
    <row r="1684" ht="22.5" customHeight="1">
      <c r="A1684" s="167"/>
      <c r="B1684" s="144"/>
      <c r="C1684" s="15"/>
      <c r="D1684" s="15"/>
      <c r="E1684" s="146"/>
      <c r="F1684" s="15"/>
      <c r="G1684" s="15"/>
      <c r="H1684" s="15"/>
      <c r="I1684" s="15"/>
      <c r="J1684" s="15"/>
      <c r="K1684" s="15"/>
    </row>
    <row r="1685" ht="22.5" customHeight="1">
      <c r="A1685" s="167"/>
      <c r="B1685" s="144"/>
      <c r="C1685" s="15"/>
      <c r="D1685" s="15"/>
      <c r="E1685" s="146"/>
      <c r="F1685" s="15"/>
      <c r="G1685" s="15"/>
      <c r="H1685" s="15"/>
      <c r="I1685" s="15"/>
      <c r="J1685" s="15"/>
      <c r="K1685" s="15"/>
    </row>
    <row r="1686" ht="22.5" customHeight="1">
      <c r="A1686" s="167"/>
      <c r="B1686" s="144"/>
      <c r="C1686" s="15"/>
      <c r="D1686" s="15"/>
      <c r="E1686" s="146"/>
      <c r="F1686" s="15"/>
      <c r="G1686" s="15"/>
      <c r="H1686" s="15"/>
      <c r="I1686" s="15"/>
      <c r="J1686" s="15"/>
      <c r="K1686" s="15"/>
    </row>
    <row r="1687" ht="22.5" customHeight="1">
      <c r="A1687" s="167"/>
      <c r="B1687" s="144"/>
      <c r="C1687" s="15"/>
      <c r="D1687" s="15"/>
      <c r="E1687" s="146"/>
      <c r="F1687" s="15"/>
      <c r="G1687" s="15"/>
      <c r="H1687" s="15"/>
      <c r="I1687" s="15"/>
      <c r="J1687" s="15"/>
      <c r="K1687" s="15"/>
    </row>
    <row r="1688" ht="22.5" customHeight="1">
      <c r="A1688" s="167"/>
      <c r="B1688" s="144"/>
      <c r="C1688" s="15"/>
      <c r="D1688" s="15"/>
      <c r="E1688" s="146"/>
      <c r="F1688" s="15"/>
      <c r="G1688" s="15"/>
      <c r="H1688" s="15"/>
      <c r="I1688" s="15"/>
      <c r="J1688" s="15"/>
      <c r="K1688" s="15"/>
    </row>
    <row r="1689" ht="22.5" customHeight="1">
      <c r="A1689" s="167"/>
      <c r="B1689" s="144"/>
      <c r="C1689" s="15"/>
      <c r="D1689" s="15"/>
      <c r="E1689" s="146"/>
      <c r="F1689" s="15"/>
      <c r="G1689" s="15"/>
      <c r="H1689" s="15"/>
      <c r="I1689" s="15"/>
      <c r="J1689" s="15"/>
      <c r="K1689" s="15"/>
    </row>
    <row r="1690" ht="22.5" customHeight="1">
      <c r="A1690" s="167"/>
      <c r="B1690" s="144"/>
      <c r="C1690" s="15"/>
      <c r="D1690" s="15"/>
      <c r="E1690" s="146"/>
      <c r="F1690" s="15"/>
      <c r="G1690" s="15"/>
      <c r="H1690" s="15"/>
      <c r="I1690" s="15"/>
      <c r="J1690" s="15"/>
      <c r="K1690" s="15"/>
    </row>
    <row r="1691" ht="22.5" customHeight="1">
      <c r="A1691" s="167"/>
      <c r="B1691" s="144"/>
      <c r="C1691" s="15"/>
      <c r="D1691" s="15"/>
      <c r="E1691" s="146"/>
      <c r="F1691" s="15"/>
      <c r="G1691" s="15"/>
      <c r="H1691" s="15"/>
      <c r="I1691" s="15"/>
      <c r="J1691" s="15"/>
      <c r="K1691" s="15"/>
    </row>
    <row r="1692" ht="22.5" customHeight="1">
      <c r="A1692" s="167"/>
      <c r="B1692" s="144"/>
      <c r="C1692" s="15"/>
      <c r="D1692" s="15"/>
      <c r="E1692" s="146"/>
      <c r="F1692" s="15"/>
      <c r="G1692" s="15"/>
      <c r="H1692" s="15"/>
      <c r="I1692" s="15"/>
      <c r="J1692" s="15"/>
      <c r="K1692" s="15"/>
    </row>
    <row r="1693" ht="22.5" customHeight="1">
      <c r="A1693" s="167"/>
      <c r="B1693" s="144"/>
      <c r="C1693" s="15"/>
      <c r="D1693" s="15"/>
      <c r="E1693" s="146"/>
      <c r="F1693" s="15"/>
      <c r="G1693" s="15"/>
      <c r="H1693" s="15"/>
      <c r="I1693" s="15"/>
      <c r="J1693" s="15"/>
      <c r="K1693" s="15"/>
    </row>
    <row r="1694" ht="22.5" customHeight="1">
      <c r="A1694" s="167"/>
      <c r="B1694" s="144"/>
      <c r="C1694" s="15"/>
      <c r="D1694" s="15"/>
      <c r="E1694" s="146"/>
      <c r="F1694" s="15"/>
      <c r="G1694" s="15"/>
      <c r="H1694" s="15"/>
      <c r="I1694" s="15"/>
      <c r="J1694" s="15"/>
      <c r="K1694" s="15"/>
    </row>
    <row r="1695" ht="22.5" customHeight="1">
      <c r="A1695" s="167"/>
      <c r="B1695" s="144"/>
      <c r="C1695" s="15"/>
      <c r="D1695" s="15"/>
      <c r="E1695" s="146"/>
      <c r="F1695" s="15"/>
      <c r="G1695" s="15"/>
      <c r="H1695" s="15"/>
      <c r="I1695" s="15"/>
      <c r="J1695" s="15"/>
      <c r="K1695" s="15"/>
    </row>
    <row r="1696" ht="22.5" customHeight="1">
      <c r="A1696" s="167"/>
      <c r="B1696" s="144"/>
      <c r="C1696" s="15"/>
      <c r="D1696" s="15"/>
      <c r="E1696" s="146"/>
      <c r="F1696" s="15"/>
      <c r="G1696" s="15"/>
      <c r="H1696" s="15"/>
      <c r="I1696" s="15"/>
      <c r="J1696" s="15"/>
      <c r="K1696" s="15"/>
    </row>
    <row r="1697" ht="22.5" customHeight="1">
      <c r="A1697" s="167"/>
      <c r="B1697" s="144"/>
      <c r="C1697" s="15"/>
      <c r="D1697" s="15"/>
      <c r="E1697" s="146"/>
      <c r="F1697" s="15"/>
      <c r="G1697" s="15"/>
      <c r="H1697" s="15"/>
      <c r="I1697" s="15"/>
      <c r="J1697" s="15"/>
      <c r="K1697" s="15"/>
    </row>
    <row r="1698" ht="22.5" customHeight="1">
      <c r="A1698" s="167"/>
      <c r="B1698" s="144"/>
      <c r="C1698" s="15"/>
      <c r="D1698" s="15"/>
      <c r="E1698" s="146"/>
      <c r="F1698" s="15"/>
      <c r="G1698" s="15"/>
      <c r="H1698" s="15"/>
      <c r="I1698" s="15"/>
      <c r="J1698" s="15"/>
      <c r="K1698" s="15"/>
    </row>
    <row r="1699" ht="22.5" customHeight="1">
      <c r="A1699" s="167"/>
      <c r="B1699" s="144"/>
      <c r="C1699" s="15"/>
      <c r="D1699" s="15"/>
      <c r="E1699" s="146"/>
      <c r="F1699" s="15"/>
      <c r="G1699" s="15"/>
      <c r="H1699" s="15"/>
      <c r="I1699" s="15"/>
      <c r="J1699" s="15"/>
      <c r="K1699" s="15"/>
    </row>
    <row r="1700" ht="22.5" customHeight="1">
      <c r="A1700" s="167"/>
      <c r="B1700" s="144"/>
      <c r="C1700" s="15"/>
      <c r="D1700" s="15"/>
      <c r="E1700" s="146"/>
      <c r="F1700" s="15"/>
      <c r="G1700" s="15"/>
      <c r="H1700" s="15"/>
      <c r="I1700" s="15"/>
      <c r="J1700" s="15"/>
      <c r="K1700" s="15"/>
    </row>
    <row r="1701" ht="22.5" customHeight="1">
      <c r="A1701" s="167"/>
      <c r="B1701" s="144"/>
      <c r="C1701" s="15"/>
      <c r="D1701" s="15"/>
      <c r="E1701" s="146"/>
      <c r="F1701" s="15"/>
      <c r="G1701" s="15"/>
      <c r="H1701" s="15"/>
      <c r="I1701" s="15"/>
      <c r="J1701" s="15"/>
      <c r="K1701" s="15"/>
    </row>
    <row r="1702" ht="22.5" customHeight="1">
      <c r="A1702" s="167"/>
      <c r="B1702" s="144"/>
      <c r="C1702" s="15"/>
      <c r="D1702" s="15"/>
      <c r="E1702" s="146"/>
      <c r="F1702" s="15"/>
      <c r="G1702" s="15"/>
      <c r="H1702" s="15"/>
      <c r="I1702" s="15"/>
      <c r="J1702" s="15"/>
      <c r="K1702" s="15"/>
    </row>
    <row r="1703" ht="22.5" customHeight="1">
      <c r="A1703" s="167"/>
      <c r="B1703" s="144"/>
      <c r="C1703" s="15"/>
      <c r="D1703" s="15"/>
      <c r="E1703" s="146"/>
      <c r="F1703" s="15"/>
      <c r="G1703" s="15"/>
      <c r="H1703" s="15"/>
      <c r="I1703" s="15"/>
      <c r="J1703" s="15"/>
      <c r="K1703" s="15"/>
    </row>
    <row r="1704" ht="22.5" customHeight="1">
      <c r="A1704" s="167"/>
      <c r="B1704" s="144"/>
      <c r="C1704" s="15"/>
      <c r="D1704" s="15"/>
      <c r="E1704" s="146"/>
      <c r="F1704" s="15"/>
      <c r="G1704" s="15"/>
      <c r="H1704" s="15"/>
      <c r="I1704" s="15"/>
      <c r="J1704" s="15"/>
      <c r="K1704" s="15"/>
    </row>
    <row r="1705" ht="22.5" customHeight="1">
      <c r="A1705" s="167"/>
      <c r="B1705" s="144"/>
      <c r="C1705" s="15"/>
      <c r="D1705" s="15"/>
      <c r="E1705" s="146"/>
      <c r="F1705" s="15"/>
      <c r="G1705" s="15"/>
      <c r="H1705" s="15"/>
      <c r="I1705" s="15"/>
      <c r="J1705" s="15"/>
      <c r="K1705" s="15"/>
    </row>
    <row r="1706" ht="22.5" customHeight="1">
      <c r="A1706" s="167"/>
      <c r="B1706" s="144"/>
      <c r="C1706" s="15"/>
      <c r="D1706" s="15"/>
      <c r="E1706" s="146"/>
      <c r="F1706" s="15"/>
      <c r="G1706" s="15"/>
      <c r="H1706" s="15"/>
      <c r="I1706" s="15"/>
      <c r="J1706" s="15"/>
      <c r="K1706" s="15"/>
    </row>
    <row r="1707" ht="22.5" customHeight="1">
      <c r="A1707" s="167"/>
      <c r="B1707" s="144"/>
      <c r="C1707" s="15"/>
      <c r="D1707" s="15"/>
      <c r="E1707" s="146"/>
      <c r="F1707" s="15"/>
      <c r="G1707" s="15"/>
      <c r="H1707" s="15"/>
      <c r="I1707" s="15"/>
      <c r="J1707" s="15"/>
      <c r="K1707" s="15"/>
    </row>
    <row r="1708" ht="22.5" customHeight="1">
      <c r="A1708" s="167"/>
      <c r="B1708" s="144"/>
      <c r="C1708" s="15"/>
      <c r="D1708" s="15"/>
      <c r="E1708" s="146"/>
      <c r="F1708" s="15"/>
      <c r="G1708" s="15"/>
      <c r="H1708" s="15"/>
      <c r="I1708" s="15"/>
      <c r="J1708" s="15"/>
      <c r="K1708" s="15"/>
    </row>
    <row r="1709" ht="22.5" customHeight="1">
      <c r="A1709" s="167"/>
      <c r="B1709" s="144"/>
      <c r="C1709" s="15"/>
      <c r="D1709" s="15"/>
      <c r="E1709" s="146"/>
      <c r="F1709" s="15"/>
      <c r="G1709" s="15"/>
      <c r="H1709" s="15"/>
      <c r="I1709" s="15"/>
      <c r="J1709" s="15"/>
      <c r="K1709" s="15"/>
    </row>
    <row r="1710" ht="22.5" customHeight="1">
      <c r="A1710" s="167"/>
      <c r="B1710" s="144"/>
      <c r="C1710" s="15"/>
      <c r="D1710" s="15"/>
      <c r="E1710" s="146"/>
      <c r="F1710" s="15"/>
      <c r="G1710" s="15"/>
      <c r="H1710" s="15"/>
      <c r="I1710" s="15"/>
      <c r="J1710" s="15"/>
      <c r="K1710" s="15"/>
    </row>
    <row r="1711" ht="22.5" customHeight="1">
      <c r="A1711" s="167"/>
      <c r="B1711" s="144"/>
      <c r="C1711" s="15"/>
      <c r="D1711" s="15"/>
      <c r="E1711" s="146"/>
      <c r="F1711" s="15"/>
      <c r="G1711" s="15"/>
      <c r="H1711" s="15"/>
      <c r="I1711" s="15"/>
      <c r="J1711" s="15"/>
      <c r="K1711" s="15"/>
    </row>
    <row r="1712" ht="22.5" customHeight="1">
      <c r="A1712" s="167"/>
      <c r="B1712" s="144"/>
      <c r="C1712" s="15"/>
      <c r="D1712" s="15"/>
      <c r="E1712" s="146"/>
      <c r="F1712" s="15"/>
      <c r="G1712" s="15"/>
      <c r="H1712" s="15"/>
      <c r="I1712" s="15"/>
      <c r="J1712" s="15"/>
      <c r="K1712" s="15"/>
    </row>
    <row r="1713" ht="22.5" customHeight="1">
      <c r="A1713" s="167"/>
      <c r="B1713" s="144"/>
      <c r="C1713" s="15"/>
      <c r="D1713" s="15"/>
      <c r="E1713" s="146"/>
      <c r="F1713" s="15"/>
      <c r="G1713" s="15"/>
      <c r="H1713" s="15"/>
      <c r="I1713" s="15"/>
      <c r="J1713" s="15"/>
      <c r="K1713" s="15"/>
    </row>
    <row r="1714" ht="22.5" customHeight="1">
      <c r="A1714" s="167"/>
      <c r="B1714" s="144"/>
      <c r="C1714" s="15"/>
      <c r="D1714" s="15"/>
      <c r="E1714" s="146"/>
      <c r="F1714" s="15"/>
      <c r="G1714" s="15"/>
      <c r="H1714" s="15"/>
      <c r="I1714" s="15"/>
      <c r="J1714" s="15"/>
      <c r="K1714" s="15"/>
    </row>
    <row r="1715" ht="22.5" customHeight="1">
      <c r="A1715" s="167"/>
      <c r="B1715" s="144"/>
      <c r="C1715" s="15"/>
      <c r="D1715" s="15"/>
      <c r="E1715" s="146"/>
      <c r="F1715" s="15"/>
      <c r="G1715" s="15"/>
      <c r="H1715" s="15"/>
      <c r="I1715" s="15"/>
      <c r="J1715" s="15"/>
      <c r="K1715" s="15"/>
    </row>
    <row r="1716" ht="22.5" customHeight="1">
      <c r="A1716" s="167"/>
      <c r="B1716" s="144"/>
      <c r="C1716" s="15"/>
      <c r="D1716" s="15"/>
      <c r="E1716" s="146"/>
      <c r="F1716" s="15"/>
      <c r="G1716" s="15"/>
      <c r="H1716" s="15"/>
      <c r="I1716" s="15"/>
      <c r="J1716" s="15"/>
      <c r="K1716" s="15"/>
    </row>
    <row r="1717" ht="22.5" customHeight="1">
      <c r="A1717" s="167"/>
      <c r="B1717" s="144"/>
      <c r="C1717" s="15"/>
      <c r="D1717" s="15"/>
      <c r="E1717" s="146"/>
      <c r="F1717" s="15"/>
      <c r="G1717" s="15"/>
      <c r="H1717" s="15"/>
      <c r="I1717" s="15"/>
      <c r="J1717" s="15"/>
      <c r="K1717" s="15"/>
    </row>
    <row r="1718" ht="22.5" customHeight="1">
      <c r="A1718" s="167"/>
      <c r="B1718" s="144"/>
      <c r="C1718" s="15"/>
      <c r="D1718" s="15"/>
      <c r="E1718" s="146"/>
      <c r="F1718" s="15"/>
      <c r="G1718" s="15"/>
      <c r="H1718" s="15"/>
      <c r="I1718" s="15"/>
      <c r="J1718" s="15"/>
      <c r="K1718" s="15"/>
    </row>
    <row r="1719" ht="22.5" customHeight="1">
      <c r="A1719" s="167"/>
      <c r="B1719" s="144"/>
      <c r="C1719" s="15"/>
      <c r="D1719" s="15"/>
      <c r="E1719" s="146"/>
      <c r="F1719" s="15"/>
      <c r="G1719" s="15"/>
      <c r="H1719" s="15"/>
      <c r="I1719" s="15"/>
      <c r="J1719" s="15"/>
      <c r="K1719" s="15"/>
    </row>
    <row r="1720" ht="22.5" customHeight="1">
      <c r="A1720" s="167"/>
      <c r="B1720" s="144"/>
      <c r="C1720" s="15"/>
      <c r="D1720" s="15"/>
      <c r="E1720" s="146"/>
      <c r="F1720" s="15"/>
      <c r="G1720" s="15"/>
      <c r="H1720" s="15"/>
      <c r="I1720" s="15"/>
      <c r="J1720" s="15"/>
      <c r="K1720" s="15"/>
    </row>
    <row r="1721" ht="22.5" customHeight="1">
      <c r="A1721" s="167"/>
      <c r="B1721" s="144"/>
      <c r="C1721" s="15"/>
      <c r="D1721" s="15"/>
      <c r="E1721" s="146"/>
      <c r="F1721" s="15"/>
      <c r="G1721" s="15"/>
      <c r="H1721" s="15"/>
      <c r="I1721" s="15"/>
      <c r="J1721" s="15"/>
      <c r="K1721" s="15"/>
    </row>
    <row r="1722" ht="22.5" customHeight="1">
      <c r="A1722" s="167"/>
      <c r="B1722" s="144"/>
      <c r="C1722" s="15"/>
      <c r="D1722" s="15"/>
      <c r="E1722" s="146"/>
      <c r="F1722" s="15"/>
      <c r="G1722" s="15"/>
      <c r="H1722" s="15"/>
      <c r="I1722" s="15"/>
      <c r="J1722" s="15"/>
      <c r="K1722" s="15"/>
    </row>
    <row r="1723" ht="22.5" customHeight="1">
      <c r="A1723" s="167"/>
      <c r="B1723" s="144"/>
      <c r="C1723" s="15"/>
      <c r="D1723" s="15"/>
      <c r="E1723" s="146"/>
      <c r="F1723" s="15"/>
      <c r="G1723" s="15"/>
      <c r="H1723" s="15"/>
      <c r="I1723" s="15"/>
      <c r="J1723" s="15"/>
      <c r="K1723" s="15"/>
    </row>
    <row r="1724" ht="22.5" customHeight="1">
      <c r="A1724" s="167"/>
      <c r="B1724" s="144"/>
      <c r="C1724" s="15"/>
      <c r="D1724" s="15"/>
      <c r="E1724" s="146"/>
      <c r="F1724" s="15"/>
      <c r="G1724" s="15"/>
      <c r="H1724" s="15"/>
      <c r="I1724" s="15"/>
      <c r="J1724" s="15"/>
      <c r="K1724" s="15"/>
    </row>
    <row r="1725" ht="22.5" customHeight="1">
      <c r="A1725" s="167"/>
      <c r="B1725" s="144"/>
      <c r="C1725" s="15"/>
      <c r="D1725" s="15"/>
      <c r="E1725" s="146"/>
      <c r="F1725" s="15"/>
      <c r="G1725" s="15"/>
      <c r="H1725" s="15"/>
      <c r="I1725" s="15"/>
      <c r="J1725" s="15"/>
      <c r="K1725" s="15"/>
    </row>
    <row r="1726" ht="22.5" customHeight="1">
      <c r="A1726" s="167"/>
      <c r="B1726" s="144"/>
      <c r="C1726" s="15"/>
      <c r="D1726" s="15"/>
      <c r="E1726" s="146"/>
      <c r="F1726" s="15"/>
      <c r="G1726" s="15"/>
      <c r="H1726" s="15"/>
      <c r="I1726" s="15"/>
      <c r="J1726" s="15"/>
      <c r="K1726" s="15"/>
    </row>
    <row r="1727" ht="22.5" customHeight="1">
      <c r="A1727" s="167"/>
      <c r="B1727" s="144"/>
      <c r="C1727" s="15"/>
      <c r="D1727" s="15"/>
      <c r="E1727" s="146"/>
      <c r="F1727" s="15"/>
      <c r="G1727" s="15"/>
      <c r="H1727" s="15"/>
      <c r="I1727" s="15"/>
      <c r="J1727" s="15"/>
      <c r="K1727" s="15"/>
    </row>
    <row r="1728" ht="22.5" customHeight="1">
      <c r="A1728" s="167"/>
      <c r="B1728" s="144"/>
      <c r="C1728" s="15"/>
      <c r="D1728" s="15"/>
      <c r="E1728" s="146"/>
      <c r="F1728" s="15"/>
      <c r="G1728" s="15"/>
      <c r="H1728" s="15"/>
      <c r="I1728" s="15"/>
      <c r="J1728" s="15"/>
      <c r="K1728" s="15"/>
    </row>
    <row r="1729" ht="22.5" customHeight="1">
      <c r="A1729" s="167"/>
      <c r="B1729" s="144"/>
      <c r="C1729" s="15"/>
      <c r="D1729" s="15"/>
      <c r="E1729" s="146"/>
      <c r="F1729" s="15"/>
      <c r="G1729" s="15"/>
      <c r="H1729" s="15"/>
      <c r="I1729" s="15"/>
      <c r="J1729" s="15"/>
      <c r="K1729" s="15"/>
    </row>
    <row r="1730" ht="22.5" customHeight="1">
      <c r="A1730" s="167"/>
      <c r="B1730" s="144"/>
      <c r="C1730" s="15"/>
      <c r="D1730" s="15"/>
      <c r="E1730" s="146"/>
      <c r="F1730" s="15"/>
      <c r="G1730" s="15"/>
      <c r="H1730" s="15"/>
      <c r="I1730" s="15"/>
      <c r="J1730" s="15"/>
      <c r="K1730" s="15"/>
    </row>
    <row r="1731" ht="22.5" customHeight="1">
      <c r="A1731" s="167"/>
      <c r="B1731" s="144"/>
      <c r="C1731" s="15"/>
      <c r="D1731" s="15"/>
      <c r="E1731" s="146"/>
      <c r="F1731" s="15"/>
      <c r="G1731" s="15"/>
      <c r="H1731" s="15"/>
      <c r="I1731" s="15"/>
      <c r="J1731" s="15"/>
      <c r="K1731" s="15"/>
    </row>
    <row r="1732" ht="22.5" customHeight="1">
      <c r="A1732" s="167"/>
      <c r="B1732" s="144"/>
      <c r="C1732" s="15"/>
      <c r="D1732" s="15"/>
      <c r="E1732" s="146"/>
      <c r="F1732" s="15"/>
      <c r="G1732" s="15"/>
      <c r="H1732" s="15"/>
      <c r="I1732" s="15"/>
      <c r="J1732" s="15"/>
      <c r="K1732" s="15"/>
    </row>
    <row r="1733" ht="22.5" customHeight="1">
      <c r="A1733" s="167"/>
      <c r="B1733" s="144"/>
      <c r="C1733" s="15"/>
      <c r="D1733" s="15"/>
      <c r="E1733" s="146"/>
      <c r="F1733" s="15"/>
      <c r="G1733" s="15"/>
      <c r="H1733" s="15"/>
      <c r="I1733" s="15"/>
      <c r="J1733" s="15"/>
      <c r="K1733" s="15"/>
    </row>
    <row r="1734" ht="22.5" customHeight="1">
      <c r="A1734" s="167"/>
      <c r="B1734" s="144"/>
      <c r="C1734" s="15"/>
      <c r="D1734" s="15"/>
      <c r="E1734" s="146"/>
      <c r="F1734" s="15"/>
      <c r="G1734" s="15"/>
      <c r="H1734" s="15"/>
      <c r="I1734" s="15"/>
      <c r="J1734" s="15"/>
      <c r="K1734" s="15"/>
    </row>
    <row r="1735" ht="22.5" customHeight="1">
      <c r="A1735" s="167"/>
      <c r="B1735" s="144"/>
      <c r="C1735" s="15"/>
      <c r="D1735" s="15"/>
      <c r="E1735" s="146"/>
      <c r="F1735" s="15"/>
      <c r="G1735" s="15"/>
      <c r="H1735" s="15"/>
      <c r="I1735" s="15"/>
      <c r="J1735" s="15"/>
      <c r="K1735" s="15"/>
    </row>
    <row r="1736" ht="22.5" customHeight="1">
      <c r="A1736" s="167"/>
      <c r="B1736" s="144"/>
      <c r="C1736" s="15"/>
      <c r="D1736" s="15"/>
      <c r="E1736" s="146"/>
      <c r="F1736" s="15"/>
      <c r="G1736" s="15"/>
      <c r="H1736" s="15"/>
      <c r="I1736" s="15"/>
      <c r="J1736" s="15"/>
      <c r="K1736" s="15"/>
    </row>
    <row r="1737" ht="22.5" customHeight="1">
      <c r="A1737" s="167"/>
      <c r="B1737" s="144"/>
      <c r="C1737" s="15"/>
      <c r="D1737" s="15"/>
      <c r="E1737" s="146"/>
      <c r="F1737" s="15"/>
      <c r="G1737" s="15"/>
      <c r="H1737" s="15"/>
      <c r="I1737" s="15"/>
      <c r="J1737" s="15"/>
      <c r="K1737" s="15"/>
    </row>
    <row r="1738" ht="22.5" customHeight="1">
      <c r="A1738" s="167"/>
      <c r="B1738" s="144"/>
      <c r="C1738" s="15"/>
      <c r="D1738" s="15"/>
      <c r="E1738" s="146"/>
      <c r="F1738" s="15"/>
      <c r="G1738" s="15"/>
      <c r="H1738" s="15"/>
      <c r="I1738" s="15"/>
      <c r="J1738" s="15"/>
      <c r="K1738" s="15"/>
    </row>
    <row r="1739" ht="22.5" customHeight="1">
      <c r="A1739" s="167"/>
      <c r="B1739" s="144"/>
      <c r="C1739" s="15"/>
      <c r="D1739" s="15"/>
      <c r="E1739" s="146"/>
      <c r="F1739" s="15"/>
      <c r="G1739" s="15"/>
      <c r="H1739" s="15"/>
      <c r="I1739" s="15"/>
      <c r="J1739" s="15"/>
      <c r="K1739" s="15"/>
    </row>
    <row r="1740" ht="22.5" customHeight="1">
      <c r="A1740" s="167"/>
      <c r="B1740" s="144"/>
      <c r="C1740" s="15"/>
      <c r="D1740" s="15"/>
      <c r="E1740" s="146"/>
      <c r="F1740" s="15"/>
      <c r="G1740" s="15"/>
      <c r="H1740" s="15"/>
      <c r="I1740" s="15"/>
      <c r="J1740" s="15"/>
      <c r="K1740" s="15"/>
    </row>
    <row r="1741" ht="22.5" customHeight="1">
      <c r="A1741" s="167"/>
      <c r="B1741" s="144"/>
      <c r="C1741" s="15"/>
      <c r="D1741" s="15"/>
      <c r="E1741" s="146"/>
      <c r="F1741" s="15"/>
      <c r="G1741" s="15"/>
      <c r="H1741" s="15"/>
      <c r="I1741" s="15"/>
      <c r="J1741" s="15"/>
      <c r="K1741" s="15"/>
    </row>
    <row r="1742" ht="22.5" customHeight="1">
      <c r="A1742" s="167"/>
      <c r="B1742" s="144"/>
      <c r="C1742" s="15"/>
      <c r="D1742" s="15"/>
      <c r="E1742" s="146"/>
      <c r="F1742" s="15"/>
      <c r="G1742" s="15"/>
      <c r="H1742" s="15"/>
      <c r="I1742" s="15"/>
      <c r="J1742" s="15"/>
      <c r="K1742" s="15"/>
    </row>
    <row r="1743" ht="22.5" customHeight="1">
      <c r="A1743" s="167"/>
      <c r="B1743" s="144"/>
      <c r="C1743" s="15"/>
      <c r="D1743" s="15"/>
      <c r="E1743" s="146"/>
      <c r="F1743" s="15"/>
      <c r="G1743" s="15"/>
      <c r="H1743" s="15"/>
      <c r="I1743" s="15"/>
      <c r="J1743" s="15"/>
      <c r="K1743" s="15"/>
    </row>
    <row r="1744" ht="22.5" customHeight="1">
      <c r="A1744" s="167"/>
      <c r="B1744" s="144"/>
      <c r="C1744" s="15"/>
      <c r="D1744" s="15"/>
      <c r="E1744" s="146"/>
      <c r="F1744" s="15"/>
      <c r="G1744" s="15"/>
      <c r="H1744" s="15"/>
      <c r="I1744" s="15"/>
      <c r="J1744" s="15"/>
      <c r="K1744" s="15"/>
    </row>
    <row r="1745" ht="22.5" customHeight="1">
      <c r="A1745" s="167"/>
      <c r="B1745" s="144"/>
      <c r="C1745" s="15"/>
      <c r="D1745" s="15"/>
      <c r="E1745" s="146"/>
      <c r="F1745" s="15"/>
      <c r="G1745" s="15"/>
      <c r="H1745" s="15"/>
      <c r="I1745" s="15"/>
      <c r="J1745" s="15"/>
      <c r="K1745" s="15"/>
    </row>
    <row r="1746" ht="22.5" customHeight="1">
      <c r="A1746" s="167"/>
      <c r="B1746" s="144"/>
      <c r="C1746" s="15"/>
      <c r="D1746" s="15"/>
      <c r="E1746" s="146"/>
      <c r="F1746" s="15"/>
      <c r="G1746" s="15"/>
      <c r="H1746" s="15"/>
      <c r="I1746" s="15"/>
      <c r="J1746" s="15"/>
      <c r="K1746" s="15"/>
    </row>
    <row r="1747" ht="22.5" customHeight="1">
      <c r="A1747" s="167"/>
      <c r="B1747" s="144"/>
      <c r="C1747" s="15"/>
      <c r="D1747" s="15"/>
      <c r="E1747" s="146"/>
      <c r="F1747" s="15"/>
      <c r="G1747" s="15"/>
      <c r="H1747" s="15"/>
      <c r="I1747" s="15"/>
      <c r="J1747" s="15"/>
      <c r="K1747" s="15"/>
    </row>
    <row r="1748" ht="22.5" customHeight="1">
      <c r="A1748" s="167"/>
      <c r="B1748" s="144"/>
      <c r="C1748" s="15"/>
      <c r="D1748" s="15"/>
      <c r="E1748" s="146"/>
      <c r="F1748" s="15"/>
      <c r="G1748" s="15"/>
      <c r="H1748" s="15"/>
      <c r="I1748" s="15"/>
      <c r="J1748" s="15"/>
      <c r="K1748" s="15"/>
    </row>
    <row r="1749" ht="22.5" customHeight="1">
      <c r="A1749" s="167"/>
      <c r="B1749" s="144"/>
      <c r="C1749" s="15"/>
      <c r="D1749" s="15"/>
      <c r="E1749" s="146"/>
      <c r="F1749" s="15"/>
      <c r="G1749" s="15"/>
      <c r="H1749" s="15"/>
      <c r="I1749" s="15"/>
      <c r="J1749" s="15"/>
      <c r="K1749" s="15"/>
    </row>
    <row r="1750" ht="22.5" customHeight="1">
      <c r="A1750" s="167"/>
      <c r="B1750" s="144"/>
      <c r="C1750" s="15"/>
      <c r="D1750" s="15"/>
      <c r="E1750" s="146"/>
      <c r="F1750" s="15"/>
      <c r="G1750" s="15"/>
      <c r="H1750" s="15"/>
      <c r="I1750" s="15"/>
      <c r="J1750" s="15"/>
      <c r="K1750" s="15"/>
    </row>
    <row r="1751" ht="22.5" customHeight="1">
      <c r="A1751" s="167"/>
      <c r="B1751" s="144"/>
      <c r="C1751" s="15"/>
      <c r="D1751" s="15"/>
      <c r="E1751" s="146"/>
      <c r="F1751" s="15"/>
      <c r="G1751" s="15"/>
      <c r="H1751" s="15"/>
      <c r="I1751" s="15"/>
      <c r="J1751" s="15"/>
      <c r="K1751" s="15"/>
    </row>
    <row r="1752" ht="22.5" customHeight="1">
      <c r="A1752" s="167"/>
      <c r="B1752" s="144"/>
      <c r="C1752" s="15"/>
      <c r="D1752" s="15"/>
      <c r="E1752" s="146"/>
      <c r="F1752" s="15"/>
      <c r="G1752" s="15"/>
      <c r="H1752" s="15"/>
      <c r="I1752" s="15"/>
      <c r="J1752" s="15"/>
      <c r="K1752" s="15"/>
    </row>
    <row r="1753" ht="22.5" customHeight="1">
      <c r="A1753" s="167"/>
      <c r="B1753" s="144"/>
      <c r="C1753" s="15"/>
      <c r="D1753" s="15"/>
      <c r="E1753" s="146"/>
      <c r="F1753" s="15"/>
      <c r="G1753" s="15"/>
      <c r="H1753" s="15"/>
      <c r="I1753" s="15"/>
      <c r="J1753" s="15"/>
      <c r="K1753" s="15"/>
    </row>
    <row r="1754" ht="22.5" customHeight="1">
      <c r="A1754" s="167"/>
      <c r="B1754" s="144"/>
      <c r="C1754" s="15"/>
      <c r="D1754" s="15"/>
      <c r="E1754" s="146"/>
      <c r="F1754" s="15"/>
      <c r="G1754" s="15"/>
      <c r="H1754" s="15"/>
      <c r="I1754" s="15"/>
      <c r="J1754" s="15"/>
      <c r="K1754" s="15"/>
    </row>
    <row r="1755" ht="22.5" customHeight="1">
      <c r="A1755" s="167"/>
      <c r="B1755" s="144"/>
      <c r="C1755" s="15"/>
      <c r="D1755" s="15"/>
      <c r="E1755" s="146"/>
      <c r="F1755" s="15"/>
      <c r="G1755" s="15"/>
      <c r="H1755" s="15"/>
      <c r="I1755" s="15"/>
      <c r="J1755" s="15"/>
      <c r="K1755" s="15"/>
    </row>
    <row r="1756" ht="22.5" customHeight="1">
      <c r="A1756" s="167"/>
      <c r="B1756" s="144"/>
      <c r="C1756" s="15"/>
      <c r="D1756" s="15"/>
      <c r="E1756" s="146"/>
      <c r="F1756" s="15"/>
      <c r="G1756" s="15"/>
      <c r="H1756" s="15"/>
      <c r="I1756" s="15"/>
      <c r="J1756" s="15"/>
      <c r="K1756" s="15"/>
    </row>
    <row r="1757" ht="22.5" customHeight="1">
      <c r="A1757" s="167"/>
      <c r="B1757" s="144"/>
      <c r="C1757" s="15"/>
      <c r="D1757" s="15"/>
      <c r="E1757" s="146"/>
      <c r="F1757" s="15"/>
      <c r="G1757" s="15"/>
      <c r="H1757" s="15"/>
      <c r="I1757" s="15"/>
      <c r="J1757" s="15"/>
      <c r="K1757" s="15"/>
    </row>
    <row r="1758" ht="22.5" customHeight="1">
      <c r="A1758" s="167"/>
      <c r="B1758" s="144"/>
      <c r="C1758" s="15"/>
      <c r="D1758" s="15"/>
      <c r="E1758" s="146"/>
      <c r="F1758" s="15"/>
      <c r="G1758" s="15"/>
      <c r="H1758" s="15"/>
      <c r="I1758" s="15"/>
      <c r="J1758" s="15"/>
      <c r="K1758" s="15"/>
    </row>
    <row r="1759" ht="22.5" customHeight="1">
      <c r="A1759" s="167"/>
      <c r="B1759" s="144"/>
      <c r="C1759" s="15"/>
      <c r="D1759" s="15"/>
      <c r="E1759" s="146"/>
      <c r="F1759" s="15"/>
      <c r="G1759" s="15"/>
      <c r="H1759" s="15"/>
      <c r="I1759" s="15"/>
      <c r="J1759" s="15"/>
      <c r="K1759" s="15"/>
    </row>
    <row r="1760" ht="22.5" customHeight="1">
      <c r="A1760" s="167"/>
      <c r="B1760" s="144"/>
      <c r="C1760" s="15"/>
      <c r="D1760" s="15"/>
      <c r="E1760" s="146"/>
      <c r="F1760" s="15"/>
      <c r="G1760" s="15"/>
      <c r="H1760" s="15"/>
      <c r="I1760" s="15"/>
      <c r="J1760" s="15"/>
      <c r="K1760" s="15"/>
    </row>
    <row r="1761" ht="22.5" customHeight="1">
      <c r="A1761" s="167"/>
      <c r="B1761" s="144"/>
      <c r="C1761" s="15"/>
      <c r="D1761" s="15"/>
      <c r="E1761" s="146"/>
      <c r="F1761" s="15"/>
      <c r="G1761" s="15"/>
      <c r="H1761" s="15"/>
      <c r="I1761" s="15"/>
      <c r="J1761" s="15"/>
      <c r="K1761" s="15"/>
    </row>
    <row r="1762" ht="22.5" customHeight="1">
      <c r="A1762" s="167"/>
      <c r="B1762" s="144"/>
      <c r="C1762" s="15"/>
      <c r="D1762" s="15"/>
      <c r="E1762" s="146"/>
      <c r="F1762" s="15"/>
      <c r="G1762" s="15"/>
      <c r="H1762" s="15"/>
      <c r="I1762" s="15"/>
      <c r="J1762" s="15"/>
      <c r="K1762" s="15"/>
    </row>
    <row r="1763" ht="22.5" customHeight="1">
      <c r="A1763" s="167"/>
      <c r="B1763" s="144"/>
      <c r="C1763" s="15"/>
      <c r="D1763" s="15"/>
      <c r="E1763" s="146"/>
      <c r="F1763" s="15"/>
      <c r="G1763" s="15"/>
      <c r="H1763" s="15"/>
      <c r="I1763" s="15"/>
      <c r="J1763" s="15"/>
      <c r="K1763" s="15"/>
    </row>
    <row r="1764" ht="22.5" customHeight="1">
      <c r="A1764" s="167"/>
      <c r="B1764" s="144"/>
      <c r="C1764" s="15"/>
      <c r="D1764" s="15"/>
      <c r="E1764" s="146"/>
      <c r="F1764" s="15"/>
      <c r="G1764" s="15"/>
      <c r="H1764" s="15"/>
      <c r="I1764" s="15"/>
      <c r="J1764" s="15"/>
      <c r="K1764" s="15"/>
    </row>
    <row r="1765" ht="22.5" customHeight="1">
      <c r="A1765" s="167"/>
      <c r="B1765" s="144"/>
      <c r="C1765" s="15"/>
      <c r="D1765" s="15"/>
      <c r="E1765" s="146"/>
      <c r="F1765" s="15"/>
      <c r="G1765" s="15"/>
      <c r="H1765" s="15"/>
      <c r="I1765" s="15"/>
      <c r="J1765" s="15"/>
      <c r="K1765" s="15"/>
    </row>
    <row r="1766" ht="22.5" customHeight="1">
      <c r="A1766" s="167"/>
      <c r="B1766" s="144"/>
      <c r="C1766" s="15"/>
      <c r="D1766" s="15"/>
      <c r="E1766" s="146"/>
      <c r="F1766" s="15"/>
      <c r="G1766" s="15"/>
      <c r="H1766" s="15"/>
      <c r="I1766" s="15"/>
      <c r="J1766" s="15"/>
      <c r="K1766" s="15"/>
    </row>
    <row r="1767" ht="22.5" customHeight="1">
      <c r="A1767" s="167"/>
      <c r="B1767" s="144"/>
      <c r="C1767" s="15"/>
      <c r="D1767" s="15"/>
      <c r="E1767" s="146"/>
      <c r="F1767" s="15"/>
      <c r="G1767" s="15"/>
      <c r="H1767" s="15"/>
      <c r="I1767" s="15"/>
      <c r="J1767" s="15"/>
      <c r="K1767" s="15"/>
    </row>
    <row r="1768" ht="22.5" customHeight="1">
      <c r="A1768" s="167"/>
      <c r="B1768" s="144"/>
      <c r="C1768" s="15"/>
      <c r="D1768" s="15"/>
      <c r="E1768" s="146"/>
      <c r="F1768" s="15"/>
      <c r="G1768" s="15"/>
      <c r="H1768" s="15"/>
      <c r="I1768" s="15"/>
      <c r="J1768" s="15"/>
      <c r="K1768" s="15"/>
    </row>
    <row r="1769" ht="22.5" customHeight="1">
      <c r="A1769" s="167"/>
      <c r="B1769" s="144"/>
      <c r="C1769" s="15"/>
      <c r="D1769" s="15"/>
      <c r="E1769" s="146"/>
      <c r="F1769" s="15"/>
      <c r="G1769" s="15"/>
      <c r="H1769" s="15"/>
      <c r="I1769" s="15"/>
      <c r="J1769" s="15"/>
      <c r="K1769" s="15"/>
    </row>
    <row r="1770" ht="22.5" customHeight="1">
      <c r="A1770" s="167"/>
      <c r="B1770" s="144"/>
      <c r="C1770" s="15"/>
      <c r="D1770" s="15"/>
      <c r="E1770" s="146"/>
      <c r="F1770" s="15"/>
      <c r="G1770" s="15"/>
      <c r="H1770" s="15"/>
      <c r="I1770" s="15"/>
      <c r="J1770" s="15"/>
      <c r="K1770" s="15"/>
    </row>
    <row r="1771" ht="22.5" customHeight="1">
      <c r="A1771" s="167"/>
      <c r="B1771" s="144"/>
      <c r="C1771" s="15"/>
      <c r="D1771" s="15"/>
      <c r="E1771" s="146"/>
      <c r="F1771" s="15"/>
      <c r="G1771" s="15"/>
      <c r="H1771" s="15"/>
      <c r="I1771" s="15"/>
      <c r="J1771" s="15"/>
      <c r="K1771" s="15"/>
    </row>
    <row r="1772" ht="22.5" customHeight="1">
      <c r="A1772" s="167"/>
      <c r="B1772" s="144"/>
      <c r="C1772" s="15"/>
      <c r="D1772" s="15"/>
      <c r="E1772" s="146"/>
      <c r="F1772" s="15"/>
      <c r="G1772" s="15"/>
      <c r="H1772" s="15"/>
      <c r="I1772" s="15"/>
      <c r="J1772" s="15"/>
      <c r="K1772" s="15"/>
    </row>
    <row r="1773" ht="22.5" customHeight="1">
      <c r="A1773" s="167"/>
      <c r="B1773" s="144"/>
      <c r="C1773" s="15"/>
      <c r="D1773" s="15"/>
      <c r="E1773" s="146"/>
      <c r="F1773" s="15"/>
      <c r="G1773" s="15"/>
      <c r="H1773" s="15"/>
      <c r="I1773" s="15"/>
      <c r="J1773" s="15"/>
      <c r="K1773" s="15"/>
    </row>
    <row r="1774" ht="22.5" customHeight="1">
      <c r="A1774" s="167"/>
      <c r="B1774" s="144"/>
      <c r="C1774" s="15"/>
      <c r="D1774" s="15"/>
      <c r="E1774" s="146"/>
      <c r="F1774" s="15"/>
      <c r="G1774" s="15"/>
      <c r="H1774" s="15"/>
      <c r="I1774" s="15"/>
      <c r="J1774" s="15"/>
      <c r="K1774" s="15"/>
    </row>
    <row r="1775" ht="22.5" customHeight="1">
      <c r="A1775" s="167"/>
      <c r="B1775" s="144"/>
      <c r="C1775" s="15"/>
      <c r="D1775" s="15"/>
      <c r="E1775" s="146"/>
      <c r="F1775" s="15"/>
      <c r="G1775" s="15"/>
      <c r="H1775" s="15"/>
      <c r="I1775" s="15"/>
      <c r="J1775" s="15"/>
      <c r="K1775" s="15"/>
    </row>
    <row r="1776" ht="22.5" customHeight="1">
      <c r="A1776" s="167"/>
      <c r="B1776" s="144"/>
      <c r="C1776" s="15"/>
      <c r="D1776" s="15"/>
      <c r="E1776" s="146"/>
      <c r="F1776" s="15"/>
      <c r="G1776" s="15"/>
      <c r="H1776" s="15"/>
      <c r="I1776" s="15"/>
      <c r="J1776" s="15"/>
      <c r="K1776" s="15"/>
    </row>
    <row r="1777" ht="22.5" customHeight="1">
      <c r="A1777" s="167"/>
      <c r="B1777" s="144"/>
      <c r="C1777" s="15"/>
      <c r="D1777" s="15"/>
      <c r="E1777" s="146"/>
      <c r="F1777" s="15"/>
      <c r="G1777" s="15"/>
      <c r="H1777" s="15"/>
      <c r="I1777" s="15"/>
      <c r="J1777" s="15"/>
      <c r="K1777" s="15"/>
    </row>
    <row r="1778" ht="22.5" customHeight="1">
      <c r="A1778" s="167"/>
      <c r="B1778" s="144"/>
      <c r="C1778" s="15"/>
      <c r="D1778" s="15"/>
      <c r="E1778" s="146"/>
      <c r="F1778" s="15"/>
      <c r="G1778" s="15"/>
      <c r="H1778" s="15"/>
      <c r="I1778" s="15"/>
      <c r="J1778" s="15"/>
      <c r="K1778" s="15"/>
    </row>
    <row r="1779" ht="22.5" customHeight="1">
      <c r="A1779" s="167"/>
      <c r="B1779" s="144"/>
      <c r="C1779" s="15"/>
      <c r="D1779" s="15"/>
      <c r="E1779" s="146"/>
      <c r="F1779" s="15"/>
      <c r="G1779" s="15"/>
      <c r="H1779" s="15"/>
      <c r="I1779" s="15"/>
      <c r="J1779" s="15"/>
      <c r="K1779" s="15"/>
    </row>
    <row r="1780" ht="22.5" customHeight="1">
      <c r="A1780" s="167"/>
      <c r="B1780" s="144"/>
      <c r="C1780" s="15"/>
      <c r="D1780" s="15"/>
      <c r="E1780" s="146"/>
      <c r="F1780" s="15"/>
      <c r="G1780" s="15"/>
      <c r="H1780" s="15"/>
      <c r="I1780" s="15"/>
      <c r="J1780" s="15"/>
      <c r="K1780" s="15"/>
    </row>
    <row r="1781" ht="22.5" customHeight="1">
      <c r="A1781" s="167"/>
      <c r="B1781" s="144"/>
      <c r="C1781" s="15"/>
      <c r="D1781" s="15"/>
      <c r="E1781" s="146"/>
      <c r="F1781" s="15"/>
      <c r="G1781" s="15"/>
      <c r="H1781" s="15"/>
      <c r="I1781" s="15"/>
      <c r="J1781" s="15"/>
      <c r="K1781" s="15"/>
    </row>
    <row r="1782" ht="22.5" customHeight="1">
      <c r="A1782" s="167"/>
      <c r="B1782" s="144"/>
      <c r="C1782" s="15"/>
      <c r="D1782" s="15"/>
      <c r="E1782" s="146"/>
      <c r="F1782" s="15"/>
      <c r="G1782" s="15"/>
      <c r="H1782" s="15"/>
      <c r="I1782" s="15"/>
      <c r="J1782" s="15"/>
      <c r="K1782" s="15"/>
    </row>
    <row r="1783" ht="22.5" customHeight="1">
      <c r="A1783" s="167"/>
      <c r="B1783" s="144"/>
      <c r="C1783" s="15"/>
      <c r="D1783" s="15"/>
      <c r="E1783" s="146"/>
      <c r="F1783" s="15"/>
      <c r="G1783" s="15"/>
      <c r="H1783" s="15"/>
      <c r="I1783" s="15"/>
      <c r="J1783" s="15"/>
      <c r="K1783" s="15"/>
    </row>
    <row r="1784" ht="22.5" customHeight="1">
      <c r="A1784" s="167"/>
      <c r="B1784" s="144"/>
      <c r="C1784" s="15"/>
      <c r="D1784" s="15"/>
      <c r="E1784" s="146"/>
      <c r="F1784" s="15"/>
      <c r="G1784" s="15"/>
      <c r="H1784" s="15"/>
      <c r="I1784" s="15"/>
      <c r="J1784" s="15"/>
      <c r="K1784" s="15"/>
    </row>
    <row r="1785" ht="22.5" customHeight="1">
      <c r="A1785" s="167"/>
      <c r="B1785" s="144"/>
      <c r="C1785" s="15"/>
      <c r="D1785" s="15"/>
      <c r="E1785" s="146"/>
      <c r="F1785" s="15"/>
      <c r="G1785" s="15"/>
      <c r="H1785" s="15"/>
      <c r="I1785" s="15"/>
      <c r="J1785" s="15"/>
      <c r="K1785" s="15"/>
    </row>
    <row r="1786" ht="22.5" customHeight="1">
      <c r="A1786" s="167"/>
      <c r="B1786" s="144"/>
      <c r="C1786" s="15"/>
      <c r="D1786" s="15"/>
      <c r="E1786" s="146"/>
      <c r="F1786" s="15"/>
      <c r="G1786" s="15"/>
      <c r="H1786" s="15"/>
      <c r="I1786" s="15"/>
      <c r="J1786" s="15"/>
      <c r="K1786" s="15"/>
    </row>
    <row r="1787" ht="22.5" customHeight="1">
      <c r="A1787" s="167"/>
      <c r="B1787" s="144"/>
      <c r="C1787" s="15"/>
      <c r="D1787" s="15"/>
      <c r="E1787" s="146"/>
      <c r="F1787" s="15"/>
      <c r="G1787" s="15"/>
      <c r="H1787" s="15"/>
      <c r="I1787" s="15"/>
      <c r="J1787" s="15"/>
      <c r="K1787" s="15"/>
    </row>
    <row r="1788" ht="22.5" customHeight="1">
      <c r="A1788" s="167"/>
      <c r="B1788" s="144"/>
      <c r="C1788" s="15"/>
      <c r="D1788" s="15"/>
      <c r="E1788" s="146"/>
      <c r="F1788" s="15"/>
      <c r="G1788" s="15"/>
      <c r="H1788" s="15"/>
      <c r="I1788" s="15"/>
      <c r="J1788" s="15"/>
      <c r="K1788" s="15"/>
    </row>
    <row r="1789" ht="22.5" customHeight="1">
      <c r="A1789" s="167"/>
      <c r="B1789" s="144"/>
      <c r="C1789" s="15"/>
      <c r="D1789" s="15"/>
      <c r="E1789" s="146"/>
      <c r="F1789" s="15"/>
      <c r="G1789" s="15"/>
      <c r="H1789" s="15"/>
      <c r="I1789" s="15"/>
      <c r="J1789" s="15"/>
      <c r="K1789" s="15"/>
    </row>
    <row r="1790" ht="22.5" customHeight="1">
      <c r="A1790" s="167"/>
      <c r="B1790" s="144"/>
      <c r="C1790" s="15"/>
      <c r="D1790" s="15"/>
      <c r="E1790" s="146"/>
      <c r="F1790" s="15"/>
      <c r="G1790" s="15"/>
      <c r="H1790" s="15"/>
      <c r="I1790" s="15"/>
      <c r="J1790" s="15"/>
      <c r="K1790" s="15"/>
    </row>
    <row r="1791" ht="22.5" customHeight="1">
      <c r="A1791" s="167"/>
      <c r="B1791" s="144"/>
      <c r="C1791" s="15"/>
      <c r="D1791" s="15"/>
      <c r="E1791" s="146"/>
      <c r="F1791" s="15"/>
      <c r="G1791" s="15"/>
      <c r="H1791" s="15"/>
      <c r="I1791" s="15"/>
      <c r="J1791" s="15"/>
      <c r="K1791" s="15"/>
    </row>
    <row r="1792" ht="22.5" customHeight="1">
      <c r="A1792" s="167"/>
      <c r="B1792" s="144"/>
      <c r="C1792" s="15"/>
      <c r="D1792" s="15"/>
      <c r="E1792" s="146"/>
      <c r="F1792" s="15"/>
      <c r="G1792" s="15"/>
      <c r="H1792" s="15"/>
      <c r="I1792" s="15"/>
      <c r="J1792" s="15"/>
      <c r="K1792" s="15"/>
    </row>
    <row r="1793" ht="22.5" customHeight="1">
      <c r="A1793" s="167"/>
      <c r="B1793" s="144"/>
      <c r="C1793" s="15"/>
      <c r="D1793" s="15"/>
      <c r="E1793" s="146"/>
      <c r="F1793" s="15"/>
      <c r="G1793" s="15"/>
      <c r="H1793" s="15"/>
      <c r="I1793" s="15"/>
      <c r="J1793" s="15"/>
      <c r="K1793" s="15"/>
    </row>
    <row r="1794" ht="22.5" customHeight="1">
      <c r="A1794" s="167"/>
      <c r="B1794" s="144"/>
      <c r="C1794" s="15"/>
      <c r="D1794" s="15"/>
      <c r="E1794" s="146"/>
      <c r="F1794" s="15"/>
      <c r="G1794" s="15"/>
      <c r="H1794" s="15"/>
      <c r="I1794" s="15"/>
      <c r="J1794" s="15"/>
      <c r="K1794" s="15"/>
    </row>
    <row r="1795" ht="22.5" customHeight="1">
      <c r="A1795" s="167"/>
      <c r="B1795" s="144"/>
      <c r="C1795" s="15"/>
      <c r="D1795" s="15"/>
      <c r="E1795" s="146"/>
      <c r="F1795" s="15"/>
      <c r="G1795" s="15"/>
      <c r="H1795" s="15"/>
      <c r="I1795" s="15"/>
      <c r="J1795" s="15"/>
      <c r="K1795" s="15"/>
    </row>
    <row r="1796" ht="22.5" customHeight="1">
      <c r="A1796" s="167"/>
      <c r="B1796" s="144"/>
      <c r="C1796" s="15"/>
      <c r="D1796" s="15"/>
      <c r="E1796" s="146"/>
      <c r="F1796" s="15"/>
      <c r="G1796" s="15"/>
      <c r="H1796" s="15"/>
      <c r="I1796" s="15"/>
      <c r="J1796" s="15"/>
      <c r="K1796" s="15"/>
    </row>
    <row r="1797" ht="22.5" customHeight="1">
      <c r="A1797" s="167"/>
      <c r="B1797" s="144"/>
      <c r="C1797" s="15"/>
      <c r="D1797" s="15"/>
      <c r="E1797" s="146"/>
      <c r="F1797" s="15"/>
      <c r="G1797" s="15"/>
      <c r="H1797" s="15"/>
      <c r="I1797" s="15"/>
      <c r="J1797" s="15"/>
      <c r="K1797" s="15"/>
    </row>
    <row r="1798" ht="22.5" customHeight="1">
      <c r="A1798" s="167"/>
      <c r="B1798" s="144"/>
      <c r="C1798" s="15"/>
      <c r="D1798" s="15"/>
      <c r="E1798" s="146"/>
      <c r="F1798" s="15"/>
      <c r="G1798" s="15"/>
      <c r="H1798" s="15"/>
      <c r="I1798" s="15"/>
      <c r="J1798" s="15"/>
      <c r="K1798" s="15"/>
    </row>
    <row r="1799" ht="22.5" customHeight="1">
      <c r="A1799" s="167"/>
      <c r="B1799" s="144"/>
      <c r="C1799" s="15"/>
      <c r="D1799" s="15"/>
      <c r="E1799" s="146"/>
      <c r="F1799" s="15"/>
      <c r="G1799" s="15"/>
      <c r="H1799" s="15"/>
      <c r="I1799" s="15"/>
      <c r="J1799" s="15"/>
      <c r="K1799" s="15"/>
    </row>
    <row r="1800" ht="22.5" customHeight="1">
      <c r="A1800" s="167"/>
      <c r="B1800" s="144"/>
      <c r="C1800" s="15"/>
      <c r="D1800" s="15"/>
      <c r="E1800" s="146"/>
      <c r="F1800" s="15"/>
      <c r="G1800" s="15"/>
      <c r="H1800" s="15"/>
      <c r="I1800" s="15"/>
      <c r="J1800" s="15"/>
      <c r="K1800" s="15"/>
    </row>
    <row r="1801" ht="22.5" customHeight="1">
      <c r="A1801" s="167"/>
      <c r="B1801" s="144"/>
      <c r="C1801" s="15"/>
      <c r="D1801" s="15"/>
      <c r="E1801" s="146"/>
      <c r="F1801" s="15"/>
      <c r="G1801" s="15"/>
      <c r="H1801" s="15"/>
      <c r="I1801" s="15"/>
      <c r="J1801" s="15"/>
      <c r="K1801" s="15"/>
    </row>
    <row r="1802" ht="22.5" customHeight="1">
      <c r="A1802" s="167"/>
      <c r="B1802" s="144"/>
      <c r="C1802" s="15"/>
      <c r="D1802" s="15"/>
      <c r="E1802" s="146"/>
      <c r="F1802" s="15"/>
      <c r="G1802" s="15"/>
      <c r="H1802" s="15"/>
      <c r="I1802" s="15"/>
      <c r="J1802" s="15"/>
      <c r="K1802" s="15"/>
    </row>
    <row r="1803" ht="22.5" customHeight="1">
      <c r="A1803" s="167"/>
      <c r="B1803" s="144"/>
      <c r="C1803" s="15"/>
      <c r="D1803" s="15"/>
      <c r="E1803" s="146"/>
      <c r="F1803" s="15"/>
      <c r="G1803" s="15"/>
      <c r="H1803" s="15"/>
      <c r="I1803" s="15"/>
      <c r="J1803" s="15"/>
      <c r="K1803" s="15"/>
    </row>
    <row r="1804" ht="22.5" customHeight="1">
      <c r="A1804" s="167"/>
      <c r="B1804" s="144"/>
      <c r="C1804" s="15"/>
      <c r="D1804" s="15"/>
      <c r="E1804" s="146"/>
      <c r="F1804" s="15"/>
      <c r="G1804" s="15"/>
      <c r="H1804" s="15"/>
      <c r="I1804" s="15"/>
      <c r="J1804" s="15"/>
      <c r="K1804" s="15"/>
    </row>
    <row r="1805" ht="22.5" customHeight="1">
      <c r="A1805" s="167"/>
      <c r="B1805" s="144"/>
      <c r="C1805" s="15"/>
      <c r="D1805" s="15"/>
      <c r="E1805" s="146"/>
      <c r="F1805" s="15"/>
      <c r="G1805" s="15"/>
      <c r="H1805" s="15"/>
      <c r="I1805" s="15"/>
      <c r="J1805" s="15"/>
      <c r="K1805" s="15"/>
    </row>
    <row r="1806" ht="22.5" customHeight="1">
      <c r="A1806" s="167"/>
      <c r="B1806" s="144"/>
      <c r="C1806" s="15"/>
      <c r="D1806" s="15"/>
      <c r="E1806" s="146"/>
      <c r="F1806" s="15"/>
      <c r="G1806" s="15"/>
      <c r="H1806" s="15"/>
      <c r="I1806" s="15"/>
      <c r="J1806" s="15"/>
      <c r="K1806" s="15"/>
    </row>
    <row r="1807" ht="22.5" customHeight="1">
      <c r="A1807" s="167"/>
      <c r="B1807" s="144"/>
      <c r="C1807" s="15"/>
      <c r="D1807" s="15"/>
      <c r="E1807" s="146"/>
      <c r="F1807" s="15"/>
      <c r="G1807" s="15"/>
      <c r="H1807" s="15"/>
      <c r="I1807" s="15"/>
      <c r="J1807" s="15"/>
      <c r="K1807" s="15"/>
    </row>
    <row r="1808" ht="22.5" customHeight="1">
      <c r="A1808" s="167"/>
      <c r="B1808" s="144"/>
      <c r="C1808" s="15"/>
      <c r="D1808" s="15"/>
      <c r="E1808" s="146"/>
      <c r="F1808" s="15"/>
      <c r="G1808" s="15"/>
      <c r="H1808" s="15"/>
      <c r="I1808" s="15"/>
      <c r="J1808" s="15"/>
      <c r="K1808" s="15"/>
    </row>
    <row r="1809" ht="22.5" customHeight="1">
      <c r="A1809" s="167"/>
      <c r="B1809" s="144"/>
      <c r="C1809" s="15"/>
      <c r="D1809" s="15"/>
      <c r="E1809" s="146"/>
      <c r="F1809" s="15"/>
      <c r="G1809" s="15"/>
      <c r="H1809" s="15"/>
      <c r="I1809" s="15"/>
      <c r="J1809" s="15"/>
      <c r="K1809" s="15"/>
    </row>
    <row r="1810" ht="22.5" customHeight="1">
      <c r="A1810" s="167"/>
      <c r="B1810" s="144"/>
      <c r="C1810" s="15"/>
      <c r="D1810" s="15"/>
      <c r="E1810" s="146"/>
      <c r="F1810" s="15"/>
      <c r="G1810" s="15"/>
      <c r="H1810" s="15"/>
      <c r="I1810" s="15"/>
      <c r="J1810" s="15"/>
      <c r="K1810" s="15"/>
    </row>
    <row r="1811" ht="22.5" customHeight="1">
      <c r="A1811" s="167"/>
      <c r="B1811" s="144"/>
      <c r="C1811" s="15"/>
      <c r="D1811" s="15"/>
      <c r="E1811" s="146"/>
      <c r="F1811" s="15"/>
      <c r="G1811" s="15"/>
      <c r="H1811" s="15"/>
      <c r="I1811" s="15"/>
      <c r="J1811" s="15"/>
      <c r="K1811" s="15"/>
    </row>
    <row r="1812" ht="22.5" customHeight="1">
      <c r="A1812" s="167"/>
      <c r="B1812" s="144"/>
      <c r="C1812" s="15"/>
      <c r="D1812" s="15"/>
      <c r="E1812" s="146"/>
      <c r="F1812" s="15"/>
      <c r="G1812" s="15"/>
      <c r="H1812" s="15"/>
      <c r="I1812" s="15"/>
      <c r="J1812" s="15"/>
      <c r="K1812" s="15"/>
    </row>
    <row r="1813" ht="22.5" customHeight="1">
      <c r="A1813" s="167"/>
      <c r="B1813" s="144"/>
      <c r="C1813" s="15"/>
      <c r="D1813" s="15"/>
      <c r="E1813" s="146"/>
      <c r="F1813" s="15"/>
      <c r="G1813" s="15"/>
      <c r="H1813" s="15"/>
      <c r="I1813" s="15"/>
      <c r="J1813" s="15"/>
      <c r="K1813" s="15"/>
    </row>
    <row r="1814" ht="22.5" customHeight="1">
      <c r="A1814" s="167"/>
      <c r="B1814" s="144"/>
      <c r="C1814" s="15"/>
      <c r="D1814" s="15"/>
      <c r="E1814" s="146"/>
      <c r="F1814" s="15"/>
      <c r="G1814" s="15"/>
      <c r="H1814" s="15"/>
      <c r="I1814" s="15"/>
      <c r="J1814" s="15"/>
      <c r="K1814" s="15"/>
    </row>
    <row r="1815" ht="22.5" customHeight="1">
      <c r="A1815" s="167"/>
      <c r="B1815" s="144"/>
      <c r="C1815" s="15"/>
      <c r="D1815" s="15"/>
      <c r="E1815" s="146"/>
      <c r="F1815" s="15"/>
      <c r="G1815" s="15"/>
      <c r="H1815" s="15"/>
      <c r="I1815" s="15"/>
      <c r="J1815" s="15"/>
      <c r="K1815" s="15"/>
    </row>
    <row r="1816" ht="22.5" customHeight="1">
      <c r="A1816" s="167"/>
      <c r="B1816" s="144"/>
      <c r="C1816" s="15"/>
      <c r="D1816" s="15"/>
      <c r="E1816" s="146"/>
      <c r="F1816" s="15"/>
      <c r="G1816" s="15"/>
      <c r="H1816" s="15"/>
      <c r="I1816" s="15"/>
      <c r="J1816" s="15"/>
      <c r="K1816" s="15"/>
    </row>
    <row r="1817" ht="22.5" customHeight="1">
      <c r="A1817" s="167"/>
      <c r="B1817" s="144"/>
      <c r="C1817" s="15"/>
      <c r="D1817" s="15"/>
      <c r="E1817" s="146"/>
      <c r="F1817" s="15"/>
      <c r="G1817" s="15"/>
      <c r="H1817" s="15"/>
      <c r="I1817" s="15"/>
      <c r="J1817" s="15"/>
      <c r="K1817" s="15"/>
    </row>
    <row r="1818" ht="22.5" customHeight="1">
      <c r="A1818" s="167"/>
      <c r="B1818" s="144"/>
      <c r="C1818" s="15"/>
      <c r="D1818" s="15"/>
      <c r="E1818" s="146"/>
      <c r="F1818" s="15"/>
      <c r="G1818" s="15"/>
      <c r="H1818" s="15"/>
      <c r="I1818" s="15"/>
      <c r="J1818" s="15"/>
      <c r="K1818" s="15"/>
    </row>
    <row r="1819" ht="22.5" customHeight="1">
      <c r="A1819" s="167"/>
      <c r="B1819" s="144"/>
      <c r="C1819" s="15"/>
      <c r="D1819" s="15"/>
      <c r="E1819" s="146"/>
      <c r="F1819" s="15"/>
      <c r="G1819" s="15"/>
      <c r="H1819" s="15"/>
      <c r="I1819" s="15"/>
      <c r="J1819" s="15"/>
      <c r="K1819" s="15"/>
    </row>
    <row r="1820" ht="22.5" customHeight="1">
      <c r="A1820" s="167"/>
      <c r="B1820" s="144"/>
      <c r="C1820" s="15"/>
      <c r="D1820" s="15"/>
      <c r="E1820" s="146"/>
      <c r="F1820" s="15"/>
      <c r="G1820" s="15"/>
      <c r="H1820" s="15"/>
      <c r="I1820" s="15"/>
      <c r="J1820" s="15"/>
      <c r="K1820" s="15"/>
    </row>
    <row r="1821" ht="22.5" customHeight="1">
      <c r="A1821" s="167"/>
      <c r="B1821" s="144"/>
      <c r="C1821" s="15"/>
      <c r="D1821" s="15"/>
      <c r="E1821" s="146"/>
      <c r="F1821" s="15"/>
      <c r="G1821" s="15"/>
      <c r="H1821" s="15"/>
      <c r="I1821" s="15"/>
      <c r="J1821" s="15"/>
      <c r="K1821" s="15"/>
    </row>
    <row r="1822" ht="22.5" customHeight="1">
      <c r="A1822" s="167"/>
      <c r="B1822" s="144"/>
      <c r="C1822" s="15"/>
      <c r="D1822" s="15"/>
      <c r="E1822" s="146"/>
      <c r="F1822" s="15"/>
      <c r="G1822" s="15"/>
      <c r="H1822" s="15"/>
      <c r="I1822" s="15"/>
      <c r="J1822" s="15"/>
      <c r="K1822" s="15"/>
    </row>
    <row r="1823" ht="22.5" customHeight="1">
      <c r="A1823" s="167"/>
      <c r="B1823" s="144"/>
      <c r="C1823" s="15"/>
      <c r="D1823" s="15"/>
      <c r="E1823" s="146"/>
      <c r="F1823" s="15"/>
      <c r="G1823" s="15"/>
      <c r="H1823" s="15"/>
      <c r="I1823" s="15"/>
      <c r="J1823" s="15"/>
      <c r="K1823" s="15"/>
    </row>
    <row r="1824" ht="22.5" customHeight="1">
      <c r="A1824" s="167"/>
      <c r="B1824" s="144"/>
      <c r="C1824" s="15"/>
      <c r="D1824" s="15"/>
      <c r="E1824" s="146"/>
      <c r="F1824" s="15"/>
      <c r="G1824" s="15"/>
      <c r="H1824" s="15"/>
      <c r="I1824" s="15"/>
      <c r="J1824" s="15"/>
      <c r="K1824" s="15"/>
    </row>
    <row r="1825" ht="22.5" customHeight="1">
      <c r="A1825" s="167"/>
      <c r="B1825" s="144"/>
      <c r="C1825" s="15"/>
      <c r="D1825" s="15"/>
      <c r="E1825" s="146"/>
      <c r="F1825" s="15"/>
      <c r="G1825" s="15"/>
      <c r="H1825" s="15"/>
      <c r="I1825" s="15"/>
      <c r="J1825" s="15"/>
      <c r="K1825" s="15"/>
    </row>
    <row r="1826" ht="22.5" customHeight="1">
      <c r="A1826" s="167"/>
      <c r="B1826" s="144"/>
      <c r="C1826" s="15"/>
      <c r="D1826" s="15"/>
      <c r="E1826" s="146"/>
      <c r="F1826" s="15"/>
      <c r="G1826" s="15"/>
      <c r="H1826" s="15"/>
      <c r="I1826" s="15"/>
      <c r="J1826" s="15"/>
      <c r="K1826" s="15"/>
    </row>
    <row r="1827" ht="22.5" customHeight="1">
      <c r="A1827" s="167"/>
      <c r="B1827" s="144"/>
      <c r="C1827" s="15"/>
      <c r="D1827" s="15"/>
      <c r="E1827" s="146"/>
      <c r="F1827" s="15"/>
      <c r="G1827" s="15"/>
      <c r="H1827" s="15"/>
      <c r="I1827" s="15"/>
      <c r="J1827" s="15"/>
      <c r="K1827" s="15"/>
    </row>
    <row r="1828" ht="22.5" customHeight="1">
      <c r="A1828" s="167"/>
      <c r="B1828" s="144"/>
      <c r="C1828" s="15"/>
      <c r="D1828" s="15"/>
      <c r="E1828" s="146"/>
      <c r="F1828" s="15"/>
      <c r="G1828" s="15"/>
      <c r="H1828" s="15"/>
      <c r="I1828" s="15"/>
      <c r="J1828" s="15"/>
      <c r="K1828" s="15"/>
    </row>
    <row r="1829" ht="22.5" customHeight="1">
      <c r="A1829" s="167"/>
      <c r="B1829" s="144"/>
      <c r="C1829" s="15"/>
      <c r="D1829" s="15"/>
      <c r="E1829" s="146"/>
      <c r="F1829" s="15"/>
      <c r="G1829" s="15"/>
      <c r="H1829" s="15"/>
      <c r="I1829" s="15"/>
      <c r="J1829" s="15"/>
      <c r="K1829" s="15"/>
    </row>
    <row r="1830" ht="22.5" customHeight="1">
      <c r="A1830" s="167"/>
      <c r="B1830" s="144"/>
      <c r="C1830" s="15"/>
      <c r="D1830" s="15"/>
      <c r="E1830" s="146"/>
      <c r="F1830" s="15"/>
      <c r="G1830" s="15"/>
      <c r="H1830" s="15"/>
      <c r="I1830" s="15"/>
      <c r="J1830" s="15"/>
      <c r="K1830" s="15"/>
    </row>
    <row r="1831" ht="22.5" customHeight="1">
      <c r="A1831" s="167"/>
      <c r="B1831" s="144"/>
      <c r="C1831" s="15"/>
      <c r="D1831" s="15"/>
      <c r="E1831" s="146"/>
      <c r="F1831" s="15"/>
      <c r="G1831" s="15"/>
      <c r="H1831" s="15"/>
      <c r="I1831" s="15"/>
      <c r="J1831" s="15"/>
      <c r="K1831" s="15"/>
    </row>
    <row r="1832" ht="22.5" customHeight="1">
      <c r="A1832" s="167"/>
      <c r="B1832" s="144"/>
      <c r="C1832" s="15"/>
      <c r="D1832" s="15"/>
      <c r="E1832" s="146"/>
      <c r="F1832" s="15"/>
      <c r="G1832" s="15"/>
      <c r="H1832" s="15"/>
      <c r="I1832" s="15"/>
      <c r="J1832" s="15"/>
      <c r="K1832" s="15"/>
    </row>
    <row r="1833" ht="22.5" customHeight="1">
      <c r="A1833" s="167"/>
      <c r="B1833" s="144"/>
      <c r="C1833" s="15"/>
      <c r="D1833" s="15"/>
      <c r="E1833" s="146"/>
      <c r="F1833" s="15"/>
      <c r="G1833" s="15"/>
      <c r="H1833" s="15"/>
      <c r="I1833" s="15"/>
      <c r="J1833" s="15"/>
      <c r="K1833" s="15"/>
    </row>
    <row r="1834" ht="22.5" customHeight="1">
      <c r="A1834" s="167"/>
      <c r="B1834" s="144"/>
      <c r="C1834" s="15"/>
      <c r="D1834" s="15"/>
      <c r="E1834" s="146"/>
      <c r="F1834" s="15"/>
      <c r="G1834" s="15"/>
      <c r="H1834" s="15"/>
      <c r="I1834" s="15"/>
      <c r="J1834" s="15"/>
      <c r="K1834" s="15"/>
    </row>
    <row r="1835" ht="22.5" customHeight="1">
      <c r="A1835" s="167"/>
      <c r="B1835" s="144"/>
      <c r="C1835" s="15"/>
      <c r="D1835" s="15"/>
      <c r="E1835" s="146"/>
      <c r="F1835" s="15"/>
      <c r="G1835" s="15"/>
      <c r="H1835" s="15"/>
      <c r="I1835" s="15"/>
      <c r="J1835" s="15"/>
      <c r="K1835" s="15"/>
    </row>
    <row r="1836" ht="22.5" customHeight="1">
      <c r="A1836" s="167"/>
      <c r="B1836" s="144"/>
      <c r="C1836" s="15"/>
      <c r="D1836" s="15"/>
      <c r="E1836" s="146"/>
      <c r="F1836" s="15"/>
      <c r="G1836" s="15"/>
      <c r="H1836" s="15"/>
      <c r="I1836" s="15"/>
      <c r="J1836" s="15"/>
      <c r="K1836" s="15"/>
    </row>
    <row r="1837" ht="22.5" customHeight="1">
      <c r="A1837" s="167"/>
      <c r="B1837" s="144"/>
      <c r="C1837" s="15"/>
      <c r="D1837" s="15"/>
      <c r="E1837" s="146"/>
      <c r="F1837" s="15"/>
      <c r="G1837" s="15"/>
      <c r="H1837" s="15"/>
      <c r="I1837" s="15"/>
      <c r="J1837" s="15"/>
      <c r="K1837" s="15"/>
    </row>
    <row r="1838" ht="22.5" customHeight="1">
      <c r="A1838" s="167"/>
      <c r="B1838" s="144"/>
      <c r="C1838" s="15"/>
      <c r="D1838" s="15"/>
      <c r="E1838" s="146"/>
      <c r="F1838" s="15"/>
      <c r="G1838" s="15"/>
      <c r="H1838" s="15"/>
      <c r="I1838" s="15"/>
      <c r="J1838" s="15"/>
      <c r="K1838" s="15"/>
    </row>
    <row r="1839" ht="22.5" customHeight="1">
      <c r="A1839" s="167"/>
      <c r="B1839" s="144"/>
      <c r="C1839" s="15"/>
      <c r="D1839" s="15"/>
      <c r="E1839" s="146"/>
      <c r="F1839" s="15"/>
      <c r="G1839" s="15"/>
      <c r="H1839" s="15"/>
      <c r="I1839" s="15"/>
      <c r="J1839" s="15"/>
      <c r="K1839" s="15"/>
    </row>
    <row r="1840" ht="22.5" customHeight="1">
      <c r="A1840" s="167"/>
      <c r="B1840" s="144"/>
      <c r="C1840" s="15"/>
      <c r="D1840" s="15"/>
      <c r="E1840" s="146"/>
      <c r="F1840" s="15"/>
      <c r="G1840" s="15"/>
      <c r="H1840" s="15"/>
      <c r="I1840" s="15"/>
      <c r="J1840" s="15"/>
      <c r="K1840" s="15"/>
    </row>
    <row r="1841" ht="22.5" customHeight="1">
      <c r="A1841" s="167"/>
      <c r="B1841" s="144"/>
      <c r="C1841" s="15"/>
      <c r="D1841" s="15"/>
      <c r="E1841" s="146"/>
      <c r="F1841" s="15"/>
      <c r="G1841" s="15"/>
      <c r="H1841" s="15"/>
      <c r="I1841" s="15"/>
      <c r="J1841" s="15"/>
      <c r="K1841" s="15"/>
    </row>
    <row r="1842" ht="22.5" customHeight="1">
      <c r="A1842" s="167"/>
      <c r="B1842" s="144"/>
      <c r="C1842" s="15"/>
      <c r="D1842" s="15"/>
      <c r="E1842" s="146"/>
      <c r="F1842" s="15"/>
      <c r="G1842" s="15"/>
      <c r="H1842" s="15"/>
      <c r="I1842" s="15"/>
      <c r="J1842" s="15"/>
      <c r="K1842" s="15"/>
    </row>
    <row r="1843" ht="22.5" customHeight="1">
      <c r="A1843" s="167"/>
      <c r="B1843" s="144"/>
      <c r="C1843" s="15"/>
      <c r="D1843" s="15"/>
      <c r="E1843" s="146"/>
      <c r="F1843" s="15"/>
      <c r="G1843" s="15"/>
      <c r="H1843" s="15"/>
      <c r="I1843" s="15"/>
      <c r="J1843" s="15"/>
      <c r="K1843" s="15"/>
    </row>
    <row r="1844" ht="22.5" customHeight="1">
      <c r="A1844" s="167"/>
      <c r="B1844" s="144"/>
      <c r="C1844" s="15"/>
      <c r="D1844" s="15"/>
      <c r="E1844" s="146"/>
      <c r="F1844" s="15"/>
      <c r="G1844" s="15"/>
      <c r="H1844" s="15"/>
      <c r="I1844" s="15"/>
      <c r="J1844" s="15"/>
      <c r="K1844" s="15"/>
    </row>
    <row r="1845" ht="22.5" customHeight="1">
      <c r="A1845" s="167"/>
      <c r="B1845" s="144"/>
      <c r="C1845" s="15"/>
      <c r="D1845" s="15"/>
      <c r="E1845" s="146"/>
      <c r="F1845" s="15"/>
      <c r="G1845" s="15"/>
      <c r="H1845" s="15"/>
      <c r="I1845" s="15"/>
      <c r="J1845" s="15"/>
      <c r="K1845" s="15"/>
    </row>
    <row r="1846" ht="22.5" customHeight="1">
      <c r="A1846" s="167"/>
      <c r="B1846" s="144"/>
      <c r="C1846" s="15"/>
      <c r="D1846" s="15"/>
      <c r="E1846" s="146"/>
      <c r="F1846" s="15"/>
      <c r="G1846" s="15"/>
      <c r="H1846" s="15"/>
      <c r="I1846" s="15"/>
      <c r="J1846" s="15"/>
      <c r="K1846" s="15"/>
    </row>
    <row r="1847" ht="22.5" customHeight="1">
      <c r="A1847" s="167"/>
      <c r="B1847" s="144"/>
      <c r="C1847" s="15"/>
      <c r="D1847" s="15"/>
      <c r="E1847" s="146"/>
      <c r="F1847" s="15"/>
      <c r="G1847" s="15"/>
      <c r="H1847" s="15"/>
      <c r="I1847" s="15"/>
      <c r="J1847" s="15"/>
      <c r="K1847" s="15"/>
    </row>
    <row r="1848" ht="22.5" customHeight="1">
      <c r="A1848" s="167"/>
      <c r="B1848" s="144"/>
      <c r="C1848" s="15"/>
      <c r="D1848" s="15"/>
      <c r="E1848" s="146"/>
      <c r="F1848" s="15"/>
      <c r="G1848" s="15"/>
      <c r="H1848" s="15"/>
      <c r="I1848" s="15"/>
      <c r="J1848" s="15"/>
      <c r="K1848" s="15"/>
    </row>
    <row r="1849" ht="22.5" customHeight="1">
      <c r="A1849" s="167"/>
      <c r="B1849" s="144"/>
      <c r="C1849" s="15"/>
      <c r="D1849" s="15"/>
      <c r="E1849" s="146"/>
      <c r="F1849" s="15"/>
      <c r="G1849" s="15"/>
      <c r="H1849" s="15"/>
      <c r="I1849" s="15"/>
      <c r="J1849" s="15"/>
      <c r="K1849" s="15"/>
    </row>
    <row r="1850" ht="22.5" customHeight="1">
      <c r="A1850" s="167"/>
      <c r="B1850" s="144"/>
      <c r="C1850" s="15"/>
      <c r="D1850" s="15"/>
      <c r="E1850" s="146"/>
      <c r="F1850" s="15"/>
      <c r="G1850" s="15"/>
      <c r="H1850" s="15"/>
      <c r="I1850" s="15"/>
      <c r="J1850" s="15"/>
      <c r="K1850" s="15"/>
    </row>
    <row r="1851" ht="22.5" customHeight="1">
      <c r="A1851" s="167"/>
      <c r="B1851" s="144"/>
      <c r="C1851" s="15"/>
      <c r="D1851" s="15"/>
      <c r="E1851" s="146"/>
      <c r="F1851" s="15"/>
      <c r="G1851" s="15"/>
      <c r="H1851" s="15"/>
      <c r="I1851" s="15"/>
      <c r="J1851" s="15"/>
      <c r="K1851" s="15"/>
    </row>
    <row r="1852" ht="22.5" customHeight="1">
      <c r="A1852" s="167"/>
      <c r="B1852" s="144"/>
      <c r="C1852" s="15"/>
      <c r="D1852" s="15"/>
      <c r="E1852" s="146"/>
      <c r="F1852" s="15"/>
      <c r="G1852" s="15"/>
      <c r="H1852" s="15"/>
      <c r="I1852" s="15"/>
      <c r="J1852" s="15"/>
      <c r="K1852" s="15"/>
    </row>
    <row r="1853" ht="22.5" customHeight="1">
      <c r="A1853" s="167"/>
      <c r="B1853" s="144"/>
      <c r="C1853" s="15"/>
      <c r="D1853" s="15"/>
      <c r="E1853" s="146"/>
      <c r="F1853" s="15"/>
      <c r="G1853" s="15"/>
      <c r="H1853" s="15"/>
      <c r="I1853" s="15"/>
      <c r="J1853" s="15"/>
      <c r="K1853" s="15"/>
    </row>
    <row r="1854" ht="22.5" customHeight="1">
      <c r="A1854" s="167"/>
      <c r="B1854" s="144"/>
      <c r="C1854" s="15"/>
      <c r="D1854" s="15"/>
      <c r="E1854" s="146"/>
      <c r="F1854" s="15"/>
      <c r="G1854" s="15"/>
      <c r="H1854" s="15"/>
      <c r="I1854" s="15"/>
      <c r="J1854" s="15"/>
      <c r="K1854" s="15"/>
    </row>
    <row r="1855" ht="22.5" customHeight="1">
      <c r="A1855" s="167"/>
      <c r="B1855" s="144"/>
      <c r="C1855" s="15"/>
      <c r="D1855" s="15"/>
      <c r="E1855" s="146"/>
      <c r="F1855" s="15"/>
      <c r="G1855" s="15"/>
      <c r="H1855" s="15"/>
      <c r="I1855" s="15"/>
      <c r="J1855" s="15"/>
      <c r="K1855" s="15"/>
    </row>
    <row r="1856" ht="22.5" customHeight="1">
      <c r="A1856" s="167"/>
      <c r="B1856" s="144"/>
      <c r="C1856" s="15"/>
      <c r="D1856" s="15"/>
      <c r="E1856" s="146"/>
      <c r="F1856" s="15"/>
      <c r="G1856" s="15"/>
      <c r="H1856" s="15"/>
      <c r="I1856" s="15"/>
      <c r="J1856" s="15"/>
      <c r="K1856" s="15"/>
    </row>
    <row r="1857" ht="22.5" customHeight="1">
      <c r="A1857" s="167"/>
      <c r="B1857" s="144"/>
      <c r="C1857" s="15"/>
      <c r="D1857" s="15"/>
      <c r="E1857" s="146"/>
      <c r="F1857" s="15"/>
      <c r="G1857" s="15"/>
      <c r="H1857" s="15"/>
      <c r="I1857" s="15"/>
      <c r="J1857" s="15"/>
      <c r="K1857" s="15"/>
    </row>
    <row r="1858" ht="22.5" customHeight="1">
      <c r="A1858" s="167"/>
      <c r="B1858" s="144"/>
      <c r="C1858" s="15"/>
      <c r="D1858" s="15"/>
      <c r="E1858" s="146"/>
      <c r="F1858" s="15"/>
      <c r="G1858" s="15"/>
      <c r="H1858" s="15"/>
      <c r="I1858" s="15"/>
      <c r="J1858" s="15"/>
      <c r="K1858" s="15"/>
    </row>
    <row r="1859" ht="22.5" customHeight="1">
      <c r="A1859" s="167"/>
      <c r="B1859" s="144"/>
      <c r="C1859" s="15"/>
      <c r="D1859" s="15"/>
      <c r="E1859" s="146"/>
      <c r="F1859" s="15"/>
      <c r="G1859" s="15"/>
      <c r="H1859" s="15"/>
      <c r="I1859" s="15"/>
      <c r="J1859" s="15"/>
      <c r="K1859" s="15"/>
    </row>
    <row r="1860" ht="22.5" customHeight="1">
      <c r="A1860" s="167"/>
      <c r="B1860" s="144"/>
      <c r="C1860" s="15"/>
      <c r="D1860" s="15"/>
      <c r="E1860" s="146"/>
      <c r="F1860" s="15"/>
      <c r="G1860" s="15"/>
      <c r="H1860" s="15"/>
      <c r="I1860" s="15"/>
      <c r="J1860" s="15"/>
      <c r="K1860" s="15"/>
    </row>
    <row r="1861" ht="22.5" customHeight="1">
      <c r="A1861" s="167"/>
      <c r="B1861" s="144"/>
      <c r="C1861" s="15"/>
      <c r="D1861" s="15"/>
      <c r="E1861" s="146"/>
      <c r="F1861" s="15"/>
      <c r="G1861" s="15"/>
      <c r="H1861" s="15"/>
      <c r="I1861" s="15"/>
      <c r="J1861" s="15"/>
      <c r="K1861" s="15"/>
    </row>
    <row r="1862" ht="22.5" customHeight="1">
      <c r="A1862" s="167"/>
      <c r="B1862" s="144"/>
      <c r="C1862" s="15"/>
      <c r="D1862" s="15"/>
      <c r="E1862" s="146"/>
      <c r="F1862" s="15"/>
      <c r="G1862" s="15"/>
      <c r="H1862" s="15"/>
      <c r="I1862" s="15"/>
      <c r="J1862" s="15"/>
      <c r="K1862" s="15"/>
    </row>
    <row r="1863" ht="22.5" customHeight="1">
      <c r="A1863" s="167"/>
      <c r="B1863" s="144"/>
      <c r="C1863" s="15"/>
      <c r="D1863" s="15"/>
      <c r="E1863" s="146"/>
      <c r="F1863" s="15"/>
      <c r="G1863" s="15"/>
      <c r="H1863" s="15"/>
      <c r="I1863" s="15"/>
      <c r="J1863" s="15"/>
      <c r="K1863" s="15"/>
    </row>
    <row r="1864" ht="22.5" customHeight="1">
      <c r="A1864" s="167"/>
      <c r="B1864" s="144"/>
      <c r="C1864" s="15"/>
      <c r="D1864" s="15"/>
      <c r="E1864" s="146"/>
      <c r="F1864" s="15"/>
      <c r="G1864" s="15"/>
      <c r="H1864" s="15"/>
      <c r="I1864" s="15"/>
      <c r="J1864" s="15"/>
      <c r="K1864" s="15"/>
    </row>
    <row r="1865" ht="22.5" customHeight="1">
      <c r="A1865" s="167"/>
      <c r="B1865" s="144"/>
      <c r="C1865" s="15"/>
      <c r="D1865" s="15"/>
      <c r="E1865" s="146"/>
      <c r="F1865" s="15"/>
      <c r="G1865" s="15"/>
      <c r="H1865" s="15"/>
      <c r="I1865" s="15"/>
      <c r="J1865" s="15"/>
      <c r="K1865" s="15"/>
    </row>
    <row r="1866" ht="22.5" customHeight="1">
      <c r="A1866" s="167"/>
      <c r="B1866" s="144"/>
      <c r="C1866" s="15"/>
      <c r="D1866" s="15"/>
      <c r="E1866" s="146"/>
      <c r="F1866" s="15"/>
      <c r="G1866" s="15"/>
      <c r="H1866" s="15"/>
      <c r="I1866" s="15"/>
      <c r="J1866" s="15"/>
      <c r="K1866" s="15"/>
    </row>
    <row r="1867" ht="22.5" customHeight="1">
      <c r="A1867" s="167"/>
      <c r="B1867" s="144"/>
      <c r="C1867" s="15"/>
      <c r="D1867" s="15"/>
      <c r="E1867" s="146"/>
      <c r="F1867" s="15"/>
      <c r="G1867" s="15"/>
      <c r="H1867" s="15"/>
      <c r="I1867" s="15"/>
      <c r="J1867" s="15"/>
      <c r="K1867" s="15"/>
    </row>
    <row r="1868" ht="22.5" customHeight="1">
      <c r="A1868" s="167"/>
      <c r="B1868" s="144"/>
      <c r="C1868" s="15"/>
      <c r="D1868" s="15"/>
      <c r="E1868" s="146"/>
      <c r="F1868" s="15"/>
      <c r="G1868" s="15"/>
      <c r="H1868" s="15"/>
      <c r="I1868" s="15"/>
      <c r="J1868" s="15"/>
      <c r="K1868" s="15"/>
    </row>
    <row r="1869" ht="22.5" customHeight="1">
      <c r="A1869" s="167"/>
      <c r="B1869" s="144"/>
      <c r="C1869" s="15"/>
      <c r="D1869" s="15"/>
      <c r="E1869" s="146"/>
      <c r="F1869" s="15"/>
      <c r="G1869" s="15"/>
      <c r="H1869" s="15"/>
      <c r="I1869" s="15"/>
      <c r="J1869" s="15"/>
      <c r="K1869" s="15"/>
    </row>
    <row r="1870" ht="22.5" customHeight="1">
      <c r="A1870" s="167"/>
      <c r="B1870" s="144"/>
      <c r="C1870" s="15"/>
      <c r="D1870" s="15"/>
      <c r="E1870" s="146"/>
      <c r="F1870" s="15"/>
      <c r="G1870" s="15"/>
      <c r="H1870" s="15"/>
      <c r="I1870" s="15"/>
      <c r="J1870" s="15"/>
      <c r="K1870" s="15"/>
    </row>
    <row r="1871" ht="22.5" customHeight="1">
      <c r="A1871" s="167"/>
      <c r="B1871" s="144"/>
      <c r="C1871" s="15"/>
      <c r="D1871" s="15"/>
      <c r="E1871" s="146"/>
      <c r="F1871" s="15"/>
      <c r="G1871" s="15"/>
      <c r="H1871" s="15"/>
      <c r="I1871" s="15"/>
      <c r="J1871" s="15"/>
      <c r="K1871" s="15"/>
    </row>
    <row r="1872" ht="22.5" customHeight="1">
      <c r="A1872" s="167"/>
      <c r="B1872" s="144"/>
      <c r="C1872" s="15"/>
      <c r="D1872" s="15"/>
      <c r="E1872" s="146"/>
      <c r="F1872" s="15"/>
      <c r="G1872" s="15"/>
      <c r="H1872" s="15"/>
      <c r="I1872" s="15"/>
      <c r="J1872" s="15"/>
      <c r="K1872" s="15"/>
    </row>
    <row r="1873" ht="22.5" customHeight="1">
      <c r="A1873" s="167"/>
      <c r="B1873" s="144"/>
      <c r="C1873" s="15"/>
      <c r="D1873" s="15"/>
      <c r="E1873" s="146"/>
      <c r="F1873" s="15"/>
      <c r="G1873" s="15"/>
      <c r="H1873" s="15"/>
      <c r="I1873" s="15"/>
      <c r="J1873" s="15"/>
      <c r="K1873" s="15"/>
    </row>
    <row r="1874" ht="22.5" customHeight="1">
      <c r="A1874" s="167"/>
      <c r="B1874" s="144"/>
      <c r="C1874" s="15"/>
      <c r="D1874" s="15"/>
      <c r="E1874" s="146"/>
      <c r="F1874" s="15"/>
      <c r="G1874" s="15"/>
      <c r="H1874" s="15"/>
      <c r="I1874" s="15"/>
      <c r="J1874" s="15"/>
      <c r="K1874" s="15"/>
    </row>
    <row r="1875" ht="22.5" customHeight="1">
      <c r="A1875" s="167"/>
      <c r="B1875" s="144"/>
      <c r="C1875" s="15"/>
      <c r="D1875" s="15"/>
      <c r="E1875" s="146"/>
      <c r="F1875" s="15"/>
      <c r="G1875" s="15"/>
      <c r="H1875" s="15"/>
      <c r="I1875" s="15"/>
      <c r="J1875" s="15"/>
      <c r="K1875" s="15"/>
    </row>
    <row r="1876" ht="22.5" customHeight="1">
      <c r="A1876" s="167"/>
      <c r="B1876" s="144"/>
      <c r="C1876" s="15"/>
      <c r="D1876" s="15"/>
      <c r="E1876" s="146"/>
      <c r="F1876" s="15"/>
      <c r="G1876" s="15"/>
      <c r="H1876" s="15"/>
      <c r="I1876" s="15"/>
      <c r="J1876" s="15"/>
      <c r="K1876" s="15"/>
    </row>
    <row r="1877" ht="22.5" customHeight="1">
      <c r="A1877" s="167"/>
      <c r="B1877" s="144"/>
      <c r="C1877" s="15"/>
      <c r="D1877" s="15"/>
      <c r="E1877" s="146"/>
      <c r="F1877" s="15"/>
      <c r="G1877" s="15"/>
      <c r="H1877" s="15"/>
      <c r="I1877" s="15"/>
      <c r="J1877" s="15"/>
      <c r="K1877" s="15"/>
    </row>
    <row r="1878" ht="22.5" customHeight="1">
      <c r="A1878" s="167"/>
      <c r="B1878" s="144"/>
      <c r="C1878" s="15"/>
      <c r="D1878" s="15"/>
      <c r="E1878" s="146"/>
      <c r="F1878" s="15"/>
      <c r="G1878" s="15"/>
      <c r="H1878" s="15"/>
      <c r="I1878" s="15"/>
      <c r="J1878" s="15"/>
      <c r="K1878" s="15"/>
    </row>
    <row r="1879" ht="22.5" customHeight="1">
      <c r="A1879" s="167"/>
      <c r="B1879" s="144"/>
      <c r="C1879" s="15"/>
      <c r="D1879" s="15"/>
      <c r="E1879" s="146"/>
      <c r="F1879" s="15"/>
      <c r="G1879" s="15"/>
      <c r="H1879" s="15"/>
      <c r="I1879" s="15"/>
      <c r="J1879" s="15"/>
      <c r="K1879" s="15"/>
    </row>
    <row r="1880" ht="22.5" customHeight="1">
      <c r="A1880" s="167"/>
      <c r="B1880" s="144"/>
      <c r="C1880" s="15"/>
      <c r="D1880" s="15"/>
      <c r="E1880" s="146"/>
      <c r="F1880" s="15"/>
      <c r="G1880" s="15"/>
      <c r="H1880" s="15"/>
      <c r="I1880" s="15"/>
      <c r="J1880" s="15"/>
      <c r="K1880" s="15"/>
    </row>
    <row r="1881" ht="22.5" customHeight="1">
      <c r="A1881" s="167"/>
      <c r="B1881" s="144"/>
      <c r="C1881" s="15"/>
      <c r="D1881" s="15"/>
      <c r="E1881" s="146"/>
      <c r="F1881" s="15"/>
      <c r="G1881" s="15"/>
      <c r="H1881" s="15"/>
      <c r="I1881" s="15"/>
      <c r="J1881" s="15"/>
      <c r="K1881" s="15"/>
    </row>
    <row r="1882" ht="22.5" customHeight="1">
      <c r="A1882" s="167"/>
      <c r="B1882" s="144"/>
      <c r="C1882" s="15"/>
      <c r="D1882" s="15"/>
      <c r="E1882" s="146"/>
      <c r="F1882" s="15"/>
      <c r="G1882" s="15"/>
      <c r="H1882" s="15"/>
      <c r="I1882" s="15"/>
      <c r="J1882" s="15"/>
      <c r="K1882" s="15"/>
    </row>
    <row r="1883" ht="22.5" customHeight="1">
      <c r="A1883" s="167"/>
      <c r="B1883" s="144"/>
      <c r="C1883" s="15"/>
      <c r="D1883" s="15"/>
      <c r="E1883" s="146"/>
      <c r="F1883" s="15"/>
      <c r="G1883" s="15"/>
      <c r="H1883" s="15"/>
      <c r="I1883" s="15"/>
      <c r="J1883" s="15"/>
      <c r="K1883" s="15"/>
    </row>
    <row r="1884" ht="22.5" customHeight="1">
      <c r="A1884" s="167"/>
      <c r="B1884" s="144"/>
      <c r="C1884" s="15"/>
      <c r="D1884" s="15"/>
      <c r="E1884" s="146"/>
      <c r="F1884" s="15"/>
      <c r="G1884" s="15"/>
      <c r="H1884" s="15"/>
      <c r="I1884" s="15"/>
      <c r="J1884" s="15"/>
      <c r="K1884" s="15"/>
    </row>
    <row r="1885" ht="22.5" customHeight="1">
      <c r="A1885" s="167"/>
      <c r="B1885" s="144"/>
      <c r="C1885" s="15"/>
      <c r="D1885" s="15"/>
      <c r="E1885" s="146"/>
      <c r="F1885" s="15"/>
      <c r="G1885" s="15"/>
      <c r="H1885" s="15"/>
      <c r="I1885" s="15"/>
      <c r="J1885" s="15"/>
      <c r="K1885" s="15"/>
    </row>
    <row r="1886" ht="22.5" customHeight="1">
      <c r="A1886" s="167"/>
      <c r="B1886" s="144"/>
      <c r="C1886" s="15"/>
      <c r="D1886" s="15"/>
      <c r="E1886" s="146"/>
      <c r="F1886" s="15"/>
      <c r="G1886" s="15"/>
      <c r="H1886" s="15"/>
      <c r="I1886" s="15"/>
      <c r="J1886" s="15"/>
      <c r="K1886" s="15"/>
    </row>
    <row r="1887" ht="22.5" customHeight="1">
      <c r="A1887" s="167"/>
      <c r="B1887" s="144"/>
      <c r="C1887" s="15"/>
      <c r="D1887" s="15"/>
      <c r="E1887" s="146"/>
      <c r="F1887" s="15"/>
      <c r="G1887" s="15"/>
      <c r="H1887" s="15"/>
      <c r="I1887" s="15"/>
      <c r="J1887" s="15"/>
      <c r="K1887" s="15"/>
    </row>
    <row r="1888" ht="22.5" customHeight="1">
      <c r="A1888" s="167"/>
      <c r="B1888" s="144"/>
      <c r="C1888" s="15"/>
      <c r="D1888" s="15"/>
      <c r="E1888" s="146"/>
      <c r="F1888" s="15"/>
      <c r="G1888" s="15"/>
      <c r="H1888" s="15"/>
      <c r="I1888" s="15"/>
      <c r="J1888" s="15"/>
      <c r="K1888" s="15"/>
    </row>
    <row r="1889" ht="22.5" customHeight="1">
      <c r="A1889" s="167"/>
      <c r="B1889" s="144"/>
      <c r="C1889" s="15"/>
      <c r="D1889" s="15"/>
      <c r="E1889" s="146"/>
      <c r="F1889" s="15"/>
      <c r="G1889" s="15"/>
      <c r="H1889" s="15"/>
      <c r="I1889" s="15"/>
      <c r="J1889" s="15"/>
      <c r="K1889" s="15"/>
    </row>
    <row r="1890" ht="22.5" customHeight="1">
      <c r="A1890" s="167"/>
      <c r="B1890" s="144"/>
      <c r="C1890" s="15"/>
      <c r="D1890" s="15"/>
      <c r="E1890" s="146"/>
      <c r="F1890" s="15"/>
      <c r="G1890" s="15"/>
      <c r="H1890" s="15"/>
      <c r="I1890" s="15"/>
      <c r="J1890" s="15"/>
      <c r="K1890" s="15"/>
    </row>
    <row r="1891" ht="22.5" customHeight="1">
      <c r="A1891" s="167"/>
      <c r="B1891" s="144"/>
      <c r="C1891" s="15"/>
      <c r="D1891" s="15"/>
      <c r="E1891" s="146"/>
      <c r="F1891" s="15"/>
      <c r="G1891" s="15"/>
      <c r="H1891" s="15"/>
      <c r="I1891" s="15"/>
      <c r="J1891" s="15"/>
      <c r="K1891" s="15"/>
    </row>
    <row r="1892" ht="22.5" customHeight="1">
      <c r="A1892" s="167"/>
      <c r="B1892" s="144"/>
      <c r="C1892" s="15"/>
      <c r="D1892" s="15"/>
      <c r="E1892" s="146"/>
      <c r="F1892" s="15"/>
      <c r="G1892" s="15"/>
      <c r="H1892" s="15"/>
      <c r="I1892" s="15"/>
      <c r="J1892" s="15"/>
      <c r="K1892" s="15"/>
    </row>
    <row r="1893" ht="22.5" customHeight="1">
      <c r="A1893" s="167"/>
      <c r="B1893" s="144"/>
      <c r="C1893" s="15"/>
      <c r="D1893" s="15"/>
      <c r="E1893" s="146"/>
      <c r="F1893" s="15"/>
      <c r="G1893" s="15"/>
      <c r="H1893" s="15"/>
      <c r="I1893" s="15"/>
      <c r="J1893" s="15"/>
      <c r="K1893" s="15"/>
    </row>
    <row r="1894" ht="22.5" customHeight="1">
      <c r="A1894" s="167"/>
      <c r="B1894" s="144"/>
      <c r="C1894" s="15"/>
      <c r="D1894" s="15"/>
      <c r="E1894" s="146"/>
      <c r="F1894" s="15"/>
      <c r="G1894" s="15"/>
      <c r="H1894" s="15"/>
      <c r="I1894" s="15"/>
      <c r="J1894" s="15"/>
      <c r="K1894" s="15"/>
    </row>
    <row r="1895" ht="22.5" customHeight="1">
      <c r="A1895" s="167"/>
      <c r="B1895" s="144"/>
      <c r="C1895" s="15"/>
      <c r="D1895" s="15"/>
      <c r="E1895" s="146"/>
      <c r="F1895" s="15"/>
      <c r="G1895" s="15"/>
      <c r="H1895" s="15"/>
      <c r="I1895" s="15"/>
      <c r="J1895" s="15"/>
      <c r="K1895" s="15"/>
    </row>
    <row r="1896" ht="22.5" customHeight="1">
      <c r="A1896" s="167"/>
      <c r="B1896" s="144"/>
      <c r="C1896" s="15"/>
      <c r="D1896" s="15"/>
      <c r="E1896" s="146"/>
      <c r="F1896" s="15"/>
      <c r="G1896" s="15"/>
      <c r="H1896" s="15"/>
      <c r="I1896" s="15"/>
      <c r="J1896" s="15"/>
      <c r="K1896" s="15"/>
    </row>
    <row r="1897" ht="22.5" customHeight="1">
      <c r="A1897" s="167"/>
      <c r="B1897" s="144"/>
      <c r="C1897" s="15"/>
      <c r="D1897" s="15"/>
      <c r="E1897" s="146"/>
      <c r="F1897" s="15"/>
      <c r="G1897" s="15"/>
      <c r="H1897" s="15"/>
      <c r="I1897" s="15"/>
      <c r="J1897" s="15"/>
      <c r="K1897" s="15"/>
    </row>
    <row r="1898" ht="22.5" customHeight="1">
      <c r="A1898" s="167"/>
      <c r="B1898" s="144"/>
      <c r="C1898" s="15"/>
      <c r="D1898" s="15"/>
      <c r="E1898" s="146"/>
      <c r="F1898" s="15"/>
      <c r="G1898" s="15"/>
      <c r="H1898" s="15"/>
      <c r="I1898" s="15"/>
      <c r="J1898" s="15"/>
      <c r="K1898" s="15"/>
    </row>
    <row r="1899" ht="22.5" customHeight="1">
      <c r="A1899" s="167"/>
      <c r="B1899" s="144"/>
      <c r="C1899" s="15"/>
      <c r="D1899" s="15"/>
      <c r="E1899" s="146"/>
      <c r="F1899" s="15"/>
      <c r="G1899" s="15"/>
      <c r="H1899" s="15"/>
      <c r="I1899" s="15"/>
      <c r="J1899" s="15"/>
      <c r="K1899" s="15"/>
    </row>
    <row r="1900" ht="22.5" customHeight="1">
      <c r="A1900" s="167"/>
      <c r="B1900" s="144"/>
      <c r="C1900" s="15"/>
      <c r="D1900" s="15"/>
      <c r="E1900" s="146"/>
      <c r="F1900" s="15"/>
      <c r="G1900" s="15"/>
      <c r="H1900" s="15"/>
      <c r="I1900" s="15"/>
      <c r="J1900" s="15"/>
      <c r="K1900" s="15"/>
    </row>
    <row r="1901" ht="22.5" customHeight="1">
      <c r="A1901" s="167"/>
      <c r="B1901" s="144"/>
      <c r="C1901" s="15"/>
      <c r="D1901" s="15"/>
      <c r="E1901" s="146"/>
      <c r="F1901" s="15"/>
      <c r="G1901" s="15"/>
      <c r="H1901" s="15"/>
      <c r="I1901" s="15"/>
      <c r="J1901" s="15"/>
      <c r="K1901" s="15"/>
    </row>
    <row r="1902" ht="22.5" customHeight="1">
      <c r="A1902" s="167"/>
      <c r="B1902" s="144"/>
      <c r="C1902" s="15"/>
      <c r="D1902" s="15"/>
      <c r="E1902" s="146"/>
      <c r="F1902" s="15"/>
      <c r="G1902" s="15"/>
      <c r="H1902" s="15"/>
      <c r="I1902" s="15"/>
      <c r="J1902" s="15"/>
      <c r="K1902" s="15"/>
    </row>
    <row r="1903" ht="22.5" customHeight="1">
      <c r="A1903" s="167"/>
      <c r="B1903" s="144"/>
      <c r="C1903" s="15"/>
      <c r="D1903" s="15"/>
      <c r="E1903" s="146"/>
      <c r="F1903" s="15"/>
      <c r="G1903" s="15"/>
      <c r="H1903" s="15"/>
      <c r="I1903" s="15"/>
      <c r="J1903" s="15"/>
      <c r="K1903" s="15"/>
    </row>
    <row r="1904" ht="22.5" customHeight="1">
      <c r="A1904" s="167"/>
      <c r="B1904" s="144"/>
      <c r="C1904" s="15"/>
      <c r="D1904" s="15"/>
      <c r="E1904" s="146"/>
      <c r="F1904" s="15"/>
      <c r="G1904" s="15"/>
      <c r="H1904" s="15"/>
      <c r="I1904" s="15"/>
      <c r="J1904" s="15"/>
      <c r="K1904" s="15"/>
    </row>
    <row r="1905" ht="22.5" customHeight="1">
      <c r="A1905" s="167"/>
      <c r="B1905" s="144"/>
      <c r="C1905" s="15"/>
      <c r="D1905" s="15"/>
      <c r="E1905" s="146"/>
      <c r="F1905" s="15"/>
      <c r="G1905" s="15"/>
      <c r="H1905" s="15"/>
      <c r="I1905" s="15"/>
      <c r="J1905" s="15"/>
      <c r="K1905" s="15"/>
    </row>
    <row r="1906" ht="22.5" customHeight="1">
      <c r="A1906" s="167"/>
      <c r="B1906" s="144"/>
      <c r="C1906" s="15"/>
      <c r="D1906" s="15"/>
      <c r="E1906" s="146"/>
      <c r="F1906" s="15"/>
      <c r="G1906" s="15"/>
      <c r="H1906" s="15"/>
      <c r="I1906" s="15"/>
      <c r="J1906" s="15"/>
      <c r="K1906" s="15"/>
    </row>
    <row r="1907" ht="22.5" customHeight="1">
      <c r="A1907" s="167"/>
      <c r="B1907" s="144"/>
      <c r="C1907" s="15"/>
      <c r="D1907" s="15"/>
      <c r="E1907" s="146"/>
      <c r="F1907" s="15"/>
      <c r="G1907" s="15"/>
      <c r="H1907" s="15"/>
      <c r="I1907" s="15"/>
      <c r="J1907" s="15"/>
      <c r="K1907" s="15"/>
    </row>
    <row r="1908" ht="22.5" customHeight="1">
      <c r="A1908" s="167"/>
      <c r="B1908" s="144"/>
      <c r="C1908" s="15"/>
      <c r="D1908" s="15"/>
      <c r="E1908" s="146"/>
      <c r="F1908" s="15"/>
      <c r="G1908" s="15"/>
      <c r="H1908" s="15"/>
      <c r="I1908" s="15"/>
      <c r="J1908" s="15"/>
      <c r="K1908" s="15"/>
    </row>
    <row r="1909" ht="22.5" customHeight="1">
      <c r="A1909" s="167"/>
      <c r="B1909" s="144"/>
      <c r="C1909" s="15"/>
      <c r="D1909" s="15"/>
      <c r="E1909" s="146"/>
      <c r="F1909" s="15"/>
      <c r="G1909" s="15"/>
      <c r="H1909" s="15"/>
      <c r="I1909" s="15"/>
      <c r="J1909" s="15"/>
      <c r="K1909" s="15"/>
    </row>
    <row r="1910" ht="22.5" customHeight="1">
      <c r="A1910" s="167"/>
      <c r="B1910" s="144"/>
      <c r="C1910" s="15"/>
      <c r="D1910" s="15"/>
      <c r="E1910" s="146"/>
      <c r="F1910" s="15"/>
      <c r="G1910" s="15"/>
      <c r="H1910" s="15"/>
      <c r="I1910" s="15"/>
      <c r="J1910" s="15"/>
      <c r="K1910" s="15"/>
    </row>
    <row r="1911" ht="22.5" customHeight="1">
      <c r="A1911" s="167"/>
      <c r="B1911" s="144"/>
      <c r="C1911" s="15"/>
      <c r="D1911" s="15"/>
      <c r="E1911" s="146"/>
      <c r="F1911" s="15"/>
      <c r="G1911" s="15"/>
      <c r="H1911" s="15"/>
      <c r="I1911" s="15"/>
      <c r="J1911" s="15"/>
      <c r="K1911" s="15"/>
    </row>
    <row r="1912" ht="22.5" customHeight="1">
      <c r="A1912" s="167"/>
      <c r="B1912" s="144"/>
      <c r="C1912" s="15"/>
      <c r="D1912" s="15"/>
      <c r="E1912" s="146"/>
      <c r="F1912" s="15"/>
      <c r="G1912" s="15"/>
      <c r="H1912" s="15"/>
      <c r="I1912" s="15"/>
      <c r="J1912" s="15"/>
      <c r="K1912" s="15"/>
    </row>
    <row r="1913" ht="22.5" customHeight="1">
      <c r="A1913" s="167"/>
      <c r="B1913" s="144"/>
      <c r="C1913" s="15"/>
      <c r="D1913" s="15"/>
      <c r="E1913" s="146"/>
      <c r="F1913" s="15"/>
      <c r="G1913" s="15"/>
      <c r="H1913" s="15"/>
      <c r="I1913" s="15"/>
      <c r="J1913" s="15"/>
      <c r="K1913" s="15"/>
    </row>
    <row r="1914" ht="22.5" customHeight="1">
      <c r="A1914" s="167"/>
      <c r="B1914" s="144"/>
      <c r="C1914" s="15"/>
      <c r="D1914" s="15"/>
      <c r="E1914" s="146"/>
      <c r="F1914" s="15"/>
      <c r="G1914" s="15"/>
      <c r="H1914" s="15"/>
      <c r="I1914" s="15"/>
      <c r="J1914" s="15"/>
      <c r="K1914" s="15"/>
    </row>
    <row r="1915" ht="22.5" customHeight="1">
      <c r="A1915" s="167"/>
      <c r="B1915" s="144"/>
      <c r="C1915" s="15"/>
      <c r="D1915" s="15"/>
      <c r="E1915" s="146"/>
      <c r="F1915" s="15"/>
      <c r="G1915" s="15"/>
      <c r="H1915" s="15"/>
      <c r="I1915" s="15"/>
      <c r="J1915" s="15"/>
      <c r="K1915" s="15"/>
    </row>
    <row r="1916" ht="22.5" customHeight="1">
      <c r="A1916" s="167"/>
      <c r="B1916" s="144"/>
      <c r="C1916" s="15"/>
      <c r="D1916" s="15"/>
      <c r="E1916" s="146"/>
      <c r="F1916" s="15"/>
      <c r="G1916" s="15"/>
      <c r="H1916" s="15"/>
      <c r="I1916" s="15"/>
      <c r="J1916" s="15"/>
      <c r="K1916" s="15"/>
    </row>
    <row r="1917" ht="22.5" customHeight="1">
      <c r="A1917" s="167"/>
      <c r="B1917" s="144"/>
      <c r="C1917" s="15"/>
      <c r="D1917" s="15"/>
      <c r="E1917" s="146"/>
      <c r="F1917" s="15"/>
      <c r="G1917" s="15"/>
      <c r="H1917" s="15"/>
      <c r="I1917" s="15"/>
      <c r="J1917" s="15"/>
      <c r="K1917" s="15"/>
    </row>
    <row r="1918" ht="22.5" customHeight="1">
      <c r="A1918" s="167"/>
      <c r="B1918" s="144"/>
      <c r="C1918" s="15"/>
      <c r="D1918" s="15"/>
      <c r="E1918" s="146"/>
      <c r="F1918" s="15"/>
      <c r="G1918" s="15"/>
      <c r="H1918" s="15"/>
      <c r="I1918" s="15"/>
      <c r="J1918" s="15"/>
      <c r="K1918" s="15"/>
    </row>
    <row r="1919" ht="22.5" customHeight="1">
      <c r="A1919" s="167"/>
      <c r="B1919" s="144"/>
      <c r="C1919" s="15"/>
      <c r="D1919" s="15"/>
      <c r="E1919" s="146"/>
      <c r="F1919" s="15"/>
      <c r="G1919" s="15"/>
      <c r="H1919" s="15"/>
      <c r="I1919" s="15"/>
      <c r="J1919" s="15"/>
      <c r="K1919" s="15"/>
    </row>
    <row r="1920" ht="22.5" customHeight="1">
      <c r="A1920" s="167"/>
      <c r="B1920" s="144"/>
      <c r="C1920" s="15"/>
      <c r="D1920" s="15"/>
      <c r="E1920" s="146"/>
      <c r="F1920" s="15"/>
      <c r="G1920" s="15"/>
      <c r="H1920" s="15"/>
      <c r="I1920" s="15"/>
      <c r="J1920" s="15"/>
      <c r="K1920" s="15"/>
    </row>
    <row r="1921" ht="22.5" customHeight="1">
      <c r="A1921" s="167"/>
      <c r="B1921" s="144"/>
      <c r="C1921" s="15"/>
      <c r="D1921" s="15"/>
      <c r="E1921" s="146"/>
      <c r="F1921" s="15"/>
      <c r="G1921" s="15"/>
      <c r="H1921" s="15"/>
      <c r="I1921" s="15"/>
      <c r="J1921" s="15"/>
      <c r="K1921" s="15"/>
    </row>
    <row r="1922" ht="22.5" customHeight="1">
      <c r="A1922" s="167"/>
      <c r="B1922" s="144"/>
      <c r="C1922" s="15"/>
      <c r="D1922" s="15"/>
      <c r="E1922" s="146"/>
      <c r="F1922" s="15"/>
      <c r="G1922" s="15"/>
      <c r="H1922" s="15"/>
      <c r="I1922" s="15"/>
      <c r="J1922" s="15"/>
      <c r="K1922" s="15"/>
    </row>
    <row r="1923" ht="22.5" customHeight="1">
      <c r="A1923" s="167"/>
      <c r="B1923" s="144"/>
      <c r="C1923" s="15"/>
      <c r="D1923" s="15"/>
      <c r="E1923" s="146"/>
      <c r="F1923" s="15"/>
      <c r="G1923" s="15"/>
      <c r="H1923" s="15"/>
      <c r="I1923" s="15"/>
      <c r="J1923" s="15"/>
      <c r="K1923" s="15"/>
    </row>
    <row r="1924" ht="22.5" customHeight="1">
      <c r="A1924" s="167"/>
      <c r="B1924" s="144"/>
      <c r="C1924" s="15"/>
      <c r="D1924" s="15"/>
      <c r="E1924" s="146"/>
      <c r="F1924" s="15"/>
      <c r="G1924" s="15"/>
      <c r="H1924" s="15"/>
      <c r="I1924" s="15"/>
      <c r="J1924" s="15"/>
      <c r="K1924" s="15"/>
    </row>
    <row r="1925" ht="22.5" customHeight="1">
      <c r="A1925" s="167"/>
      <c r="B1925" s="144"/>
      <c r="C1925" s="15"/>
      <c r="D1925" s="15"/>
      <c r="E1925" s="146"/>
      <c r="F1925" s="15"/>
      <c r="G1925" s="15"/>
      <c r="H1925" s="15"/>
      <c r="I1925" s="15"/>
      <c r="J1925" s="15"/>
      <c r="K1925" s="15"/>
    </row>
    <row r="1926" ht="22.5" customHeight="1">
      <c r="A1926" s="167"/>
      <c r="B1926" s="144"/>
      <c r="C1926" s="15"/>
      <c r="D1926" s="15"/>
      <c r="E1926" s="146"/>
      <c r="F1926" s="15"/>
      <c r="G1926" s="15"/>
      <c r="H1926" s="15"/>
      <c r="I1926" s="15"/>
      <c r="J1926" s="15"/>
      <c r="K1926" s="15"/>
    </row>
    <row r="1927" ht="22.5" customHeight="1">
      <c r="A1927" s="167"/>
      <c r="B1927" s="144"/>
      <c r="C1927" s="15"/>
      <c r="D1927" s="15"/>
      <c r="E1927" s="146"/>
      <c r="F1927" s="15"/>
      <c r="G1927" s="15"/>
      <c r="H1927" s="15"/>
      <c r="I1927" s="15"/>
      <c r="J1927" s="15"/>
      <c r="K1927" s="15"/>
    </row>
    <row r="1928" ht="22.5" customHeight="1">
      <c r="A1928" s="167"/>
      <c r="B1928" s="144"/>
      <c r="C1928" s="15"/>
      <c r="D1928" s="15"/>
      <c r="E1928" s="146"/>
      <c r="F1928" s="15"/>
      <c r="G1928" s="15"/>
      <c r="H1928" s="15"/>
      <c r="I1928" s="15"/>
      <c r="J1928" s="15"/>
      <c r="K1928" s="15"/>
    </row>
    <row r="1929" ht="22.5" customHeight="1">
      <c r="A1929" s="167"/>
      <c r="B1929" s="144"/>
      <c r="C1929" s="15"/>
      <c r="D1929" s="15"/>
      <c r="E1929" s="146"/>
      <c r="F1929" s="15"/>
      <c r="G1929" s="15"/>
      <c r="H1929" s="15"/>
      <c r="I1929" s="15"/>
      <c r="J1929" s="15"/>
      <c r="K1929" s="15"/>
    </row>
    <row r="1930" ht="22.5" customHeight="1">
      <c r="A1930" s="167"/>
      <c r="B1930" s="144"/>
      <c r="C1930" s="15"/>
      <c r="D1930" s="15"/>
      <c r="E1930" s="146"/>
      <c r="F1930" s="15"/>
      <c r="G1930" s="15"/>
      <c r="H1930" s="15"/>
      <c r="I1930" s="15"/>
      <c r="J1930" s="15"/>
      <c r="K1930" s="15"/>
    </row>
    <row r="1931" ht="22.5" customHeight="1">
      <c r="A1931" s="167"/>
      <c r="B1931" s="144"/>
      <c r="C1931" s="15"/>
      <c r="D1931" s="15"/>
      <c r="E1931" s="146"/>
      <c r="F1931" s="15"/>
      <c r="G1931" s="15"/>
      <c r="H1931" s="15"/>
      <c r="I1931" s="15"/>
      <c r="J1931" s="15"/>
      <c r="K1931" s="15"/>
    </row>
    <row r="1932" ht="22.5" customHeight="1">
      <c r="A1932" s="167"/>
      <c r="B1932" s="144"/>
      <c r="C1932" s="15"/>
      <c r="D1932" s="15"/>
      <c r="E1932" s="146"/>
      <c r="F1932" s="15"/>
      <c r="G1932" s="15"/>
      <c r="H1932" s="15"/>
      <c r="I1932" s="15"/>
      <c r="J1932" s="15"/>
      <c r="K1932" s="15"/>
    </row>
    <row r="1933" ht="22.5" customHeight="1">
      <c r="A1933" s="167"/>
      <c r="B1933" s="144"/>
      <c r="C1933" s="15"/>
      <c r="D1933" s="15"/>
      <c r="E1933" s="146"/>
      <c r="F1933" s="15"/>
      <c r="G1933" s="15"/>
      <c r="H1933" s="15"/>
      <c r="I1933" s="15"/>
      <c r="J1933" s="15"/>
      <c r="K1933" s="15"/>
    </row>
    <row r="1934" ht="22.5" customHeight="1">
      <c r="A1934" s="167"/>
      <c r="B1934" s="144"/>
      <c r="C1934" s="15"/>
      <c r="D1934" s="15"/>
      <c r="E1934" s="146"/>
      <c r="F1934" s="15"/>
      <c r="G1934" s="15"/>
      <c r="H1934" s="15"/>
      <c r="I1934" s="15"/>
      <c r="J1934" s="15"/>
      <c r="K1934" s="15"/>
    </row>
    <row r="1935" ht="22.5" customHeight="1">
      <c r="A1935" s="167"/>
      <c r="B1935" s="144"/>
      <c r="C1935" s="15"/>
      <c r="D1935" s="15"/>
      <c r="E1935" s="146"/>
      <c r="F1935" s="15"/>
      <c r="G1935" s="15"/>
      <c r="H1935" s="15"/>
      <c r="I1935" s="15"/>
      <c r="J1935" s="15"/>
      <c r="K1935" s="15"/>
    </row>
    <row r="1936" ht="22.5" customHeight="1">
      <c r="A1936" s="167"/>
      <c r="B1936" s="144"/>
      <c r="C1936" s="15"/>
      <c r="D1936" s="15"/>
      <c r="E1936" s="146"/>
      <c r="F1936" s="15"/>
      <c r="G1936" s="15"/>
      <c r="H1936" s="15"/>
      <c r="I1936" s="15"/>
      <c r="J1936" s="15"/>
      <c r="K1936" s="15"/>
    </row>
    <row r="1937" ht="22.5" customHeight="1">
      <c r="A1937" s="167"/>
      <c r="B1937" s="144"/>
      <c r="C1937" s="15"/>
      <c r="D1937" s="15"/>
      <c r="E1937" s="146"/>
      <c r="F1937" s="15"/>
      <c r="G1937" s="15"/>
      <c r="H1937" s="15"/>
      <c r="I1937" s="15"/>
      <c r="J1937" s="15"/>
      <c r="K1937" s="15"/>
    </row>
    <row r="1938" ht="22.5" customHeight="1">
      <c r="A1938" s="167"/>
      <c r="B1938" s="144"/>
      <c r="C1938" s="15"/>
      <c r="D1938" s="15"/>
      <c r="E1938" s="146"/>
      <c r="F1938" s="15"/>
      <c r="G1938" s="15"/>
      <c r="H1938" s="15"/>
      <c r="I1938" s="15"/>
      <c r="J1938" s="15"/>
      <c r="K1938" s="15"/>
    </row>
    <row r="1939" ht="22.5" customHeight="1">
      <c r="A1939" s="167"/>
      <c r="B1939" s="144"/>
      <c r="C1939" s="15"/>
      <c r="D1939" s="15"/>
      <c r="E1939" s="146"/>
      <c r="F1939" s="15"/>
      <c r="G1939" s="15"/>
      <c r="H1939" s="15"/>
      <c r="I1939" s="15"/>
      <c r="J1939" s="15"/>
      <c r="K1939" s="15"/>
    </row>
    <row r="1940" ht="22.5" customHeight="1">
      <c r="A1940" s="167"/>
      <c r="B1940" s="144"/>
      <c r="C1940" s="15"/>
      <c r="D1940" s="15"/>
      <c r="E1940" s="146"/>
      <c r="F1940" s="15"/>
      <c r="G1940" s="15"/>
      <c r="H1940" s="15"/>
      <c r="I1940" s="15"/>
      <c r="J1940" s="15"/>
      <c r="K1940" s="15"/>
    </row>
    <row r="1941" ht="22.5" customHeight="1">
      <c r="A1941" s="167"/>
      <c r="B1941" s="144"/>
      <c r="C1941" s="15"/>
      <c r="D1941" s="15"/>
      <c r="E1941" s="146"/>
      <c r="F1941" s="15"/>
      <c r="G1941" s="15"/>
      <c r="H1941" s="15"/>
      <c r="I1941" s="15"/>
      <c r="J1941" s="15"/>
      <c r="K1941" s="15"/>
    </row>
    <row r="1942" ht="22.5" customHeight="1">
      <c r="A1942" s="167"/>
      <c r="B1942" s="144"/>
      <c r="C1942" s="15"/>
      <c r="D1942" s="15"/>
      <c r="E1942" s="146"/>
      <c r="F1942" s="15"/>
      <c r="G1942" s="15"/>
      <c r="H1942" s="15"/>
      <c r="I1942" s="15"/>
      <c r="J1942" s="15"/>
      <c r="K1942" s="15"/>
    </row>
    <row r="1943" ht="22.5" customHeight="1">
      <c r="A1943" s="167"/>
      <c r="B1943" s="144"/>
      <c r="C1943" s="15"/>
      <c r="D1943" s="15"/>
      <c r="E1943" s="146"/>
      <c r="F1943" s="15"/>
      <c r="G1943" s="15"/>
      <c r="H1943" s="15"/>
      <c r="I1943" s="15"/>
      <c r="J1943" s="15"/>
      <c r="K1943" s="15"/>
    </row>
    <row r="1944" ht="22.5" customHeight="1">
      <c r="A1944" s="167"/>
      <c r="B1944" s="144"/>
      <c r="C1944" s="15"/>
      <c r="D1944" s="15"/>
      <c r="E1944" s="146"/>
      <c r="F1944" s="15"/>
      <c r="G1944" s="15"/>
      <c r="H1944" s="15"/>
      <c r="I1944" s="15"/>
      <c r="J1944" s="15"/>
      <c r="K1944" s="15"/>
    </row>
    <row r="1945" ht="22.5" customHeight="1">
      <c r="A1945" s="167"/>
      <c r="B1945" s="144"/>
      <c r="C1945" s="15"/>
      <c r="D1945" s="15"/>
      <c r="E1945" s="146"/>
      <c r="F1945" s="15"/>
      <c r="G1945" s="15"/>
      <c r="H1945" s="15"/>
      <c r="I1945" s="15"/>
      <c r="J1945" s="15"/>
      <c r="K1945" s="15"/>
    </row>
    <row r="1946" ht="22.5" customHeight="1">
      <c r="A1946" s="167"/>
      <c r="B1946" s="144"/>
      <c r="C1946" s="15"/>
      <c r="D1946" s="15"/>
      <c r="E1946" s="146"/>
      <c r="F1946" s="15"/>
      <c r="G1946" s="15"/>
      <c r="H1946" s="15"/>
      <c r="I1946" s="15"/>
      <c r="J1946" s="15"/>
      <c r="K1946" s="15"/>
    </row>
    <row r="1947" ht="22.5" customHeight="1">
      <c r="A1947" s="167"/>
      <c r="B1947" s="144"/>
      <c r="C1947" s="15"/>
      <c r="D1947" s="15"/>
      <c r="E1947" s="146"/>
      <c r="F1947" s="15"/>
      <c r="G1947" s="15"/>
      <c r="H1947" s="15"/>
      <c r="I1947" s="15"/>
      <c r="J1947" s="15"/>
      <c r="K1947" s="15"/>
    </row>
    <row r="1948" ht="22.5" customHeight="1">
      <c r="A1948" s="167"/>
      <c r="B1948" s="144"/>
      <c r="C1948" s="15"/>
      <c r="D1948" s="15"/>
      <c r="E1948" s="146"/>
      <c r="F1948" s="15"/>
      <c r="G1948" s="15"/>
      <c r="H1948" s="15"/>
      <c r="I1948" s="15"/>
      <c r="J1948" s="15"/>
      <c r="K1948" s="15"/>
    </row>
    <row r="1949" ht="22.5" customHeight="1">
      <c r="A1949" s="167"/>
      <c r="B1949" s="144"/>
      <c r="C1949" s="15"/>
      <c r="D1949" s="15"/>
      <c r="E1949" s="146"/>
      <c r="F1949" s="15"/>
      <c r="G1949" s="15"/>
      <c r="H1949" s="15"/>
      <c r="I1949" s="15"/>
      <c r="J1949" s="15"/>
      <c r="K1949" s="15"/>
    </row>
    <row r="1950" ht="22.5" customHeight="1">
      <c r="A1950" s="167"/>
      <c r="B1950" s="144"/>
      <c r="C1950" s="15"/>
      <c r="D1950" s="15"/>
      <c r="E1950" s="146"/>
      <c r="F1950" s="15"/>
      <c r="G1950" s="15"/>
      <c r="H1950" s="15"/>
      <c r="I1950" s="15"/>
      <c r="J1950" s="15"/>
      <c r="K1950" s="15"/>
    </row>
    <row r="1951" ht="22.5" customHeight="1">
      <c r="A1951" s="167"/>
      <c r="B1951" s="144"/>
      <c r="C1951" s="15"/>
      <c r="D1951" s="15"/>
      <c r="E1951" s="146"/>
      <c r="F1951" s="15"/>
      <c r="G1951" s="15"/>
      <c r="H1951" s="15"/>
      <c r="I1951" s="15"/>
      <c r="J1951" s="15"/>
      <c r="K1951" s="15"/>
    </row>
    <row r="1952" ht="22.5" customHeight="1">
      <c r="A1952" s="167"/>
      <c r="B1952" s="144"/>
      <c r="C1952" s="15"/>
      <c r="D1952" s="15"/>
      <c r="E1952" s="146"/>
      <c r="F1952" s="15"/>
      <c r="G1952" s="15"/>
      <c r="H1952" s="15"/>
      <c r="I1952" s="15"/>
      <c r="J1952" s="15"/>
      <c r="K1952" s="15"/>
    </row>
    <row r="1953" ht="22.5" customHeight="1">
      <c r="A1953" s="167"/>
      <c r="B1953" s="144"/>
      <c r="C1953" s="15"/>
      <c r="D1953" s="15"/>
      <c r="E1953" s="146"/>
      <c r="F1953" s="15"/>
      <c r="G1953" s="15"/>
      <c r="H1953" s="15"/>
      <c r="I1953" s="15"/>
      <c r="J1953" s="15"/>
      <c r="K1953" s="15"/>
    </row>
    <row r="1954" ht="22.5" customHeight="1">
      <c r="A1954" s="167"/>
      <c r="B1954" s="144"/>
      <c r="C1954" s="15"/>
      <c r="D1954" s="15"/>
      <c r="E1954" s="146"/>
      <c r="F1954" s="15"/>
      <c r="G1954" s="15"/>
      <c r="H1954" s="15"/>
      <c r="I1954" s="15"/>
      <c r="J1954" s="15"/>
      <c r="K1954" s="15"/>
    </row>
    <row r="1955" ht="22.5" customHeight="1">
      <c r="A1955" s="167"/>
      <c r="B1955" s="144"/>
      <c r="C1955" s="15"/>
      <c r="D1955" s="15"/>
      <c r="E1955" s="146"/>
      <c r="F1955" s="15"/>
      <c r="G1955" s="15"/>
      <c r="H1955" s="15"/>
      <c r="I1955" s="15"/>
      <c r="J1955" s="15"/>
      <c r="K1955" s="15"/>
    </row>
    <row r="1956" ht="22.5" customHeight="1">
      <c r="A1956" s="167"/>
      <c r="B1956" s="144"/>
      <c r="C1956" s="15"/>
      <c r="D1956" s="15"/>
      <c r="E1956" s="146"/>
      <c r="F1956" s="15"/>
      <c r="G1956" s="15"/>
      <c r="H1956" s="15"/>
      <c r="I1956" s="15"/>
      <c r="J1956" s="15"/>
      <c r="K1956" s="15"/>
    </row>
    <row r="1957" ht="22.5" customHeight="1">
      <c r="A1957" s="167"/>
      <c r="B1957" s="144"/>
      <c r="C1957" s="15"/>
      <c r="D1957" s="15"/>
      <c r="E1957" s="146"/>
      <c r="F1957" s="15"/>
      <c r="G1957" s="15"/>
      <c r="H1957" s="15"/>
      <c r="I1957" s="15"/>
      <c r="J1957" s="15"/>
      <c r="K1957" s="15"/>
    </row>
    <row r="1958" ht="22.5" customHeight="1">
      <c r="A1958" s="167"/>
      <c r="B1958" s="144"/>
      <c r="C1958" s="15"/>
      <c r="D1958" s="15"/>
      <c r="E1958" s="146"/>
      <c r="F1958" s="15"/>
      <c r="G1958" s="15"/>
      <c r="H1958" s="15"/>
      <c r="I1958" s="15"/>
      <c r="J1958" s="15"/>
      <c r="K1958" s="15"/>
    </row>
    <row r="1959" ht="22.5" customHeight="1">
      <c r="A1959" s="167"/>
      <c r="B1959" s="144"/>
      <c r="C1959" s="15"/>
      <c r="D1959" s="15"/>
      <c r="E1959" s="146"/>
      <c r="F1959" s="15"/>
      <c r="G1959" s="15"/>
      <c r="H1959" s="15"/>
      <c r="I1959" s="15"/>
      <c r="J1959" s="15"/>
      <c r="K1959" s="15"/>
    </row>
    <row r="1960" ht="22.5" customHeight="1">
      <c r="A1960" s="167"/>
      <c r="B1960" s="144"/>
      <c r="C1960" s="15"/>
      <c r="D1960" s="15"/>
      <c r="E1960" s="146"/>
      <c r="F1960" s="15"/>
      <c r="G1960" s="15"/>
      <c r="H1960" s="15"/>
      <c r="I1960" s="15"/>
      <c r="J1960" s="15"/>
      <c r="K1960" s="15"/>
    </row>
    <row r="1961" ht="22.5" customHeight="1">
      <c r="A1961" s="167"/>
      <c r="B1961" s="144"/>
      <c r="C1961" s="15"/>
      <c r="D1961" s="15"/>
      <c r="E1961" s="146"/>
      <c r="F1961" s="15"/>
      <c r="G1961" s="15"/>
      <c r="H1961" s="15"/>
      <c r="I1961" s="15"/>
      <c r="J1961" s="15"/>
      <c r="K1961" s="15"/>
    </row>
    <row r="1962" ht="22.5" customHeight="1">
      <c r="A1962" s="167"/>
      <c r="B1962" s="144"/>
      <c r="C1962" s="15"/>
      <c r="D1962" s="15"/>
      <c r="E1962" s="146"/>
      <c r="F1962" s="15"/>
      <c r="G1962" s="15"/>
      <c r="H1962" s="15"/>
      <c r="I1962" s="15"/>
      <c r="J1962" s="15"/>
      <c r="K1962" s="15"/>
    </row>
    <row r="1963" ht="22.5" customHeight="1">
      <c r="A1963" s="167"/>
      <c r="B1963" s="144"/>
      <c r="C1963" s="15"/>
      <c r="D1963" s="15"/>
      <c r="E1963" s="146"/>
      <c r="F1963" s="15"/>
      <c r="G1963" s="15"/>
      <c r="H1963" s="15"/>
      <c r="I1963" s="15"/>
      <c r="J1963" s="15"/>
      <c r="K1963" s="15"/>
    </row>
    <row r="1964" ht="22.5" customHeight="1">
      <c r="A1964" s="167"/>
      <c r="B1964" s="144"/>
      <c r="C1964" s="15"/>
      <c r="D1964" s="15"/>
      <c r="E1964" s="146"/>
      <c r="F1964" s="15"/>
      <c r="G1964" s="15"/>
      <c r="H1964" s="15"/>
      <c r="I1964" s="15"/>
      <c r="J1964" s="15"/>
      <c r="K1964" s="15"/>
    </row>
    <row r="1965" ht="22.5" customHeight="1">
      <c r="A1965" s="167"/>
      <c r="B1965" s="144"/>
      <c r="C1965" s="15"/>
      <c r="D1965" s="15"/>
      <c r="E1965" s="146"/>
      <c r="F1965" s="15"/>
      <c r="G1965" s="15"/>
      <c r="H1965" s="15"/>
      <c r="I1965" s="15"/>
      <c r="J1965" s="15"/>
      <c r="K1965" s="15"/>
    </row>
    <row r="1966" ht="22.5" customHeight="1">
      <c r="A1966" s="167"/>
      <c r="B1966" s="144"/>
      <c r="C1966" s="15"/>
      <c r="D1966" s="15"/>
      <c r="E1966" s="146"/>
      <c r="F1966" s="15"/>
      <c r="G1966" s="15"/>
      <c r="H1966" s="15"/>
      <c r="I1966" s="15"/>
      <c r="J1966" s="15"/>
      <c r="K1966" s="15"/>
    </row>
    <row r="1967" ht="22.5" customHeight="1">
      <c r="A1967" s="167"/>
      <c r="B1967" s="144"/>
      <c r="C1967" s="15"/>
      <c r="D1967" s="15"/>
      <c r="E1967" s="146"/>
      <c r="F1967" s="15"/>
      <c r="G1967" s="15"/>
      <c r="H1967" s="15"/>
      <c r="I1967" s="15"/>
      <c r="J1967" s="15"/>
      <c r="K1967" s="15"/>
    </row>
    <row r="1968" ht="22.5" customHeight="1">
      <c r="A1968" s="167"/>
      <c r="B1968" s="144"/>
      <c r="C1968" s="15"/>
      <c r="D1968" s="15"/>
      <c r="E1968" s="146"/>
      <c r="F1968" s="15"/>
      <c r="G1968" s="15"/>
      <c r="H1968" s="15"/>
      <c r="I1968" s="15"/>
      <c r="J1968" s="15"/>
      <c r="K1968" s="15"/>
    </row>
    <row r="1969" ht="22.5" customHeight="1">
      <c r="A1969" s="167"/>
      <c r="B1969" s="144"/>
      <c r="C1969" s="15"/>
      <c r="D1969" s="15"/>
      <c r="E1969" s="146"/>
      <c r="F1969" s="15"/>
      <c r="G1969" s="15"/>
      <c r="H1969" s="15"/>
      <c r="I1969" s="15"/>
      <c r="J1969" s="15"/>
      <c r="K1969" s="15"/>
    </row>
    <row r="1970" ht="22.5" customHeight="1">
      <c r="A1970" s="167"/>
      <c r="B1970" s="144"/>
      <c r="C1970" s="15"/>
      <c r="D1970" s="15"/>
      <c r="E1970" s="146"/>
      <c r="F1970" s="15"/>
      <c r="G1970" s="15"/>
      <c r="H1970" s="15"/>
      <c r="I1970" s="15"/>
      <c r="J1970" s="15"/>
      <c r="K1970" s="15"/>
    </row>
    <row r="1971" ht="22.5" customHeight="1">
      <c r="A1971" s="167"/>
      <c r="B1971" s="144"/>
      <c r="C1971" s="15"/>
      <c r="D1971" s="15"/>
      <c r="E1971" s="146"/>
      <c r="F1971" s="15"/>
      <c r="G1971" s="15"/>
      <c r="H1971" s="15"/>
      <c r="I1971" s="15"/>
      <c r="J1971" s="15"/>
      <c r="K1971" s="15"/>
    </row>
    <row r="1972" ht="22.5" customHeight="1">
      <c r="A1972" s="167"/>
      <c r="B1972" s="144"/>
      <c r="C1972" s="15"/>
      <c r="D1972" s="15"/>
      <c r="E1972" s="146"/>
      <c r="F1972" s="15"/>
      <c r="G1972" s="15"/>
      <c r="H1972" s="15"/>
      <c r="I1972" s="15"/>
      <c r="J1972" s="15"/>
      <c r="K1972" s="15"/>
    </row>
    <row r="1973" ht="22.5" customHeight="1">
      <c r="A1973" s="167"/>
      <c r="B1973" s="144"/>
      <c r="C1973" s="15"/>
      <c r="D1973" s="15"/>
      <c r="E1973" s="146"/>
      <c r="F1973" s="15"/>
      <c r="G1973" s="15"/>
      <c r="H1973" s="15"/>
      <c r="I1973" s="15"/>
      <c r="J1973" s="15"/>
      <c r="K1973" s="15"/>
    </row>
    <row r="1974" ht="22.5" customHeight="1">
      <c r="A1974" s="167"/>
      <c r="B1974" s="144"/>
      <c r="C1974" s="15"/>
      <c r="D1974" s="15"/>
      <c r="E1974" s="146"/>
      <c r="F1974" s="15"/>
      <c r="G1974" s="15"/>
      <c r="H1974" s="15"/>
      <c r="I1974" s="15"/>
      <c r="J1974" s="15"/>
      <c r="K1974" s="15"/>
    </row>
    <row r="1975" ht="22.5" customHeight="1">
      <c r="A1975" s="167"/>
      <c r="B1975" s="144"/>
      <c r="C1975" s="15"/>
      <c r="D1975" s="15"/>
      <c r="E1975" s="146"/>
      <c r="F1975" s="15"/>
      <c r="G1975" s="15"/>
      <c r="H1975" s="15"/>
      <c r="I1975" s="15"/>
      <c r="J1975" s="15"/>
      <c r="K1975" s="15"/>
    </row>
    <row r="1976" ht="22.5" customHeight="1">
      <c r="A1976" s="167"/>
      <c r="B1976" s="144"/>
      <c r="C1976" s="15"/>
      <c r="D1976" s="15"/>
      <c r="E1976" s="146"/>
      <c r="F1976" s="15"/>
      <c r="G1976" s="15"/>
      <c r="H1976" s="15"/>
      <c r="I1976" s="15"/>
      <c r="J1976" s="15"/>
      <c r="K1976" s="15"/>
    </row>
    <row r="1977" ht="22.5" customHeight="1">
      <c r="A1977" s="167"/>
      <c r="B1977" s="144"/>
      <c r="C1977" s="15"/>
      <c r="D1977" s="15"/>
      <c r="E1977" s="146"/>
      <c r="F1977" s="15"/>
      <c r="G1977" s="15"/>
      <c r="H1977" s="15"/>
      <c r="I1977" s="15"/>
      <c r="J1977" s="15"/>
      <c r="K1977" s="15"/>
    </row>
    <row r="1978" ht="22.5" customHeight="1">
      <c r="A1978" s="167"/>
      <c r="B1978" s="144"/>
      <c r="C1978" s="15"/>
      <c r="D1978" s="15"/>
      <c r="E1978" s="146"/>
      <c r="F1978" s="15"/>
      <c r="G1978" s="15"/>
      <c r="H1978" s="15"/>
      <c r="I1978" s="15"/>
      <c r="J1978" s="15"/>
      <c r="K1978" s="15"/>
    </row>
    <row r="1979" ht="22.5" customHeight="1">
      <c r="A1979" s="167"/>
      <c r="B1979" s="144"/>
      <c r="C1979" s="15"/>
      <c r="D1979" s="15"/>
      <c r="E1979" s="146"/>
      <c r="F1979" s="15"/>
      <c r="G1979" s="15"/>
      <c r="H1979" s="15"/>
      <c r="I1979" s="15"/>
      <c r="J1979" s="15"/>
      <c r="K1979" s="15"/>
    </row>
    <row r="1980" ht="22.5" customHeight="1">
      <c r="A1980" s="167"/>
      <c r="B1980" s="144"/>
      <c r="C1980" s="15"/>
      <c r="D1980" s="15"/>
      <c r="E1980" s="146"/>
      <c r="F1980" s="15"/>
      <c r="G1980" s="15"/>
      <c r="H1980" s="15"/>
      <c r="I1980" s="15"/>
      <c r="J1980" s="15"/>
      <c r="K1980" s="15"/>
    </row>
    <row r="1981" ht="22.5" customHeight="1">
      <c r="A1981" s="167"/>
      <c r="B1981" s="144"/>
      <c r="C1981" s="15"/>
      <c r="D1981" s="15"/>
      <c r="E1981" s="146"/>
      <c r="F1981" s="15"/>
      <c r="G1981" s="15"/>
      <c r="H1981" s="15"/>
      <c r="I1981" s="15"/>
      <c r="J1981" s="15"/>
      <c r="K1981" s="15"/>
    </row>
    <row r="1982" ht="22.5" customHeight="1">
      <c r="A1982" s="167"/>
      <c r="B1982" s="144"/>
      <c r="C1982" s="15"/>
      <c r="D1982" s="15"/>
      <c r="E1982" s="146"/>
      <c r="F1982" s="15"/>
      <c r="G1982" s="15"/>
      <c r="H1982" s="15"/>
      <c r="I1982" s="15"/>
      <c r="J1982" s="15"/>
      <c r="K1982" s="15"/>
    </row>
    <row r="1983" ht="22.5" customHeight="1">
      <c r="A1983" s="167"/>
      <c r="B1983" s="144"/>
      <c r="C1983" s="15"/>
      <c r="D1983" s="15"/>
      <c r="E1983" s="146"/>
      <c r="F1983" s="15"/>
      <c r="G1983" s="15"/>
      <c r="H1983" s="15"/>
      <c r="I1983" s="15"/>
      <c r="J1983" s="15"/>
      <c r="K1983" s="15"/>
    </row>
    <row r="1984" ht="22.5" customHeight="1">
      <c r="A1984" s="167"/>
      <c r="B1984" s="144"/>
      <c r="C1984" s="15"/>
      <c r="D1984" s="15"/>
      <c r="E1984" s="146"/>
      <c r="F1984" s="15"/>
      <c r="G1984" s="15"/>
      <c r="H1984" s="15"/>
      <c r="I1984" s="15"/>
      <c r="J1984" s="15"/>
      <c r="K1984" s="15"/>
    </row>
    <row r="1985" ht="22.5" customHeight="1">
      <c r="A1985" s="167"/>
      <c r="B1985" s="144"/>
      <c r="C1985" s="15"/>
      <c r="D1985" s="15"/>
      <c r="E1985" s="146"/>
      <c r="F1985" s="15"/>
      <c r="G1985" s="15"/>
      <c r="H1985" s="15"/>
      <c r="I1985" s="15"/>
      <c r="J1985" s="15"/>
      <c r="K1985" s="15"/>
    </row>
    <row r="1986" ht="22.5" customHeight="1">
      <c r="A1986" s="167"/>
      <c r="B1986" s="144"/>
      <c r="C1986" s="15"/>
      <c r="D1986" s="15"/>
      <c r="E1986" s="146"/>
      <c r="F1986" s="15"/>
      <c r="G1986" s="15"/>
      <c r="H1986" s="15"/>
      <c r="I1986" s="15"/>
      <c r="J1986" s="15"/>
      <c r="K1986" s="15"/>
    </row>
    <row r="1987" ht="22.5" customHeight="1">
      <c r="A1987" s="167"/>
      <c r="B1987" s="144"/>
      <c r="C1987" s="15"/>
      <c r="D1987" s="15"/>
      <c r="E1987" s="146"/>
      <c r="F1987" s="15"/>
      <c r="G1987" s="15"/>
      <c r="H1987" s="15"/>
      <c r="I1987" s="15"/>
      <c r="J1987" s="15"/>
      <c r="K1987" s="15"/>
    </row>
    <row r="1988" ht="22.5" customHeight="1">
      <c r="A1988" s="167"/>
      <c r="B1988" s="144"/>
      <c r="C1988" s="15"/>
      <c r="D1988" s="15"/>
      <c r="E1988" s="146"/>
      <c r="F1988" s="15"/>
      <c r="G1988" s="15"/>
      <c r="H1988" s="15"/>
      <c r="I1988" s="15"/>
      <c r="J1988" s="15"/>
      <c r="K1988" s="15"/>
    </row>
    <row r="1989" ht="22.5" customHeight="1">
      <c r="A1989" s="167"/>
      <c r="B1989" s="144"/>
      <c r="C1989" s="15"/>
      <c r="D1989" s="15"/>
      <c r="E1989" s="146"/>
      <c r="F1989" s="15"/>
      <c r="G1989" s="15"/>
      <c r="H1989" s="15"/>
      <c r="I1989" s="15"/>
      <c r="J1989" s="15"/>
      <c r="K1989" s="15"/>
    </row>
    <row r="1990" ht="22.5" customHeight="1">
      <c r="A1990" s="167"/>
      <c r="B1990" s="144"/>
      <c r="C1990" s="15"/>
      <c r="D1990" s="15"/>
      <c r="E1990" s="146"/>
      <c r="F1990" s="15"/>
      <c r="G1990" s="15"/>
      <c r="H1990" s="15"/>
      <c r="I1990" s="15"/>
      <c r="J1990" s="15"/>
      <c r="K1990" s="15"/>
    </row>
    <row r="1991" ht="22.5" customHeight="1">
      <c r="A1991" s="167"/>
      <c r="B1991" s="144"/>
      <c r="C1991" s="15"/>
      <c r="D1991" s="15"/>
      <c r="E1991" s="146"/>
      <c r="F1991" s="15"/>
      <c r="G1991" s="15"/>
      <c r="H1991" s="15"/>
      <c r="I1991" s="15"/>
      <c r="J1991" s="15"/>
      <c r="K1991" s="15"/>
    </row>
    <row r="1992" ht="22.5" customHeight="1">
      <c r="A1992" s="167"/>
      <c r="B1992" s="144"/>
      <c r="C1992" s="15"/>
      <c r="D1992" s="15"/>
      <c r="E1992" s="146"/>
      <c r="F1992" s="15"/>
      <c r="G1992" s="15"/>
      <c r="H1992" s="15"/>
      <c r="I1992" s="15"/>
      <c r="J1992" s="15"/>
      <c r="K1992" s="15"/>
    </row>
    <row r="1993" ht="22.5" customHeight="1">
      <c r="A1993" s="167"/>
      <c r="B1993" s="144"/>
      <c r="C1993" s="15"/>
      <c r="D1993" s="15"/>
      <c r="E1993" s="146"/>
      <c r="F1993" s="15"/>
      <c r="G1993" s="15"/>
      <c r="H1993" s="15"/>
      <c r="I1993" s="15"/>
      <c r="J1993" s="15"/>
      <c r="K1993" s="15"/>
    </row>
    <row r="1994" ht="22.5" customHeight="1">
      <c r="A1994" s="167"/>
      <c r="B1994" s="144"/>
      <c r="C1994" s="15"/>
      <c r="D1994" s="15"/>
      <c r="E1994" s="146"/>
      <c r="F1994" s="15"/>
      <c r="G1994" s="15"/>
      <c r="H1994" s="15"/>
      <c r="I1994" s="15"/>
      <c r="J1994" s="15"/>
      <c r="K1994" s="15"/>
    </row>
    <row r="1995" ht="22.5" customHeight="1">
      <c r="A1995" s="167"/>
      <c r="B1995" s="144"/>
      <c r="C1995" s="15"/>
      <c r="D1995" s="15"/>
      <c r="E1995" s="146"/>
      <c r="F1995" s="15"/>
      <c r="G1995" s="15"/>
      <c r="H1995" s="15"/>
      <c r="I1995" s="15"/>
      <c r="J1995" s="15"/>
      <c r="K1995" s="15"/>
    </row>
    <row r="1996" ht="22.5" customHeight="1">
      <c r="A1996" s="167"/>
      <c r="B1996" s="144"/>
      <c r="C1996" s="15"/>
      <c r="D1996" s="15"/>
      <c r="E1996" s="146"/>
      <c r="F1996" s="15"/>
      <c r="G1996" s="15"/>
      <c r="H1996" s="15"/>
      <c r="I1996" s="15"/>
      <c r="J1996" s="15"/>
      <c r="K1996" s="15"/>
    </row>
    <row r="1997" ht="22.5" customHeight="1">
      <c r="A1997" s="167"/>
      <c r="B1997" s="144"/>
      <c r="C1997" s="15"/>
      <c r="D1997" s="15"/>
      <c r="E1997" s="146"/>
      <c r="F1997" s="15"/>
      <c r="G1997" s="15"/>
      <c r="H1997" s="15"/>
      <c r="I1997" s="15"/>
      <c r="J1997" s="15"/>
      <c r="K1997" s="15"/>
    </row>
    <row r="1998" ht="22.5" customHeight="1">
      <c r="A1998" s="167"/>
      <c r="B1998" s="144"/>
      <c r="C1998" s="15"/>
      <c r="D1998" s="15"/>
      <c r="E1998" s="146"/>
      <c r="F1998" s="15"/>
      <c r="G1998" s="15"/>
      <c r="H1998" s="15"/>
      <c r="I1998" s="15"/>
      <c r="J1998" s="15"/>
      <c r="K1998" s="15"/>
    </row>
    <row r="1999" ht="22.5" customHeight="1">
      <c r="A1999" s="167"/>
      <c r="B1999" s="144"/>
      <c r="C1999" s="15"/>
      <c r="D1999" s="15"/>
      <c r="E1999" s="146"/>
      <c r="F1999" s="15"/>
      <c r="G1999" s="15"/>
      <c r="H1999" s="15"/>
      <c r="I1999" s="15"/>
      <c r="J1999" s="15"/>
      <c r="K1999" s="15"/>
    </row>
    <row r="2000" ht="22.5" customHeight="1">
      <c r="A2000" s="167"/>
      <c r="B2000" s="144"/>
      <c r="C2000" s="15"/>
      <c r="D2000" s="15"/>
      <c r="E2000" s="146"/>
      <c r="F2000" s="15"/>
      <c r="G2000" s="15"/>
      <c r="H2000" s="15"/>
      <c r="I2000" s="15"/>
      <c r="J2000" s="15"/>
      <c r="K2000" s="15"/>
    </row>
    <row r="2001" ht="22.5" customHeight="1">
      <c r="A2001" s="167"/>
      <c r="B2001" s="144"/>
      <c r="C2001" s="15"/>
      <c r="D2001" s="15"/>
      <c r="E2001" s="146"/>
      <c r="F2001" s="15"/>
      <c r="G2001" s="15"/>
      <c r="H2001" s="15"/>
      <c r="I2001" s="15"/>
      <c r="J2001" s="15"/>
      <c r="K2001" s="15"/>
    </row>
    <row r="2002" ht="22.5" customHeight="1">
      <c r="A2002" s="167"/>
      <c r="B2002" s="144"/>
      <c r="C2002" s="15"/>
      <c r="D2002" s="15"/>
      <c r="E2002" s="146"/>
      <c r="F2002" s="15"/>
      <c r="G2002" s="15"/>
      <c r="H2002" s="15"/>
      <c r="I2002" s="15"/>
      <c r="J2002" s="15"/>
      <c r="K2002" s="15"/>
    </row>
    <row r="2003" ht="22.5" customHeight="1">
      <c r="A2003" s="167"/>
      <c r="B2003" s="144"/>
      <c r="C2003" s="15"/>
      <c r="D2003" s="15"/>
      <c r="E2003" s="146"/>
      <c r="F2003" s="15"/>
      <c r="G2003" s="15"/>
      <c r="H2003" s="15"/>
      <c r="I2003" s="15"/>
      <c r="J2003" s="15"/>
      <c r="K2003" s="15"/>
    </row>
    <row r="2004" ht="22.5" customHeight="1">
      <c r="A2004" s="167"/>
      <c r="B2004" s="144"/>
      <c r="C2004" s="15"/>
      <c r="D2004" s="15"/>
      <c r="E2004" s="146"/>
      <c r="F2004" s="15"/>
      <c r="G2004" s="15"/>
      <c r="H2004" s="15"/>
      <c r="I2004" s="15"/>
      <c r="J2004" s="15"/>
      <c r="K2004" s="15"/>
    </row>
    <row r="2005" ht="22.5" customHeight="1">
      <c r="A2005" s="167"/>
      <c r="B2005" s="144"/>
      <c r="C2005" s="15"/>
      <c r="D2005" s="15"/>
      <c r="E2005" s="146"/>
      <c r="F2005" s="15"/>
      <c r="G2005" s="15"/>
      <c r="H2005" s="15"/>
      <c r="I2005" s="15"/>
      <c r="J2005" s="15"/>
      <c r="K2005" s="15"/>
    </row>
    <row r="2006" ht="22.5" customHeight="1">
      <c r="A2006" s="167"/>
      <c r="B2006" s="144"/>
      <c r="C2006" s="15"/>
      <c r="D2006" s="15"/>
      <c r="E2006" s="146"/>
      <c r="F2006" s="15"/>
      <c r="G2006" s="15"/>
      <c r="H2006" s="15"/>
      <c r="I2006" s="15"/>
      <c r="J2006" s="15"/>
      <c r="K2006" s="15"/>
    </row>
    <row r="2007" ht="22.5" customHeight="1">
      <c r="A2007" s="167"/>
      <c r="B2007" s="144"/>
      <c r="C2007" s="15"/>
      <c r="D2007" s="15"/>
      <c r="E2007" s="146"/>
      <c r="F2007" s="15"/>
      <c r="G2007" s="15"/>
      <c r="H2007" s="15"/>
      <c r="I2007" s="15"/>
      <c r="J2007" s="15"/>
      <c r="K2007" s="15"/>
    </row>
    <row r="2008" ht="22.5" customHeight="1">
      <c r="A2008" s="167"/>
      <c r="B2008" s="144"/>
      <c r="C2008" s="15"/>
      <c r="D2008" s="15"/>
      <c r="E2008" s="146"/>
      <c r="F2008" s="15"/>
      <c r="G2008" s="15"/>
      <c r="H2008" s="15"/>
      <c r="I2008" s="15"/>
      <c r="J2008" s="15"/>
      <c r="K2008" s="15"/>
    </row>
    <row r="2009" ht="22.5" customHeight="1">
      <c r="A2009" s="167"/>
      <c r="B2009" s="144"/>
      <c r="C2009" s="15"/>
      <c r="D2009" s="15"/>
      <c r="E2009" s="146"/>
      <c r="F2009" s="15"/>
      <c r="G2009" s="15"/>
      <c r="H2009" s="15"/>
      <c r="I2009" s="15"/>
      <c r="J2009" s="15"/>
      <c r="K2009" s="15"/>
    </row>
    <row r="2010" ht="22.5" customHeight="1">
      <c r="A2010" s="167"/>
      <c r="B2010" s="144"/>
      <c r="C2010" s="15"/>
      <c r="D2010" s="15"/>
      <c r="E2010" s="146"/>
      <c r="F2010" s="15"/>
      <c r="G2010" s="15"/>
      <c r="H2010" s="15"/>
      <c r="I2010" s="15"/>
      <c r="J2010" s="15"/>
      <c r="K2010" s="15"/>
    </row>
    <row r="2011" ht="22.5" customHeight="1">
      <c r="A2011" s="167"/>
      <c r="B2011" s="144"/>
      <c r="C2011" s="15"/>
      <c r="D2011" s="15"/>
      <c r="E2011" s="146"/>
      <c r="F2011" s="15"/>
      <c r="G2011" s="15"/>
      <c r="H2011" s="15"/>
      <c r="I2011" s="15"/>
      <c r="J2011" s="15"/>
      <c r="K2011" s="15"/>
    </row>
    <row r="2012" ht="22.5" customHeight="1">
      <c r="A2012" s="167"/>
      <c r="B2012" s="144"/>
      <c r="C2012" s="15"/>
      <c r="D2012" s="15"/>
      <c r="E2012" s="146"/>
      <c r="F2012" s="15"/>
      <c r="G2012" s="15"/>
      <c r="H2012" s="15"/>
      <c r="I2012" s="15"/>
      <c r="J2012" s="15"/>
      <c r="K2012" s="15"/>
    </row>
    <row r="2013" ht="22.5" customHeight="1">
      <c r="A2013" s="167"/>
      <c r="B2013" s="144"/>
      <c r="C2013" s="15"/>
      <c r="D2013" s="15"/>
      <c r="E2013" s="146"/>
      <c r="F2013" s="15"/>
      <c r="G2013" s="15"/>
      <c r="H2013" s="15"/>
      <c r="I2013" s="15"/>
      <c r="J2013" s="15"/>
      <c r="K2013" s="15"/>
    </row>
    <row r="2014" ht="22.5" customHeight="1">
      <c r="A2014" s="167"/>
      <c r="B2014" s="144"/>
      <c r="C2014" s="15"/>
      <c r="D2014" s="15"/>
      <c r="E2014" s="146"/>
      <c r="F2014" s="15"/>
      <c r="G2014" s="15"/>
      <c r="H2014" s="15"/>
      <c r="I2014" s="15"/>
      <c r="J2014" s="15"/>
      <c r="K2014" s="15"/>
    </row>
    <row r="2015" ht="22.5" customHeight="1">
      <c r="A2015" s="167"/>
      <c r="B2015" s="144"/>
      <c r="C2015" s="15"/>
      <c r="D2015" s="15"/>
      <c r="E2015" s="146"/>
      <c r="F2015" s="15"/>
      <c r="G2015" s="15"/>
      <c r="H2015" s="15"/>
      <c r="I2015" s="15"/>
      <c r="J2015" s="15"/>
      <c r="K2015" s="15"/>
    </row>
    <row r="2016" ht="22.5" customHeight="1">
      <c r="A2016" s="167"/>
      <c r="B2016" s="144"/>
      <c r="C2016" s="15"/>
      <c r="D2016" s="15"/>
      <c r="E2016" s="146"/>
      <c r="F2016" s="15"/>
      <c r="G2016" s="15"/>
      <c r="H2016" s="15"/>
      <c r="I2016" s="15"/>
      <c r="J2016" s="15"/>
      <c r="K2016" s="15"/>
    </row>
    <row r="2017" ht="22.5" customHeight="1">
      <c r="A2017" s="167"/>
      <c r="B2017" s="144"/>
      <c r="C2017" s="15"/>
      <c r="D2017" s="15"/>
      <c r="E2017" s="146"/>
      <c r="F2017" s="15"/>
      <c r="G2017" s="15"/>
      <c r="H2017" s="15"/>
      <c r="I2017" s="15"/>
      <c r="J2017" s="15"/>
      <c r="K2017" s="15"/>
    </row>
    <row r="2018" ht="22.5" customHeight="1">
      <c r="A2018" s="167"/>
      <c r="B2018" s="144"/>
      <c r="C2018" s="15"/>
      <c r="D2018" s="15"/>
      <c r="E2018" s="146"/>
      <c r="F2018" s="15"/>
      <c r="G2018" s="15"/>
      <c r="H2018" s="15"/>
      <c r="I2018" s="15"/>
      <c r="J2018" s="15"/>
      <c r="K2018" s="15"/>
    </row>
    <row r="2019" ht="22.5" customHeight="1">
      <c r="A2019" s="167"/>
      <c r="B2019" s="144"/>
      <c r="C2019" s="15"/>
      <c r="D2019" s="15"/>
      <c r="E2019" s="146"/>
      <c r="F2019" s="15"/>
      <c r="G2019" s="15"/>
      <c r="H2019" s="15"/>
      <c r="I2019" s="15"/>
      <c r="J2019" s="15"/>
      <c r="K2019" s="15"/>
    </row>
    <row r="2020" ht="22.5" customHeight="1">
      <c r="A2020" s="167"/>
      <c r="B2020" s="144"/>
      <c r="C2020" s="15"/>
      <c r="D2020" s="15"/>
      <c r="E2020" s="146"/>
      <c r="F2020" s="15"/>
      <c r="G2020" s="15"/>
      <c r="H2020" s="15"/>
      <c r="I2020" s="15"/>
      <c r="J2020" s="15"/>
      <c r="K2020" s="15"/>
    </row>
    <row r="2021" ht="22.5" customHeight="1">
      <c r="A2021" s="167"/>
      <c r="B2021" s="144"/>
      <c r="C2021" s="15"/>
      <c r="D2021" s="15"/>
      <c r="E2021" s="146"/>
      <c r="F2021" s="15"/>
      <c r="G2021" s="15"/>
      <c r="H2021" s="15"/>
      <c r="I2021" s="15"/>
      <c r="J2021" s="15"/>
      <c r="K2021" s="15"/>
    </row>
    <row r="2022" ht="22.5" customHeight="1">
      <c r="A2022" s="167"/>
      <c r="B2022" s="144"/>
      <c r="C2022" s="15"/>
      <c r="D2022" s="15"/>
      <c r="E2022" s="146"/>
      <c r="F2022" s="15"/>
      <c r="G2022" s="15"/>
      <c r="H2022" s="15"/>
      <c r="I2022" s="15"/>
      <c r="J2022" s="15"/>
      <c r="K2022" s="15"/>
    </row>
    <row r="2023" ht="22.5" customHeight="1">
      <c r="A2023" s="167"/>
      <c r="B2023" s="144"/>
      <c r="C2023" s="15"/>
      <c r="D2023" s="15"/>
      <c r="E2023" s="146"/>
      <c r="F2023" s="15"/>
      <c r="G2023" s="15"/>
      <c r="H2023" s="15"/>
      <c r="I2023" s="15"/>
      <c r="J2023" s="15"/>
      <c r="K2023" s="15"/>
    </row>
    <row r="2024" ht="22.5" customHeight="1">
      <c r="A2024" s="167"/>
      <c r="B2024" s="144"/>
      <c r="C2024" s="15"/>
      <c r="D2024" s="15"/>
      <c r="E2024" s="146"/>
      <c r="F2024" s="15"/>
      <c r="G2024" s="15"/>
      <c r="H2024" s="15"/>
      <c r="I2024" s="15"/>
      <c r="J2024" s="15"/>
      <c r="K2024" s="15"/>
    </row>
    <row r="2025" ht="22.5" customHeight="1">
      <c r="A2025" s="167"/>
      <c r="B2025" s="144"/>
      <c r="C2025" s="15"/>
      <c r="D2025" s="15"/>
      <c r="E2025" s="146"/>
      <c r="F2025" s="15"/>
      <c r="G2025" s="15"/>
      <c r="H2025" s="15"/>
      <c r="I2025" s="15"/>
      <c r="J2025" s="15"/>
      <c r="K2025" s="15"/>
    </row>
    <row r="2026" ht="22.5" customHeight="1">
      <c r="A2026" s="167"/>
      <c r="B2026" s="144"/>
      <c r="C2026" s="15"/>
      <c r="D2026" s="15"/>
      <c r="E2026" s="146"/>
      <c r="F2026" s="15"/>
      <c r="G2026" s="15"/>
      <c r="H2026" s="15"/>
      <c r="I2026" s="15"/>
      <c r="J2026" s="15"/>
      <c r="K2026" s="15"/>
    </row>
    <row r="2027" ht="22.5" customHeight="1">
      <c r="A2027" s="167"/>
      <c r="B2027" s="144"/>
      <c r="C2027" s="15"/>
      <c r="D2027" s="15"/>
      <c r="E2027" s="146"/>
      <c r="F2027" s="15"/>
      <c r="G2027" s="15"/>
      <c r="H2027" s="15"/>
      <c r="I2027" s="15"/>
      <c r="J2027" s="15"/>
      <c r="K2027" s="15"/>
    </row>
    <row r="2028" ht="22.5" customHeight="1">
      <c r="A2028" s="167"/>
      <c r="B2028" s="144"/>
      <c r="C2028" s="15"/>
      <c r="D2028" s="15"/>
      <c r="E2028" s="146"/>
      <c r="F2028" s="15"/>
      <c r="G2028" s="15"/>
      <c r="H2028" s="15"/>
      <c r="I2028" s="15"/>
      <c r="J2028" s="15"/>
      <c r="K2028" s="15"/>
    </row>
    <row r="2029" ht="22.5" customHeight="1">
      <c r="A2029" s="167"/>
      <c r="B2029" s="144"/>
      <c r="C2029" s="15"/>
      <c r="D2029" s="15"/>
      <c r="E2029" s="146"/>
      <c r="F2029" s="15"/>
      <c r="G2029" s="15"/>
      <c r="H2029" s="15"/>
      <c r="I2029" s="15"/>
      <c r="J2029" s="15"/>
      <c r="K2029" s="15"/>
    </row>
    <row r="2030" ht="22.5" customHeight="1">
      <c r="A2030" s="167"/>
      <c r="B2030" s="144"/>
      <c r="C2030" s="15"/>
      <c r="D2030" s="15"/>
      <c r="E2030" s="146"/>
      <c r="F2030" s="15"/>
      <c r="G2030" s="15"/>
      <c r="H2030" s="15"/>
      <c r="I2030" s="15"/>
      <c r="J2030" s="15"/>
      <c r="K2030" s="15"/>
    </row>
    <row r="2031" ht="22.5" customHeight="1">
      <c r="A2031" s="167"/>
      <c r="B2031" s="144"/>
      <c r="C2031" s="15"/>
      <c r="D2031" s="15"/>
      <c r="E2031" s="146"/>
      <c r="F2031" s="15"/>
      <c r="G2031" s="15"/>
      <c r="H2031" s="15"/>
      <c r="I2031" s="15"/>
      <c r="J2031" s="15"/>
      <c r="K2031" s="15"/>
    </row>
    <row r="2032" ht="22.5" customHeight="1">
      <c r="A2032" s="167"/>
      <c r="B2032" s="144"/>
      <c r="C2032" s="15"/>
      <c r="D2032" s="15"/>
      <c r="E2032" s="146"/>
      <c r="F2032" s="15"/>
      <c r="G2032" s="15"/>
      <c r="H2032" s="15"/>
      <c r="I2032" s="15"/>
      <c r="J2032" s="15"/>
      <c r="K2032" s="15"/>
    </row>
    <row r="2033" ht="22.5" customHeight="1">
      <c r="A2033" s="167"/>
      <c r="B2033" s="144"/>
      <c r="C2033" s="15"/>
      <c r="D2033" s="15"/>
      <c r="E2033" s="146"/>
      <c r="F2033" s="15"/>
      <c r="G2033" s="15"/>
      <c r="H2033" s="15"/>
      <c r="I2033" s="15"/>
      <c r="J2033" s="15"/>
      <c r="K2033" s="15"/>
    </row>
    <row r="2034" ht="22.5" customHeight="1">
      <c r="A2034" s="167"/>
      <c r="B2034" s="144"/>
      <c r="C2034" s="15"/>
      <c r="D2034" s="15"/>
      <c r="E2034" s="146"/>
      <c r="F2034" s="15"/>
      <c r="G2034" s="15"/>
      <c r="H2034" s="15"/>
      <c r="I2034" s="15"/>
      <c r="J2034" s="15"/>
      <c r="K2034" s="15"/>
    </row>
    <row r="2035" ht="22.5" customHeight="1">
      <c r="A2035" s="167"/>
      <c r="B2035" s="144"/>
      <c r="C2035" s="15"/>
      <c r="D2035" s="15"/>
      <c r="E2035" s="146"/>
      <c r="F2035" s="15"/>
      <c r="G2035" s="15"/>
      <c r="H2035" s="15"/>
      <c r="I2035" s="15"/>
      <c r="J2035" s="15"/>
      <c r="K2035" s="15"/>
    </row>
    <row r="2036" ht="22.5" customHeight="1">
      <c r="A2036" s="167"/>
      <c r="B2036" s="144"/>
      <c r="C2036" s="15"/>
      <c r="D2036" s="15"/>
      <c r="E2036" s="146"/>
      <c r="F2036" s="15"/>
      <c r="G2036" s="15"/>
      <c r="H2036" s="15"/>
      <c r="I2036" s="15"/>
      <c r="J2036" s="15"/>
      <c r="K2036" s="15"/>
    </row>
    <row r="2037" ht="22.5" customHeight="1">
      <c r="A2037" s="167"/>
      <c r="B2037" s="144"/>
      <c r="C2037" s="15"/>
      <c r="D2037" s="15"/>
      <c r="E2037" s="146"/>
      <c r="F2037" s="15"/>
      <c r="G2037" s="15"/>
      <c r="H2037" s="15"/>
      <c r="I2037" s="15"/>
      <c r="J2037" s="15"/>
      <c r="K2037" s="15"/>
    </row>
    <row r="2038" ht="22.5" customHeight="1">
      <c r="A2038" s="167"/>
      <c r="B2038" s="144"/>
      <c r="C2038" s="15"/>
      <c r="D2038" s="15"/>
      <c r="E2038" s="146"/>
      <c r="F2038" s="15"/>
      <c r="G2038" s="15"/>
      <c r="H2038" s="15"/>
      <c r="I2038" s="15"/>
      <c r="J2038" s="15"/>
      <c r="K2038" s="15"/>
    </row>
    <row r="2039" ht="22.5" customHeight="1">
      <c r="A2039" s="167"/>
      <c r="B2039" s="144"/>
      <c r="C2039" s="15"/>
      <c r="D2039" s="15"/>
      <c r="E2039" s="146"/>
      <c r="F2039" s="15"/>
      <c r="G2039" s="15"/>
      <c r="H2039" s="15"/>
      <c r="I2039" s="15"/>
      <c r="J2039" s="15"/>
      <c r="K2039" s="15"/>
    </row>
    <row r="2040" ht="22.5" customHeight="1">
      <c r="A2040" s="167"/>
      <c r="B2040" s="144"/>
      <c r="C2040" s="15"/>
      <c r="D2040" s="15"/>
      <c r="E2040" s="146"/>
      <c r="F2040" s="15"/>
      <c r="G2040" s="15"/>
      <c r="H2040" s="15"/>
      <c r="I2040" s="15"/>
      <c r="J2040" s="15"/>
      <c r="K2040" s="15"/>
    </row>
    <row r="2041" ht="22.5" customHeight="1">
      <c r="A2041" s="167"/>
      <c r="B2041" s="144"/>
      <c r="C2041" s="15"/>
      <c r="D2041" s="15"/>
      <c r="E2041" s="146"/>
      <c r="F2041" s="15"/>
      <c r="G2041" s="15"/>
      <c r="H2041" s="15"/>
      <c r="I2041" s="15"/>
      <c r="J2041" s="15"/>
      <c r="K2041" s="15"/>
    </row>
    <row r="2042" ht="22.5" customHeight="1">
      <c r="A2042" s="167"/>
      <c r="B2042" s="144"/>
      <c r="C2042" s="15"/>
      <c r="D2042" s="15"/>
      <c r="E2042" s="146"/>
      <c r="F2042" s="15"/>
      <c r="G2042" s="15"/>
      <c r="H2042" s="15"/>
      <c r="I2042" s="15"/>
      <c r="J2042" s="15"/>
      <c r="K2042" s="15"/>
    </row>
    <row r="2043" ht="22.5" customHeight="1">
      <c r="A2043" s="167"/>
      <c r="B2043" s="144"/>
      <c r="C2043" s="15"/>
      <c r="D2043" s="15"/>
      <c r="E2043" s="146"/>
      <c r="F2043" s="15"/>
      <c r="G2043" s="15"/>
      <c r="H2043" s="15"/>
      <c r="I2043" s="15"/>
      <c r="J2043" s="15"/>
      <c r="K2043" s="15"/>
    </row>
    <row r="2044" ht="22.5" customHeight="1">
      <c r="A2044" s="167"/>
      <c r="B2044" s="144"/>
      <c r="C2044" s="15"/>
      <c r="D2044" s="15"/>
      <c r="E2044" s="146"/>
      <c r="F2044" s="15"/>
      <c r="G2044" s="15"/>
      <c r="H2044" s="15"/>
      <c r="I2044" s="15"/>
      <c r="J2044" s="15"/>
      <c r="K2044" s="15"/>
    </row>
    <row r="2045" ht="22.5" customHeight="1">
      <c r="A2045" s="167"/>
      <c r="B2045" s="144"/>
      <c r="C2045" s="15"/>
      <c r="D2045" s="15"/>
      <c r="E2045" s="146"/>
      <c r="F2045" s="15"/>
      <c r="G2045" s="15"/>
      <c r="H2045" s="15"/>
      <c r="I2045" s="15"/>
      <c r="J2045" s="15"/>
      <c r="K2045" s="15"/>
    </row>
    <row r="2046" ht="22.5" customHeight="1">
      <c r="A2046" s="167"/>
      <c r="B2046" s="144"/>
      <c r="C2046" s="15"/>
      <c r="D2046" s="15"/>
      <c r="E2046" s="146"/>
      <c r="F2046" s="15"/>
      <c r="G2046" s="15"/>
      <c r="H2046" s="15"/>
      <c r="I2046" s="15"/>
      <c r="J2046" s="15"/>
      <c r="K2046" s="15"/>
    </row>
    <row r="2047" ht="22.5" customHeight="1">
      <c r="A2047" s="167"/>
      <c r="B2047" s="144"/>
      <c r="C2047" s="15"/>
      <c r="D2047" s="15"/>
      <c r="E2047" s="146"/>
      <c r="F2047" s="15"/>
      <c r="G2047" s="15"/>
      <c r="H2047" s="15"/>
      <c r="I2047" s="15"/>
      <c r="J2047" s="15"/>
      <c r="K2047" s="15"/>
    </row>
    <row r="2048" ht="22.5" customHeight="1">
      <c r="A2048" s="167"/>
      <c r="B2048" s="144"/>
      <c r="C2048" s="15"/>
      <c r="D2048" s="15"/>
      <c r="E2048" s="146"/>
      <c r="F2048" s="15"/>
      <c r="G2048" s="15"/>
      <c r="H2048" s="15"/>
      <c r="I2048" s="15"/>
      <c r="J2048" s="15"/>
      <c r="K2048" s="15"/>
    </row>
    <row r="2049" ht="22.5" customHeight="1">
      <c r="A2049" s="167"/>
      <c r="B2049" s="144"/>
      <c r="C2049" s="15"/>
      <c r="D2049" s="15"/>
      <c r="E2049" s="146"/>
      <c r="F2049" s="15"/>
      <c r="G2049" s="15"/>
      <c r="H2049" s="15"/>
      <c r="I2049" s="15"/>
      <c r="J2049" s="15"/>
      <c r="K2049" s="15"/>
    </row>
    <row r="2050" ht="22.5" customHeight="1">
      <c r="A2050" s="167"/>
      <c r="B2050" s="144"/>
      <c r="C2050" s="15"/>
      <c r="D2050" s="15"/>
      <c r="E2050" s="146"/>
      <c r="F2050" s="15"/>
      <c r="G2050" s="15"/>
      <c r="H2050" s="15"/>
      <c r="I2050" s="15"/>
      <c r="J2050" s="15"/>
      <c r="K2050" s="15"/>
    </row>
    <row r="2051" ht="22.5" customHeight="1">
      <c r="A2051" s="167"/>
      <c r="B2051" s="144"/>
      <c r="C2051" s="15"/>
      <c r="D2051" s="15"/>
      <c r="E2051" s="146"/>
      <c r="F2051" s="15"/>
      <c r="G2051" s="15"/>
      <c r="H2051" s="15"/>
      <c r="I2051" s="15"/>
      <c r="J2051" s="15"/>
      <c r="K2051" s="15"/>
    </row>
    <row r="2052" ht="22.5" customHeight="1">
      <c r="A2052" s="167"/>
      <c r="B2052" s="144"/>
      <c r="C2052" s="15"/>
      <c r="D2052" s="15"/>
      <c r="E2052" s="146"/>
      <c r="F2052" s="15"/>
      <c r="G2052" s="15"/>
      <c r="H2052" s="15"/>
      <c r="I2052" s="15"/>
      <c r="J2052" s="15"/>
      <c r="K2052" s="15"/>
    </row>
    <row r="2053" ht="22.5" customHeight="1">
      <c r="A2053" s="167"/>
      <c r="B2053" s="144"/>
      <c r="C2053" s="15"/>
      <c r="D2053" s="15"/>
      <c r="E2053" s="146"/>
      <c r="F2053" s="15"/>
      <c r="G2053" s="15"/>
      <c r="H2053" s="15"/>
      <c r="I2053" s="15"/>
      <c r="J2053" s="15"/>
      <c r="K2053" s="15"/>
    </row>
    <row r="2054" ht="22.5" customHeight="1">
      <c r="A2054" s="167"/>
      <c r="B2054" s="144"/>
      <c r="C2054" s="15"/>
      <c r="D2054" s="15"/>
      <c r="E2054" s="146"/>
      <c r="F2054" s="15"/>
      <c r="G2054" s="15"/>
      <c r="H2054" s="15"/>
      <c r="I2054" s="15"/>
      <c r="J2054" s="15"/>
      <c r="K2054" s="15"/>
    </row>
    <row r="2055" ht="22.5" customHeight="1">
      <c r="A2055" s="167"/>
      <c r="B2055" s="144"/>
      <c r="C2055" s="15"/>
      <c r="D2055" s="15"/>
      <c r="E2055" s="146"/>
      <c r="F2055" s="15"/>
      <c r="G2055" s="15"/>
      <c r="H2055" s="15"/>
      <c r="I2055" s="15"/>
      <c r="J2055" s="15"/>
      <c r="K2055" s="15"/>
    </row>
    <row r="2056" ht="22.5" customHeight="1">
      <c r="A2056" s="167"/>
      <c r="B2056" s="144"/>
      <c r="C2056" s="15"/>
      <c r="D2056" s="15"/>
      <c r="E2056" s="146"/>
      <c r="F2056" s="15"/>
      <c r="G2056" s="15"/>
      <c r="H2056" s="15"/>
      <c r="I2056" s="15"/>
      <c r="J2056" s="15"/>
      <c r="K2056" s="15"/>
    </row>
    <row r="2057" ht="22.5" customHeight="1">
      <c r="A2057" s="167"/>
      <c r="B2057" s="144"/>
      <c r="C2057" s="15"/>
      <c r="D2057" s="15"/>
      <c r="E2057" s="146"/>
      <c r="F2057" s="15"/>
      <c r="G2057" s="15"/>
      <c r="H2057" s="15"/>
      <c r="I2057" s="15"/>
      <c r="J2057" s="15"/>
      <c r="K2057" s="15"/>
    </row>
    <row r="2058" ht="22.5" customHeight="1">
      <c r="A2058" s="167"/>
      <c r="B2058" s="144"/>
      <c r="C2058" s="15"/>
      <c r="D2058" s="15"/>
      <c r="E2058" s="146"/>
      <c r="F2058" s="15"/>
      <c r="G2058" s="15"/>
      <c r="H2058" s="15"/>
      <c r="I2058" s="15"/>
      <c r="J2058" s="15"/>
      <c r="K2058" s="15"/>
    </row>
    <row r="2059" ht="22.5" customHeight="1">
      <c r="A2059" s="167"/>
      <c r="B2059" s="144"/>
      <c r="C2059" s="15"/>
      <c r="D2059" s="15"/>
      <c r="E2059" s="146"/>
      <c r="F2059" s="15"/>
      <c r="G2059" s="15"/>
      <c r="H2059" s="15"/>
      <c r="I2059" s="15"/>
      <c r="J2059" s="15"/>
      <c r="K2059" s="15"/>
    </row>
    <row r="2060" ht="22.5" customHeight="1">
      <c r="A2060" s="167"/>
      <c r="B2060" s="144"/>
      <c r="C2060" s="15"/>
      <c r="D2060" s="15"/>
      <c r="E2060" s="146"/>
      <c r="F2060" s="15"/>
      <c r="G2060" s="15"/>
      <c r="H2060" s="15"/>
      <c r="I2060" s="15"/>
      <c r="J2060" s="15"/>
      <c r="K2060" s="15"/>
    </row>
    <row r="2061" ht="22.5" customHeight="1">
      <c r="A2061" s="167"/>
      <c r="B2061" s="144"/>
      <c r="C2061" s="15"/>
      <c r="D2061" s="15"/>
      <c r="E2061" s="146"/>
      <c r="F2061" s="15"/>
      <c r="G2061" s="15"/>
      <c r="H2061" s="15"/>
      <c r="I2061" s="15"/>
      <c r="J2061" s="15"/>
      <c r="K2061" s="15"/>
    </row>
    <row r="2062" ht="22.5" customHeight="1">
      <c r="A2062" s="167"/>
      <c r="B2062" s="144"/>
      <c r="C2062" s="15"/>
      <c r="D2062" s="15"/>
      <c r="E2062" s="146"/>
      <c r="F2062" s="15"/>
      <c r="G2062" s="15"/>
      <c r="H2062" s="15"/>
      <c r="I2062" s="15"/>
      <c r="J2062" s="15"/>
      <c r="K2062" s="15"/>
    </row>
    <row r="2063" ht="22.5" customHeight="1">
      <c r="A2063" s="167"/>
      <c r="B2063" s="144"/>
      <c r="C2063" s="15"/>
      <c r="D2063" s="15"/>
      <c r="E2063" s="146"/>
      <c r="F2063" s="15"/>
      <c r="G2063" s="15"/>
      <c r="H2063" s="15"/>
      <c r="I2063" s="15"/>
      <c r="J2063" s="15"/>
      <c r="K2063" s="15"/>
    </row>
    <row r="2064" ht="22.5" customHeight="1">
      <c r="A2064" s="167"/>
      <c r="B2064" s="144"/>
      <c r="C2064" s="15"/>
      <c r="D2064" s="15"/>
      <c r="E2064" s="146"/>
      <c r="F2064" s="15"/>
      <c r="G2064" s="15"/>
      <c r="H2064" s="15"/>
      <c r="I2064" s="15"/>
      <c r="J2064" s="15"/>
      <c r="K2064" s="15"/>
    </row>
    <row r="2065" ht="22.5" customHeight="1">
      <c r="A2065" s="167"/>
      <c r="B2065" s="144"/>
      <c r="C2065" s="15"/>
      <c r="D2065" s="15"/>
      <c r="E2065" s="146"/>
      <c r="F2065" s="15"/>
      <c r="G2065" s="15"/>
      <c r="H2065" s="15"/>
      <c r="I2065" s="15"/>
      <c r="J2065" s="15"/>
      <c r="K2065" s="15"/>
    </row>
    <row r="2066" ht="22.5" customHeight="1">
      <c r="A2066" s="167"/>
      <c r="B2066" s="144"/>
      <c r="C2066" s="15"/>
      <c r="D2066" s="15"/>
      <c r="E2066" s="146"/>
      <c r="F2066" s="15"/>
      <c r="G2066" s="15"/>
      <c r="H2066" s="15"/>
      <c r="I2066" s="15"/>
      <c r="J2066" s="15"/>
      <c r="K2066" s="15"/>
    </row>
    <row r="2067" ht="22.5" customHeight="1">
      <c r="A2067" s="167"/>
      <c r="B2067" s="144"/>
      <c r="C2067" s="15"/>
      <c r="D2067" s="15"/>
      <c r="E2067" s="146"/>
      <c r="F2067" s="15"/>
      <c r="G2067" s="15"/>
      <c r="H2067" s="15"/>
      <c r="I2067" s="15"/>
      <c r="J2067" s="15"/>
      <c r="K2067" s="15"/>
    </row>
    <row r="2068" ht="22.5" customHeight="1">
      <c r="A2068" s="167"/>
      <c r="B2068" s="144"/>
      <c r="C2068" s="15"/>
      <c r="D2068" s="15"/>
      <c r="E2068" s="146"/>
      <c r="F2068" s="15"/>
      <c r="G2068" s="15"/>
      <c r="H2068" s="15"/>
      <c r="I2068" s="15"/>
      <c r="J2068" s="15"/>
      <c r="K2068" s="15"/>
    </row>
    <row r="2069" ht="22.5" customHeight="1">
      <c r="A2069" s="167"/>
      <c r="B2069" s="144"/>
      <c r="C2069" s="15"/>
      <c r="D2069" s="15"/>
      <c r="E2069" s="146"/>
      <c r="F2069" s="15"/>
      <c r="G2069" s="15"/>
      <c r="H2069" s="15"/>
      <c r="I2069" s="15"/>
      <c r="J2069" s="15"/>
      <c r="K2069" s="15"/>
    </row>
    <row r="2070" ht="22.5" customHeight="1">
      <c r="A2070" s="167"/>
      <c r="B2070" s="144"/>
      <c r="C2070" s="15"/>
      <c r="D2070" s="15"/>
      <c r="E2070" s="146"/>
      <c r="F2070" s="15"/>
      <c r="G2070" s="15"/>
      <c r="H2070" s="15"/>
      <c r="I2070" s="15"/>
      <c r="J2070" s="15"/>
      <c r="K2070" s="15"/>
    </row>
    <row r="2071" ht="22.5" customHeight="1">
      <c r="A2071" s="167"/>
      <c r="B2071" s="144"/>
      <c r="C2071" s="15"/>
      <c r="D2071" s="15"/>
      <c r="E2071" s="146"/>
      <c r="F2071" s="15"/>
      <c r="G2071" s="15"/>
      <c r="H2071" s="15"/>
      <c r="I2071" s="15"/>
      <c r="J2071" s="15"/>
      <c r="K2071" s="15"/>
    </row>
    <row r="2072" ht="22.5" customHeight="1">
      <c r="A2072" s="167"/>
      <c r="B2072" s="144"/>
      <c r="C2072" s="15"/>
      <c r="D2072" s="15"/>
      <c r="E2072" s="146"/>
      <c r="F2072" s="15"/>
      <c r="G2072" s="15"/>
      <c r="H2072" s="15"/>
      <c r="I2072" s="15"/>
      <c r="J2072" s="15"/>
      <c r="K2072" s="15"/>
    </row>
    <row r="2073" ht="22.5" customHeight="1">
      <c r="A2073" s="167"/>
      <c r="B2073" s="144"/>
      <c r="C2073" s="15"/>
      <c r="D2073" s="15"/>
      <c r="E2073" s="146"/>
      <c r="F2073" s="15"/>
      <c r="G2073" s="15"/>
      <c r="H2073" s="15"/>
      <c r="I2073" s="15"/>
      <c r="J2073" s="15"/>
      <c r="K2073" s="15"/>
    </row>
    <row r="2074" ht="22.5" customHeight="1">
      <c r="A2074" s="167"/>
      <c r="B2074" s="144"/>
      <c r="C2074" s="15"/>
      <c r="D2074" s="15"/>
      <c r="E2074" s="146"/>
      <c r="F2074" s="15"/>
      <c r="G2074" s="15"/>
      <c r="H2074" s="15"/>
      <c r="I2074" s="15"/>
      <c r="J2074" s="15"/>
      <c r="K2074" s="15"/>
    </row>
    <row r="2075" ht="22.5" customHeight="1">
      <c r="A2075" s="167"/>
      <c r="B2075" s="144"/>
      <c r="C2075" s="15"/>
      <c r="D2075" s="15"/>
      <c r="E2075" s="146"/>
      <c r="F2075" s="15"/>
      <c r="G2075" s="15"/>
      <c r="H2075" s="15"/>
      <c r="I2075" s="15"/>
      <c r="J2075" s="15"/>
      <c r="K2075" s="15"/>
    </row>
    <row r="2076" ht="22.5" customHeight="1">
      <c r="A2076" s="167"/>
      <c r="B2076" s="144"/>
      <c r="C2076" s="15"/>
      <c r="D2076" s="15"/>
      <c r="E2076" s="146"/>
      <c r="F2076" s="15"/>
      <c r="G2076" s="15"/>
      <c r="H2076" s="15"/>
      <c r="I2076" s="15"/>
      <c r="J2076" s="15"/>
      <c r="K2076" s="15"/>
    </row>
    <row r="2077" ht="22.5" customHeight="1">
      <c r="A2077" s="167"/>
      <c r="B2077" s="144"/>
      <c r="C2077" s="15"/>
      <c r="D2077" s="15"/>
      <c r="E2077" s="146"/>
      <c r="F2077" s="15"/>
      <c r="G2077" s="15"/>
      <c r="H2077" s="15"/>
      <c r="I2077" s="15"/>
      <c r="J2077" s="15"/>
      <c r="K2077" s="15"/>
    </row>
    <row r="2078" ht="22.5" customHeight="1">
      <c r="A2078" s="167"/>
      <c r="B2078" s="144"/>
      <c r="C2078" s="15"/>
      <c r="D2078" s="15"/>
      <c r="E2078" s="146"/>
      <c r="F2078" s="15"/>
      <c r="G2078" s="15"/>
      <c r="H2078" s="15"/>
      <c r="I2078" s="15"/>
      <c r="J2078" s="15"/>
      <c r="K2078" s="15"/>
    </row>
    <row r="2079" ht="22.5" customHeight="1">
      <c r="A2079" s="167"/>
      <c r="B2079" s="144"/>
      <c r="C2079" s="15"/>
      <c r="D2079" s="15"/>
      <c r="E2079" s="146"/>
      <c r="F2079" s="15"/>
      <c r="G2079" s="15"/>
      <c r="H2079" s="15"/>
      <c r="I2079" s="15"/>
      <c r="J2079" s="15"/>
      <c r="K2079" s="15"/>
    </row>
    <row r="2080" ht="22.5" customHeight="1">
      <c r="A2080" s="167"/>
      <c r="B2080" s="144"/>
      <c r="C2080" s="15"/>
      <c r="D2080" s="15"/>
      <c r="E2080" s="146"/>
      <c r="F2080" s="15"/>
      <c r="G2080" s="15"/>
      <c r="H2080" s="15"/>
      <c r="I2080" s="15"/>
      <c r="J2080" s="15"/>
      <c r="K2080" s="15"/>
    </row>
    <row r="2081" ht="22.5" customHeight="1">
      <c r="A2081" s="167"/>
      <c r="B2081" s="144"/>
      <c r="C2081" s="15"/>
      <c r="D2081" s="15"/>
      <c r="E2081" s="146"/>
      <c r="F2081" s="15"/>
      <c r="G2081" s="15"/>
      <c r="H2081" s="15"/>
      <c r="I2081" s="15"/>
      <c r="J2081" s="15"/>
      <c r="K2081" s="15"/>
    </row>
    <row r="2082" ht="22.5" customHeight="1">
      <c r="A2082" s="167"/>
      <c r="B2082" s="144"/>
      <c r="C2082" s="15"/>
      <c r="D2082" s="15"/>
      <c r="E2082" s="146"/>
      <c r="F2082" s="15"/>
      <c r="G2082" s="15"/>
      <c r="H2082" s="15"/>
      <c r="I2082" s="15"/>
      <c r="J2082" s="15"/>
      <c r="K2082" s="15"/>
    </row>
    <row r="2083" ht="22.5" customHeight="1">
      <c r="A2083" s="167"/>
      <c r="B2083" s="144"/>
      <c r="C2083" s="15"/>
      <c r="D2083" s="15"/>
      <c r="E2083" s="146"/>
      <c r="F2083" s="15"/>
      <c r="G2083" s="15"/>
      <c r="H2083" s="15"/>
      <c r="I2083" s="15"/>
      <c r="J2083" s="15"/>
      <c r="K2083" s="15"/>
    </row>
    <row r="2084" ht="22.5" customHeight="1">
      <c r="A2084" s="167"/>
      <c r="B2084" s="144"/>
      <c r="C2084" s="15"/>
      <c r="D2084" s="15"/>
      <c r="E2084" s="146"/>
      <c r="F2084" s="15"/>
      <c r="G2084" s="15"/>
      <c r="H2084" s="15"/>
      <c r="I2084" s="15"/>
      <c r="J2084" s="15"/>
      <c r="K2084" s="15"/>
    </row>
    <row r="2085" ht="22.5" customHeight="1">
      <c r="A2085" s="167"/>
      <c r="B2085" s="144"/>
      <c r="C2085" s="15"/>
      <c r="D2085" s="15"/>
      <c r="E2085" s="146"/>
      <c r="F2085" s="15"/>
      <c r="G2085" s="15"/>
      <c r="H2085" s="15"/>
      <c r="I2085" s="15"/>
      <c r="J2085" s="15"/>
      <c r="K2085" s="15"/>
    </row>
    <row r="2086" ht="22.5" customHeight="1">
      <c r="A2086" s="167"/>
      <c r="B2086" s="144"/>
      <c r="C2086" s="15"/>
      <c r="D2086" s="15"/>
      <c r="E2086" s="146"/>
      <c r="F2086" s="15"/>
      <c r="G2086" s="15"/>
      <c r="H2086" s="15"/>
      <c r="I2086" s="15"/>
      <c r="J2086" s="15"/>
      <c r="K2086" s="15"/>
    </row>
    <row r="2087" ht="22.5" customHeight="1">
      <c r="A2087" s="167"/>
      <c r="B2087" s="144"/>
      <c r="C2087" s="15"/>
      <c r="D2087" s="15"/>
      <c r="E2087" s="146"/>
      <c r="F2087" s="15"/>
      <c r="G2087" s="15"/>
      <c r="H2087" s="15"/>
      <c r="I2087" s="15"/>
      <c r="J2087" s="15"/>
      <c r="K2087" s="15"/>
    </row>
    <row r="2088" ht="22.5" customHeight="1">
      <c r="A2088" s="167"/>
      <c r="B2088" s="144"/>
      <c r="C2088" s="15"/>
      <c r="D2088" s="15"/>
      <c r="E2088" s="146"/>
      <c r="F2088" s="15"/>
      <c r="G2088" s="15"/>
      <c r="H2088" s="15"/>
      <c r="I2088" s="15"/>
      <c r="J2088" s="15"/>
      <c r="K2088" s="15"/>
    </row>
    <row r="2089" ht="22.5" customHeight="1">
      <c r="A2089" s="167"/>
      <c r="B2089" s="144"/>
      <c r="C2089" s="15"/>
      <c r="D2089" s="15"/>
      <c r="E2089" s="146"/>
      <c r="F2089" s="15"/>
      <c r="G2089" s="15"/>
      <c r="H2089" s="15"/>
      <c r="I2089" s="15"/>
      <c r="J2089" s="15"/>
      <c r="K2089" s="15"/>
    </row>
    <row r="2090" ht="22.5" customHeight="1">
      <c r="A2090" s="167"/>
      <c r="B2090" s="144"/>
      <c r="C2090" s="15"/>
      <c r="D2090" s="15"/>
      <c r="E2090" s="146"/>
      <c r="F2090" s="15"/>
      <c r="G2090" s="15"/>
      <c r="H2090" s="15"/>
      <c r="I2090" s="15"/>
      <c r="J2090" s="15"/>
      <c r="K2090" s="15"/>
    </row>
    <row r="2091" ht="22.5" customHeight="1">
      <c r="A2091" s="167"/>
      <c r="B2091" s="144"/>
      <c r="C2091" s="15"/>
      <c r="D2091" s="15"/>
      <c r="E2091" s="146"/>
      <c r="F2091" s="15"/>
      <c r="G2091" s="15"/>
      <c r="H2091" s="15"/>
      <c r="I2091" s="15"/>
      <c r="J2091" s="15"/>
      <c r="K2091" s="15"/>
    </row>
    <row r="2092" ht="22.5" customHeight="1">
      <c r="A2092" s="167"/>
      <c r="B2092" s="144"/>
      <c r="C2092" s="15"/>
      <c r="D2092" s="15"/>
      <c r="E2092" s="146"/>
      <c r="F2092" s="15"/>
      <c r="G2092" s="15"/>
      <c r="H2092" s="15"/>
      <c r="I2092" s="15"/>
      <c r="J2092" s="15"/>
      <c r="K2092" s="15"/>
    </row>
    <row r="2093" ht="22.5" customHeight="1">
      <c r="A2093" s="167"/>
      <c r="B2093" s="144"/>
      <c r="C2093" s="15"/>
      <c r="D2093" s="15"/>
      <c r="E2093" s="146"/>
      <c r="F2093" s="15"/>
      <c r="G2093" s="15"/>
      <c r="H2093" s="15"/>
      <c r="I2093" s="15"/>
      <c r="J2093" s="15"/>
      <c r="K2093" s="15"/>
    </row>
    <row r="2094" ht="22.5" customHeight="1">
      <c r="A2094" s="167"/>
      <c r="B2094" s="144"/>
      <c r="C2094" s="15"/>
      <c r="D2094" s="15"/>
      <c r="E2094" s="146"/>
      <c r="F2094" s="15"/>
      <c r="G2094" s="15"/>
      <c r="H2094" s="15"/>
      <c r="I2094" s="15"/>
      <c r="J2094" s="15"/>
      <c r="K2094" s="15"/>
    </row>
    <row r="2095" ht="22.5" customHeight="1">
      <c r="A2095" s="167"/>
      <c r="B2095" s="144"/>
      <c r="C2095" s="15"/>
      <c r="D2095" s="15"/>
      <c r="E2095" s="146"/>
      <c r="F2095" s="15"/>
      <c r="G2095" s="15"/>
      <c r="H2095" s="15"/>
      <c r="I2095" s="15"/>
      <c r="J2095" s="15"/>
      <c r="K2095" s="15"/>
    </row>
    <row r="2096" ht="22.5" customHeight="1">
      <c r="A2096" s="167"/>
      <c r="B2096" s="144"/>
      <c r="C2096" s="15"/>
      <c r="D2096" s="15"/>
      <c r="E2096" s="146"/>
      <c r="F2096" s="15"/>
      <c r="G2096" s="15"/>
      <c r="H2096" s="15"/>
      <c r="I2096" s="15"/>
      <c r="J2096" s="15"/>
      <c r="K2096" s="15"/>
    </row>
    <row r="2097" ht="22.5" customHeight="1">
      <c r="A2097" s="167"/>
      <c r="B2097" s="144"/>
      <c r="C2097" s="15"/>
      <c r="D2097" s="15"/>
      <c r="E2097" s="146"/>
      <c r="F2097" s="15"/>
      <c r="G2097" s="15"/>
      <c r="H2097" s="15"/>
      <c r="I2097" s="15"/>
      <c r="J2097" s="15"/>
      <c r="K2097" s="15"/>
    </row>
    <row r="2098" ht="22.5" customHeight="1">
      <c r="A2098" s="167"/>
      <c r="B2098" s="144"/>
      <c r="C2098" s="15"/>
      <c r="D2098" s="15"/>
      <c r="E2098" s="146"/>
      <c r="F2098" s="15"/>
      <c r="G2098" s="15"/>
      <c r="H2098" s="15"/>
      <c r="I2098" s="15"/>
      <c r="J2098" s="15"/>
      <c r="K2098" s="15"/>
    </row>
    <row r="2099" ht="22.5" customHeight="1">
      <c r="A2099" s="167"/>
      <c r="B2099" s="144"/>
      <c r="C2099" s="15"/>
      <c r="D2099" s="15"/>
      <c r="E2099" s="146"/>
      <c r="F2099" s="15"/>
      <c r="G2099" s="15"/>
      <c r="H2099" s="15"/>
      <c r="I2099" s="15"/>
      <c r="J2099" s="15"/>
      <c r="K2099" s="15"/>
    </row>
    <row r="2100" ht="22.5" customHeight="1">
      <c r="A2100" s="167"/>
      <c r="B2100" s="144"/>
      <c r="C2100" s="15"/>
      <c r="D2100" s="15"/>
      <c r="E2100" s="146"/>
      <c r="F2100" s="15"/>
      <c r="G2100" s="15"/>
      <c r="H2100" s="15"/>
      <c r="I2100" s="15"/>
      <c r="J2100" s="15"/>
      <c r="K2100" s="15"/>
    </row>
    <row r="2101" ht="22.5" customHeight="1">
      <c r="A2101" s="167"/>
      <c r="B2101" s="144"/>
      <c r="C2101" s="15"/>
      <c r="D2101" s="15"/>
      <c r="E2101" s="146"/>
      <c r="F2101" s="15"/>
      <c r="G2101" s="15"/>
      <c r="H2101" s="15"/>
      <c r="I2101" s="15"/>
      <c r="J2101" s="15"/>
      <c r="K2101" s="15"/>
    </row>
    <row r="2102" ht="22.5" customHeight="1">
      <c r="A2102" s="167"/>
      <c r="B2102" s="144"/>
      <c r="C2102" s="15"/>
      <c r="D2102" s="15"/>
      <c r="E2102" s="146"/>
      <c r="F2102" s="15"/>
      <c r="G2102" s="15"/>
      <c r="H2102" s="15"/>
      <c r="I2102" s="15"/>
      <c r="J2102" s="15"/>
      <c r="K2102" s="15"/>
    </row>
    <row r="2103" ht="22.5" customHeight="1">
      <c r="A2103" s="167"/>
      <c r="B2103" s="144"/>
      <c r="C2103" s="15"/>
      <c r="D2103" s="15"/>
      <c r="E2103" s="146"/>
      <c r="F2103" s="15"/>
      <c r="G2103" s="15"/>
      <c r="H2103" s="15"/>
      <c r="I2103" s="15"/>
      <c r="J2103" s="15"/>
      <c r="K2103" s="15"/>
    </row>
    <row r="2104" ht="22.5" customHeight="1">
      <c r="A2104" s="167"/>
      <c r="B2104" s="144"/>
      <c r="C2104" s="15"/>
      <c r="D2104" s="15"/>
      <c r="E2104" s="146"/>
      <c r="F2104" s="15"/>
      <c r="G2104" s="15"/>
      <c r="H2104" s="15"/>
      <c r="I2104" s="15"/>
      <c r="J2104" s="15"/>
      <c r="K2104" s="15"/>
    </row>
    <row r="2105" ht="22.5" customHeight="1">
      <c r="A2105" s="167"/>
      <c r="B2105" s="144"/>
      <c r="C2105" s="15"/>
      <c r="D2105" s="15"/>
      <c r="E2105" s="146"/>
      <c r="F2105" s="15"/>
      <c r="G2105" s="15"/>
      <c r="H2105" s="15"/>
      <c r="I2105" s="15"/>
      <c r="J2105" s="15"/>
      <c r="K2105" s="15"/>
    </row>
    <row r="2106" ht="22.5" customHeight="1">
      <c r="A2106" s="167"/>
      <c r="B2106" s="144"/>
      <c r="C2106" s="15"/>
      <c r="D2106" s="15"/>
      <c r="E2106" s="146"/>
      <c r="F2106" s="15"/>
      <c r="G2106" s="15"/>
      <c r="H2106" s="15"/>
      <c r="I2106" s="15"/>
      <c r="J2106" s="15"/>
      <c r="K2106" s="15"/>
    </row>
    <row r="2107" ht="22.5" customHeight="1">
      <c r="A2107" s="167"/>
      <c r="B2107" s="144"/>
      <c r="C2107" s="15"/>
      <c r="D2107" s="15"/>
      <c r="E2107" s="146"/>
      <c r="F2107" s="15"/>
      <c r="G2107" s="15"/>
      <c r="H2107" s="15"/>
      <c r="I2107" s="15"/>
      <c r="J2107" s="15"/>
      <c r="K2107" s="15"/>
    </row>
    <row r="2108" ht="22.5" customHeight="1">
      <c r="A2108" s="167"/>
      <c r="B2108" s="144"/>
      <c r="C2108" s="15"/>
      <c r="D2108" s="15"/>
      <c r="E2108" s="146"/>
      <c r="F2108" s="15"/>
      <c r="G2108" s="15"/>
      <c r="H2108" s="15"/>
      <c r="I2108" s="15"/>
      <c r="J2108" s="15"/>
      <c r="K2108" s="15"/>
    </row>
    <row r="2109" ht="22.5" customHeight="1">
      <c r="A2109" s="167"/>
      <c r="B2109" s="144"/>
      <c r="C2109" s="15"/>
      <c r="D2109" s="15"/>
      <c r="E2109" s="146"/>
      <c r="F2109" s="15"/>
      <c r="G2109" s="15"/>
      <c r="H2109" s="15"/>
      <c r="I2109" s="15"/>
      <c r="J2109" s="15"/>
      <c r="K2109" s="15"/>
    </row>
    <row r="2110" ht="22.5" customHeight="1">
      <c r="A2110" s="167"/>
      <c r="B2110" s="144"/>
      <c r="C2110" s="15"/>
      <c r="D2110" s="15"/>
      <c r="E2110" s="146"/>
      <c r="F2110" s="15"/>
      <c r="G2110" s="15"/>
      <c r="H2110" s="15"/>
      <c r="I2110" s="15"/>
      <c r="J2110" s="15"/>
      <c r="K2110" s="15"/>
    </row>
    <row r="2111" ht="22.5" customHeight="1">
      <c r="A2111" s="167"/>
      <c r="B2111" s="144"/>
      <c r="C2111" s="15"/>
      <c r="D2111" s="15"/>
      <c r="E2111" s="146"/>
      <c r="F2111" s="15"/>
      <c r="G2111" s="15"/>
      <c r="H2111" s="15"/>
      <c r="I2111" s="15"/>
      <c r="J2111" s="15"/>
      <c r="K2111" s="15"/>
    </row>
    <row r="2112" ht="22.5" customHeight="1">
      <c r="A2112" s="167"/>
      <c r="B2112" s="144"/>
      <c r="C2112" s="15"/>
      <c r="D2112" s="15"/>
      <c r="E2112" s="146"/>
      <c r="F2112" s="15"/>
      <c r="G2112" s="15"/>
      <c r="H2112" s="15"/>
      <c r="I2112" s="15"/>
      <c r="J2112" s="15"/>
      <c r="K2112" s="15"/>
    </row>
    <row r="2113" ht="22.5" customHeight="1">
      <c r="A2113" s="167"/>
      <c r="B2113" s="144"/>
      <c r="C2113" s="15"/>
      <c r="D2113" s="15"/>
      <c r="E2113" s="146"/>
      <c r="F2113" s="15"/>
      <c r="G2113" s="15"/>
      <c r="H2113" s="15"/>
      <c r="I2113" s="15"/>
      <c r="J2113" s="15"/>
      <c r="K2113" s="15"/>
    </row>
    <row r="2114" ht="22.5" customHeight="1">
      <c r="A2114" s="167"/>
      <c r="B2114" s="144"/>
      <c r="C2114" s="15"/>
      <c r="D2114" s="15"/>
      <c r="E2114" s="146"/>
      <c r="F2114" s="15"/>
      <c r="G2114" s="15"/>
      <c r="H2114" s="15"/>
      <c r="I2114" s="15"/>
      <c r="J2114" s="15"/>
      <c r="K2114" s="15"/>
    </row>
    <row r="2115" ht="22.5" customHeight="1">
      <c r="A2115" s="167"/>
      <c r="B2115" s="144"/>
      <c r="C2115" s="15"/>
      <c r="D2115" s="15"/>
      <c r="E2115" s="146"/>
      <c r="F2115" s="15"/>
      <c r="G2115" s="15"/>
      <c r="H2115" s="15"/>
      <c r="I2115" s="15"/>
      <c r="J2115" s="15"/>
      <c r="K2115" s="15"/>
    </row>
    <row r="2116" ht="22.5" customHeight="1">
      <c r="A2116" s="167"/>
      <c r="B2116" s="144"/>
      <c r="C2116" s="15"/>
      <c r="D2116" s="15"/>
      <c r="E2116" s="146"/>
      <c r="F2116" s="15"/>
      <c r="G2116" s="15"/>
      <c r="H2116" s="15"/>
      <c r="I2116" s="15"/>
      <c r="J2116" s="15"/>
      <c r="K2116" s="15"/>
    </row>
    <row r="2117" ht="22.5" customHeight="1">
      <c r="A2117" s="167"/>
      <c r="B2117" s="144"/>
      <c r="C2117" s="15"/>
      <c r="D2117" s="15"/>
      <c r="E2117" s="146"/>
      <c r="F2117" s="15"/>
      <c r="G2117" s="15"/>
      <c r="H2117" s="15"/>
      <c r="I2117" s="15"/>
      <c r="J2117" s="15"/>
      <c r="K2117" s="15"/>
    </row>
    <row r="2118" ht="22.5" customHeight="1">
      <c r="A2118" s="167"/>
      <c r="B2118" s="144"/>
      <c r="C2118" s="15"/>
      <c r="D2118" s="15"/>
      <c r="E2118" s="146"/>
      <c r="F2118" s="15"/>
      <c r="G2118" s="15"/>
      <c r="H2118" s="15"/>
      <c r="I2118" s="15"/>
      <c r="J2118" s="15"/>
      <c r="K2118" s="15"/>
    </row>
    <row r="2119" ht="22.5" customHeight="1">
      <c r="A2119" s="167"/>
      <c r="B2119" s="144"/>
      <c r="C2119" s="15"/>
      <c r="D2119" s="15"/>
      <c r="E2119" s="146"/>
      <c r="F2119" s="15"/>
      <c r="G2119" s="15"/>
      <c r="H2119" s="15"/>
      <c r="I2119" s="15"/>
      <c r="J2119" s="15"/>
      <c r="K2119" s="15"/>
    </row>
    <row r="2120" ht="22.5" customHeight="1">
      <c r="A2120" s="167"/>
      <c r="B2120" s="144"/>
      <c r="C2120" s="15"/>
      <c r="D2120" s="15"/>
      <c r="E2120" s="146"/>
      <c r="F2120" s="15"/>
      <c r="G2120" s="15"/>
      <c r="H2120" s="15"/>
      <c r="I2120" s="15"/>
      <c r="J2120" s="15"/>
      <c r="K2120" s="15"/>
    </row>
    <row r="2121" ht="22.5" customHeight="1">
      <c r="A2121" s="167"/>
      <c r="B2121" s="144"/>
      <c r="C2121" s="15"/>
      <c r="D2121" s="15"/>
      <c r="E2121" s="146"/>
      <c r="F2121" s="15"/>
      <c r="G2121" s="15"/>
      <c r="H2121" s="15"/>
      <c r="I2121" s="15"/>
      <c r="J2121" s="15"/>
      <c r="K2121" s="15"/>
    </row>
    <row r="2122" ht="22.5" customHeight="1">
      <c r="A2122" s="167"/>
      <c r="B2122" s="144"/>
      <c r="C2122" s="15"/>
      <c r="D2122" s="15"/>
      <c r="E2122" s="146"/>
      <c r="F2122" s="15"/>
      <c r="G2122" s="15"/>
      <c r="H2122" s="15"/>
      <c r="I2122" s="15"/>
      <c r="J2122" s="15"/>
      <c r="K2122" s="15"/>
    </row>
    <row r="2123" ht="22.5" customHeight="1">
      <c r="A2123" s="167"/>
      <c r="B2123" s="144"/>
      <c r="C2123" s="15"/>
      <c r="D2123" s="15"/>
      <c r="E2123" s="146"/>
      <c r="F2123" s="15"/>
      <c r="G2123" s="15"/>
      <c r="H2123" s="15"/>
      <c r="I2123" s="15"/>
      <c r="J2123" s="15"/>
      <c r="K2123" s="15"/>
    </row>
    <row r="2124" ht="22.5" customHeight="1">
      <c r="A2124" s="167"/>
      <c r="B2124" s="144"/>
      <c r="C2124" s="15"/>
      <c r="D2124" s="15"/>
      <c r="E2124" s="146"/>
      <c r="F2124" s="15"/>
      <c r="G2124" s="15"/>
      <c r="H2124" s="15"/>
      <c r="I2124" s="15"/>
      <c r="J2124" s="15"/>
      <c r="K2124" s="15"/>
    </row>
    <row r="2125" ht="22.5" customHeight="1">
      <c r="A2125" s="167"/>
      <c r="B2125" s="144"/>
      <c r="C2125" s="15"/>
      <c r="D2125" s="15"/>
      <c r="E2125" s="146"/>
      <c r="F2125" s="15"/>
      <c r="G2125" s="15"/>
      <c r="H2125" s="15"/>
      <c r="I2125" s="15"/>
      <c r="J2125" s="15"/>
      <c r="K2125" s="15"/>
    </row>
    <row r="2126" ht="22.5" customHeight="1">
      <c r="A2126" s="167"/>
      <c r="B2126" s="144"/>
      <c r="C2126" s="15"/>
      <c r="D2126" s="15"/>
      <c r="E2126" s="146"/>
      <c r="F2126" s="15"/>
      <c r="G2126" s="15"/>
      <c r="H2126" s="15"/>
      <c r="I2126" s="15"/>
      <c r="J2126" s="15"/>
      <c r="K2126" s="15"/>
    </row>
    <row r="2127" ht="22.5" customHeight="1">
      <c r="A2127" s="167"/>
      <c r="B2127" s="144"/>
      <c r="C2127" s="15"/>
      <c r="D2127" s="15"/>
      <c r="E2127" s="146"/>
      <c r="F2127" s="15"/>
      <c r="G2127" s="15"/>
      <c r="H2127" s="15"/>
      <c r="I2127" s="15"/>
      <c r="J2127" s="15"/>
      <c r="K2127" s="15"/>
    </row>
    <row r="2128" ht="22.5" customHeight="1">
      <c r="A2128" s="167"/>
      <c r="B2128" s="144"/>
      <c r="C2128" s="15"/>
      <c r="D2128" s="15"/>
      <c r="E2128" s="146"/>
      <c r="F2128" s="15"/>
      <c r="G2128" s="15"/>
      <c r="H2128" s="15"/>
      <c r="I2128" s="15"/>
      <c r="J2128" s="15"/>
      <c r="K2128" s="15"/>
    </row>
    <row r="2129" ht="22.5" customHeight="1">
      <c r="A2129" s="167"/>
      <c r="B2129" s="144"/>
      <c r="C2129" s="15"/>
      <c r="D2129" s="15"/>
      <c r="E2129" s="146"/>
      <c r="F2129" s="15"/>
      <c r="G2129" s="15"/>
      <c r="H2129" s="15"/>
      <c r="I2129" s="15"/>
      <c r="J2129" s="15"/>
      <c r="K2129" s="15"/>
    </row>
    <row r="2130" ht="22.5" customHeight="1">
      <c r="A2130" s="167"/>
      <c r="B2130" s="144"/>
      <c r="C2130" s="15"/>
      <c r="D2130" s="15"/>
      <c r="E2130" s="146"/>
      <c r="F2130" s="15"/>
      <c r="G2130" s="15"/>
      <c r="H2130" s="15"/>
      <c r="I2130" s="15"/>
      <c r="J2130" s="15"/>
      <c r="K2130" s="15"/>
    </row>
    <row r="2131" ht="22.5" customHeight="1">
      <c r="A2131" s="167"/>
      <c r="B2131" s="144"/>
      <c r="C2131" s="15"/>
      <c r="D2131" s="15"/>
      <c r="E2131" s="146"/>
      <c r="F2131" s="15"/>
      <c r="G2131" s="15"/>
      <c r="H2131" s="15"/>
      <c r="I2131" s="15"/>
      <c r="J2131" s="15"/>
      <c r="K2131" s="15"/>
    </row>
    <row r="2132" ht="22.5" customHeight="1">
      <c r="A2132" s="167"/>
      <c r="B2132" s="144"/>
      <c r="C2132" s="15"/>
      <c r="D2132" s="15"/>
      <c r="E2132" s="146"/>
      <c r="F2132" s="15"/>
      <c r="G2132" s="15"/>
      <c r="H2132" s="15"/>
      <c r="I2132" s="15"/>
      <c r="J2132" s="15"/>
      <c r="K2132" s="15"/>
    </row>
    <row r="2133" ht="22.5" customHeight="1">
      <c r="A2133" s="167"/>
      <c r="B2133" s="144"/>
      <c r="C2133" s="15"/>
      <c r="D2133" s="15"/>
      <c r="E2133" s="146"/>
      <c r="F2133" s="15"/>
      <c r="G2133" s="15"/>
      <c r="H2133" s="15"/>
      <c r="I2133" s="15"/>
      <c r="J2133" s="15"/>
      <c r="K2133" s="15"/>
    </row>
    <row r="2134" ht="22.5" customHeight="1">
      <c r="A2134" s="167"/>
      <c r="B2134" s="144"/>
      <c r="C2134" s="15"/>
      <c r="D2134" s="15"/>
      <c r="E2134" s="146"/>
      <c r="F2134" s="15"/>
      <c r="G2134" s="15"/>
      <c r="H2134" s="15"/>
      <c r="I2134" s="15"/>
      <c r="J2134" s="15"/>
      <c r="K2134" s="15"/>
    </row>
    <row r="2135" ht="22.5" customHeight="1">
      <c r="A2135" s="167"/>
      <c r="B2135" s="144"/>
      <c r="C2135" s="15"/>
      <c r="D2135" s="15"/>
      <c r="E2135" s="146"/>
      <c r="F2135" s="15"/>
      <c r="G2135" s="15"/>
      <c r="H2135" s="15"/>
      <c r="I2135" s="15"/>
      <c r="J2135" s="15"/>
      <c r="K2135" s="15"/>
    </row>
    <row r="2136" ht="22.5" customHeight="1">
      <c r="A2136" s="167"/>
      <c r="B2136" s="144"/>
      <c r="C2136" s="15"/>
      <c r="D2136" s="15"/>
      <c r="E2136" s="146"/>
      <c r="F2136" s="15"/>
      <c r="G2136" s="15"/>
      <c r="H2136" s="15"/>
      <c r="I2136" s="15"/>
      <c r="J2136" s="15"/>
      <c r="K2136" s="15"/>
    </row>
    <row r="2137" ht="22.5" customHeight="1">
      <c r="A2137" s="167"/>
      <c r="B2137" s="144"/>
      <c r="C2137" s="15"/>
      <c r="D2137" s="15"/>
      <c r="E2137" s="146"/>
      <c r="F2137" s="15"/>
      <c r="G2137" s="15"/>
      <c r="H2137" s="15"/>
      <c r="I2137" s="15"/>
      <c r="J2137" s="15"/>
      <c r="K2137" s="15"/>
    </row>
    <row r="2138" ht="22.5" customHeight="1">
      <c r="A2138" s="167"/>
      <c r="B2138" s="144"/>
      <c r="C2138" s="15"/>
      <c r="D2138" s="15"/>
      <c r="E2138" s="146"/>
      <c r="F2138" s="15"/>
      <c r="G2138" s="15"/>
      <c r="H2138" s="15"/>
      <c r="I2138" s="15"/>
      <c r="J2138" s="15"/>
      <c r="K2138" s="15"/>
    </row>
    <row r="2139" ht="22.5" customHeight="1">
      <c r="A2139" s="167"/>
      <c r="B2139" s="144"/>
      <c r="C2139" s="15"/>
      <c r="D2139" s="15"/>
      <c r="E2139" s="146"/>
      <c r="F2139" s="15"/>
      <c r="G2139" s="15"/>
      <c r="H2139" s="15"/>
      <c r="I2139" s="15"/>
      <c r="J2139" s="15"/>
      <c r="K2139" s="15"/>
    </row>
    <row r="2140" ht="22.5" customHeight="1">
      <c r="A2140" s="167"/>
      <c r="B2140" s="144"/>
      <c r="C2140" s="15"/>
      <c r="D2140" s="15"/>
      <c r="E2140" s="146"/>
      <c r="F2140" s="15"/>
      <c r="G2140" s="15"/>
      <c r="H2140" s="15"/>
      <c r="I2140" s="15"/>
      <c r="J2140" s="15"/>
      <c r="K2140" s="15"/>
    </row>
    <row r="2141" ht="22.5" customHeight="1">
      <c r="A2141" s="167"/>
      <c r="B2141" s="144"/>
      <c r="C2141" s="15"/>
      <c r="D2141" s="15"/>
      <c r="E2141" s="146"/>
      <c r="F2141" s="15"/>
      <c r="G2141" s="15"/>
      <c r="H2141" s="15"/>
      <c r="I2141" s="15"/>
      <c r="J2141" s="15"/>
      <c r="K2141" s="15"/>
    </row>
    <row r="2142" ht="22.5" customHeight="1">
      <c r="A2142" s="167"/>
      <c r="B2142" s="144"/>
      <c r="C2142" s="15"/>
      <c r="D2142" s="15"/>
      <c r="E2142" s="146"/>
      <c r="F2142" s="15"/>
      <c r="G2142" s="15"/>
      <c r="H2142" s="15"/>
      <c r="I2142" s="15"/>
      <c r="J2142" s="15"/>
      <c r="K2142" s="15"/>
    </row>
    <row r="2143" ht="22.5" customHeight="1">
      <c r="A2143" s="167"/>
      <c r="B2143" s="144"/>
      <c r="C2143" s="15"/>
      <c r="D2143" s="15"/>
      <c r="E2143" s="146"/>
      <c r="F2143" s="15"/>
      <c r="G2143" s="15"/>
      <c r="H2143" s="15"/>
      <c r="I2143" s="15"/>
      <c r="J2143" s="15"/>
      <c r="K2143" s="15"/>
    </row>
    <row r="2144" ht="22.5" customHeight="1">
      <c r="A2144" s="167"/>
      <c r="B2144" s="144"/>
      <c r="C2144" s="15"/>
      <c r="D2144" s="15"/>
      <c r="E2144" s="146"/>
      <c r="F2144" s="15"/>
      <c r="G2144" s="15"/>
      <c r="H2144" s="15"/>
      <c r="I2144" s="15"/>
      <c r="J2144" s="15"/>
      <c r="K2144" s="15"/>
    </row>
  </sheetData>
  <dataValidations>
    <dataValidation type="custom" allowBlank="1" showDropDown="1" sqref="A2:A2144">
      <formula1>OR(NOT(ISERROR(DATEVALUE(A2))), AND(ISNUMBER(A2), LEFT(CELL("format", A2))="D"))</formula1>
    </dataValidation>
    <dataValidation type="custom" allowBlank="1" showDropDown="1" sqref="E2:E2144">
      <formula1>AND(ISNUMBER(E2),(NOT(OR(NOT(ISERROR(DATEVALUE(E2))), AND(ISNUMBER(E2), LEFT(CELL("format", E2))="D")))))</formula1>
    </dataValidation>
    <dataValidation allowBlank="1" showDropDown="1" sqref="B2:B2144"/>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4.13"/>
    <col customWidth="1" min="26" max="26" width="37.38"/>
  </cols>
  <sheetData>
    <row r="1">
      <c r="A1" s="52" t="s">
        <v>88</v>
      </c>
      <c r="B1" s="52" t="s">
        <v>11</v>
      </c>
      <c r="P1" s="52"/>
    </row>
    <row r="2">
      <c r="A2" s="52" t="s">
        <v>89</v>
      </c>
      <c r="B2" s="52" t="s">
        <v>689</v>
      </c>
      <c r="P2" s="52" t="s">
        <v>690</v>
      </c>
      <c r="Q2" s="56">
        <f>SUMIF(Q7:Q1000, "&lt;0")/COUNTIF(Q7:Q1000, "&lt;0")</f>
        <v>-359.0946</v>
      </c>
    </row>
    <row r="3">
      <c r="P3" s="52" t="s">
        <v>691</v>
      </c>
      <c r="Q3" s="56">
        <f>SUMIF(Q7:Q1000, "&gt;0")/COUNTIF(Q7:Q1000, "&gt;0")</f>
        <v>162.93515</v>
      </c>
    </row>
    <row r="4">
      <c r="A4" s="52" t="s">
        <v>692</v>
      </c>
      <c r="P4" s="52" t="s">
        <v>693</v>
      </c>
      <c r="Q4" s="56">
        <f>SUM(Q7:Q1000)/(MAX(P7:P1000)-MIN(P7:P1000))</f>
        <v>-32.73409231</v>
      </c>
      <c r="R4" s="56">
        <f>365*25*100/66000</f>
        <v>13.82575758</v>
      </c>
    </row>
    <row r="6">
      <c r="D6" s="56" t="str">
        <f>IFERROR(__xludf.DUMMYFUNCTION("QUERY(OptionsPositions, ""Select C, SUM(R) WHERE "" &amp; TEXTJOIN( "" OR "", TRUE, Arrayformula(""A = '"" &amp; Query(TradeLog, ""SELECT A WHERE '""&amp;B2&amp;""' contains H"") &amp; ""' AND C = date '"" &amp; text(Query(TradeLog, ""SELECT B WHERE '""&amp;B2&amp;""' contains H""), ""y"&amp;"yyy-mm-dd"") &amp; ""' AND E is not NULL"")) &amp; "" GROUP BY C"")"),"#VALUE!")</f>
        <v>#VALUE!</v>
      </c>
      <c r="P6" s="56" t="str">
        <f>IFERROR(__xludf.DUMMYFUNCTION("QUERY(OptionsPositions, ""Select E, SUM(R) GROUP BY E"")"),"")</f>
        <v/>
      </c>
      <c r="Q6" s="56" t="str">
        <f>IFERROR(__xludf.DUMMYFUNCTION("""COMPUTED_VALUE"""),"sum ")</f>
        <v>sum </v>
      </c>
    </row>
    <row r="7">
      <c r="P7" s="168"/>
      <c r="Q7" s="56">
        <f>IFERROR(__xludf.DUMMYFUNCTION("""COMPUTED_VALUE"""),43.748)</f>
        <v>43.748</v>
      </c>
      <c r="R7" s="169">
        <f t="array" ref="R7:R1000">IF(ISBLANK(Q7:Q1000), "", SUMIF(ROW(Q7:Q1000), "&lt;="&amp;ROW(Q7:Q1000), Q7:Q1000))</f>
        <v>43.748</v>
      </c>
    </row>
    <row r="8">
      <c r="D8" s="56" t="str">
        <f>IFERROR(__xludf.DUMMYFUNCTION("QUERY(OptionsPositions, ""Select C, SUM(R) WHERE "" &amp; TEXTJOIN( "" OR "", TRUE, ARRAYFORMULA(if(A9:A1000 &lt;&gt; """", ""A = '"" &amp;A9:A1000  &amp; ""' AND C = date '"" &amp; text(B9:B1000, ""yyyy-mm-dd"") &amp; ""' AND E is not NULL"", """"))) &amp; "" GROUP BY C"")"),"")</f>
        <v/>
      </c>
      <c r="E8" s="56" t="str">
        <f>IFERROR(__xludf.DUMMYFUNCTION("""COMPUTED_VALUE"""),"sum ")</f>
        <v>sum </v>
      </c>
      <c r="I8" s="170"/>
      <c r="P8" s="168">
        <f>IFERROR(__xludf.DUMMYFUNCTION("""COMPUTED_VALUE"""),46027.0)</f>
        <v>46027</v>
      </c>
      <c r="Q8" s="56">
        <f>IFERROR(__xludf.DUMMYFUNCTION("""COMPUTED_VALUE"""),286.249)</f>
        <v>286.249</v>
      </c>
      <c r="R8" s="56">
        <v>329.997</v>
      </c>
    </row>
    <row r="9">
      <c r="A9" s="56" t="str">
        <f>IFERROR(__xludf.DUMMYFUNCTION("Query(TradeLog, ""SELECT A, B WHERE '""&amp;B2&amp;""' contains H"")"),"CMCSA")</f>
        <v>CMCSA</v>
      </c>
      <c r="B9" s="171">
        <f>IFERROR(__xludf.DUMMYFUNCTION("""COMPUTED_VALUE"""),46007.0)</f>
        <v>46007</v>
      </c>
      <c r="D9" s="168">
        <f>IFERROR(__xludf.DUMMYFUNCTION("""COMPUTED_VALUE"""),46007.0)</f>
        <v>46007</v>
      </c>
      <c r="E9" s="56">
        <f>IFERROR(__xludf.DUMMYFUNCTION("""COMPUTED_VALUE"""),-145.028)</f>
        <v>-145.028</v>
      </c>
      <c r="P9" s="168">
        <f>IFERROR(__xludf.DUMMYFUNCTION("""COMPUTED_VALUE"""),46029.0)</f>
        <v>46029</v>
      </c>
      <c r="Q9" s="56">
        <f>IFERROR(__xludf.DUMMYFUNCTION("""COMPUTED_VALUE"""),237.66599999999997)</f>
        <v>237.666</v>
      </c>
      <c r="R9" s="56">
        <v>567.663</v>
      </c>
    </row>
    <row r="10">
      <c r="A10" s="56" t="str">
        <f>IFERROR(__xludf.DUMMYFUNCTION("""COMPUTED_VALUE"""),"MSOS")</f>
        <v>MSOS</v>
      </c>
      <c r="B10" s="171">
        <f>IFERROR(__xludf.DUMMYFUNCTION("""COMPUTED_VALUE"""),46007.0)</f>
        <v>46007</v>
      </c>
      <c r="D10" s="168">
        <f>IFERROR(__xludf.DUMMYFUNCTION("""COMPUTED_VALUE"""),46029.0)</f>
        <v>46029</v>
      </c>
      <c r="E10" s="56">
        <f>IFERROR(__xludf.DUMMYFUNCTION("""COMPUTED_VALUE"""),-60.04899999999999)</f>
        <v>-60.049</v>
      </c>
      <c r="I10" s="32"/>
      <c r="P10" s="168">
        <f>IFERROR(__xludf.DUMMYFUNCTION("""COMPUTED_VALUE"""),46034.0)</f>
        <v>46034</v>
      </c>
      <c r="Q10" s="56">
        <f>IFERROR(__xludf.DUMMYFUNCTION("""COMPUTED_VALUE"""),-249.70400000000018)</f>
        <v>-249.704</v>
      </c>
      <c r="R10" s="56">
        <v>317.95899999999983</v>
      </c>
    </row>
    <row r="11">
      <c r="A11" s="56" t="str">
        <f>IFERROR(__xludf.DUMMYFUNCTION("""COMPUTED_VALUE"""),"CRML")</f>
        <v>CRML</v>
      </c>
      <c r="B11" s="171">
        <f>IFERROR(__xludf.DUMMYFUNCTION("""COMPUTED_VALUE"""),46028.0)</f>
        <v>46028</v>
      </c>
      <c r="D11" s="168">
        <f>IFERROR(__xludf.DUMMYFUNCTION("""COMPUTED_VALUE"""),46030.0)</f>
        <v>46030</v>
      </c>
      <c r="E11" s="56">
        <f>IFERROR(__xludf.DUMMYFUNCTION("""COMPUTED_VALUE"""),-27.098)</f>
        <v>-27.098</v>
      </c>
      <c r="P11" s="168">
        <f>IFERROR(__xludf.DUMMYFUNCTION("""COMPUTED_VALUE"""),46035.0)</f>
        <v>46035</v>
      </c>
      <c r="Q11" s="56">
        <f>IFERROR(__xludf.DUMMYFUNCTION("""COMPUTED_VALUE"""),-986.771)</f>
        <v>-986.771</v>
      </c>
      <c r="R11" s="56">
        <v>-668.8120000000001</v>
      </c>
    </row>
    <row r="12">
      <c r="A12" s="56" t="str">
        <f>IFERROR(__xludf.DUMMYFUNCTION("""COMPUTED_VALUE"""),"COMP")</f>
        <v>COMP</v>
      </c>
      <c r="B12" s="171">
        <f>IFERROR(__xludf.DUMMYFUNCTION("""COMPUTED_VALUE"""),46029.0)</f>
        <v>46029</v>
      </c>
      <c r="D12" s="168">
        <f>IFERROR(__xludf.DUMMYFUNCTION("""COMPUTED_VALUE"""),46036.0)</f>
        <v>46036</v>
      </c>
      <c r="E12" s="56">
        <f>IFERROR(__xludf.DUMMYFUNCTION("""COMPUTED_VALUE"""),-266.101)</f>
        <v>-266.101</v>
      </c>
      <c r="P12" s="168">
        <f>IFERROR(__xludf.DUMMYFUNCTION("""COMPUTED_VALUE"""),46036.0)</f>
        <v>46036</v>
      </c>
      <c r="Q12" s="56">
        <f>IFERROR(__xludf.DUMMYFUNCTION("""COMPUTED_VALUE"""),50.79699999999988)</f>
        <v>50.797</v>
      </c>
      <c r="R12" s="56">
        <v>-618.0150000000002</v>
      </c>
    </row>
    <row r="13">
      <c r="A13" s="56" t="str">
        <f>IFERROR(__xludf.DUMMYFUNCTION("""COMPUTED_VALUE"""),"ARDX")</f>
        <v>ARDX</v>
      </c>
      <c r="B13" s="171">
        <f>IFERROR(__xludf.DUMMYFUNCTION("""COMPUTED_VALUE"""),46030.0)</f>
        <v>46030</v>
      </c>
      <c r="D13" s="168">
        <f>IFERROR(__xludf.DUMMYFUNCTION("""COMPUTED_VALUE"""),46042.0)</f>
        <v>46042</v>
      </c>
      <c r="E13" s="56">
        <f>IFERROR(__xludf.DUMMYFUNCTION("""COMPUTED_VALUE"""),-62.94000000000001)</f>
        <v>-62.94</v>
      </c>
      <c r="P13" s="168">
        <f>IFERROR(__xludf.DUMMYFUNCTION("""COMPUTED_VALUE"""),46038.0)</f>
        <v>46038</v>
      </c>
      <c r="Q13" s="56">
        <f>IFERROR(__xludf.DUMMYFUNCTION("""COMPUTED_VALUE"""),-211.074)</f>
        <v>-211.074</v>
      </c>
      <c r="R13" s="56">
        <v>-829.0890000000002</v>
      </c>
    </row>
    <row r="14">
      <c r="A14" s="56" t="str">
        <f>IFERROR(__xludf.DUMMYFUNCTION("""COMPUTED_VALUE"""),"BW")</f>
        <v>BW</v>
      </c>
      <c r="B14" s="171">
        <f>IFERROR(__xludf.DUMMYFUNCTION("""COMPUTED_VALUE"""),46030.0)</f>
        <v>46030</v>
      </c>
      <c r="D14" s="168">
        <f>IFERROR(__xludf.DUMMYFUNCTION("""COMPUTED_VALUE"""),46043.0)</f>
        <v>46043</v>
      </c>
      <c r="E14" s="56">
        <f>IFERROR(__xludf.DUMMYFUNCTION("""COMPUTED_VALUE"""),9.493000000000038)</f>
        <v>9.493</v>
      </c>
      <c r="P14" s="168">
        <f>IFERROR(__xludf.DUMMYFUNCTION("""COMPUTED_VALUE"""),46041.0)</f>
        <v>46041</v>
      </c>
      <c r="Q14" s="56">
        <f>IFERROR(__xludf.DUMMYFUNCTION("""COMPUTED_VALUE"""),109.60000000000014)</f>
        <v>109.6</v>
      </c>
      <c r="R14" s="56">
        <v>-719.489</v>
      </c>
    </row>
    <row r="15">
      <c r="A15" s="56" t="str">
        <f>IFERROR(__xludf.DUMMYFUNCTION("""COMPUTED_VALUE"""),"IBIT")</f>
        <v>IBIT</v>
      </c>
      <c r="B15" s="171">
        <f>IFERROR(__xludf.DUMMYFUNCTION("""COMPUTED_VALUE"""),46036.0)</f>
        <v>46036</v>
      </c>
      <c r="D15" s="168">
        <f>IFERROR(__xludf.DUMMYFUNCTION("""COMPUTED_VALUE"""),46044.0)</f>
        <v>46044</v>
      </c>
      <c r="E15" s="56">
        <f>IFERROR(__xludf.DUMMYFUNCTION("""COMPUTED_VALUE"""),-356.09799999999996)</f>
        <v>-356.098</v>
      </c>
      <c r="P15" s="168">
        <f>IFERROR(__xludf.DUMMYFUNCTION("""COMPUTED_VALUE"""),46042.0)</f>
        <v>46042</v>
      </c>
      <c r="Q15" s="56">
        <f>IFERROR(__xludf.DUMMYFUNCTION("""COMPUTED_VALUE"""),-266.101)</f>
        <v>-266.101</v>
      </c>
      <c r="R15" s="56">
        <v>-985.59</v>
      </c>
    </row>
    <row r="16">
      <c r="A16" s="56" t="str">
        <f>IFERROR(__xludf.DUMMYFUNCTION("""COMPUTED_VALUE"""),"CEG")</f>
        <v>CEG</v>
      </c>
      <c r="B16" s="171">
        <f>IFERROR(__xludf.DUMMYFUNCTION("""COMPUTED_VALUE"""),46038.0)</f>
        <v>46038</v>
      </c>
      <c r="D16" s="168">
        <f>IFERROR(__xludf.DUMMYFUNCTION("""COMPUTED_VALUE"""),46045.0)</f>
        <v>46045</v>
      </c>
      <c r="E16" s="56">
        <f>IFERROR(__xludf.DUMMYFUNCTION("""COMPUTED_VALUE"""),-88.10000000000002)</f>
        <v>-88.1</v>
      </c>
      <c r="P16" s="168">
        <f>IFERROR(__xludf.DUMMYFUNCTION("""COMPUTED_VALUE"""),46044.0)</f>
        <v>46044</v>
      </c>
      <c r="Q16" s="56">
        <f>IFERROR(__xludf.DUMMYFUNCTION("""COMPUTED_VALUE"""),65.47800000000001)</f>
        <v>65.478</v>
      </c>
      <c r="R16" s="56">
        <v>-920.1120000000001</v>
      </c>
    </row>
    <row r="17">
      <c r="A17" s="56" t="str">
        <f>IFERROR(__xludf.DUMMYFUNCTION("""COMPUTED_VALUE"""),"WFC")</f>
        <v>WFC</v>
      </c>
      <c r="B17" s="171">
        <f>IFERROR(__xludf.DUMMYFUNCTION("""COMPUTED_VALUE"""),46042.0)</f>
        <v>46042</v>
      </c>
      <c r="D17" s="168">
        <f>IFERROR(__xludf.DUMMYFUNCTION("""COMPUTED_VALUE"""),46050.0)</f>
        <v>46050</v>
      </c>
      <c r="E17" s="56">
        <f>IFERROR(__xludf.DUMMYFUNCTION("""COMPUTED_VALUE"""),-43.050000000000004)</f>
        <v>-43.05</v>
      </c>
      <c r="P17" s="168">
        <f>IFERROR(__xludf.DUMMYFUNCTION("""COMPUTED_VALUE"""),46045.0)</f>
        <v>46045</v>
      </c>
      <c r="Q17" s="56">
        <f>IFERROR(__xludf.DUMMYFUNCTION("""COMPUTED_VALUE"""),178.894)</f>
        <v>178.894</v>
      </c>
      <c r="R17" s="56">
        <v>-741.2180000000001</v>
      </c>
    </row>
    <row r="18">
      <c r="A18" s="56" t="str">
        <f>IFERROR(__xludf.DUMMYFUNCTION("""COMPUTED_VALUE"""),"O")</f>
        <v>O</v>
      </c>
      <c r="B18" s="171">
        <f>IFERROR(__xludf.DUMMYFUNCTION("""COMPUTED_VALUE"""),46042.0)</f>
        <v>46042</v>
      </c>
      <c r="D18" s="168">
        <f>IFERROR(__xludf.DUMMYFUNCTION("""COMPUTED_VALUE"""),46052.0)</f>
        <v>46052</v>
      </c>
      <c r="E18" s="56">
        <f>IFERROR(__xludf.DUMMYFUNCTION("""COMPUTED_VALUE"""),263.39899999999994)</f>
        <v>263.399</v>
      </c>
      <c r="P18" s="168">
        <f>IFERROR(__xludf.DUMMYFUNCTION("""COMPUTED_VALUE"""),46048.0)</f>
        <v>46048</v>
      </c>
      <c r="Q18" s="56">
        <f>IFERROR(__xludf.DUMMYFUNCTION("""COMPUTED_VALUE"""),107.393)</f>
        <v>107.393</v>
      </c>
      <c r="R18" s="56">
        <v>-633.825</v>
      </c>
    </row>
    <row r="19">
      <c r="A19" s="56" t="str">
        <f>IFERROR(__xludf.DUMMYFUNCTION("""COMPUTED_VALUE"""),"NFLX")</f>
        <v>NFLX</v>
      </c>
      <c r="B19" s="171">
        <f>IFERROR(__xludf.DUMMYFUNCTION("""COMPUTED_VALUE"""),46043.0)</f>
        <v>46043</v>
      </c>
      <c r="D19" s="168">
        <f>IFERROR(__xludf.DUMMYFUNCTION("""COMPUTED_VALUE"""),46055.0)</f>
        <v>46055</v>
      </c>
      <c r="E19" s="56">
        <f>IFERROR(__xludf.DUMMYFUNCTION("""COMPUTED_VALUE"""),3.9490000000000007)</f>
        <v>3.949</v>
      </c>
      <c r="P19" s="168">
        <f>IFERROR(__xludf.DUMMYFUNCTION("""COMPUTED_VALUE"""),46050.0)</f>
        <v>46050</v>
      </c>
      <c r="Q19" s="56">
        <f>IFERROR(__xludf.DUMMYFUNCTION("""COMPUTED_VALUE"""),-47.014)</f>
        <v>-47.014</v>
      </c>
      <c r="R19" s="56">
        <v>-680.839</v>
      </c>
    </row>
    <row r="20">
      <c r="A20" s="56" t="str">
        <f>IFERROR(__xludf.DUMMYFUNCTION("""COMPUTED_VALUE"""),"CRBG")</f>
        <v>CRBG</v>
      </c>
      <c r="B20" s="171">
        <f>IFERROR(__xludf.DUMMYFUNCTION("""COMPUTED_VALUE"""),46043.0)</f>
        <v>46043</v>
      </c>
      <c r="D20" s="168">
        <f>IFERROR(__xludf.DUMMYFUNCTION("""COMPUTED_VALUE"""),46059.0)</f>
        <v>46059</v>
      </c>
      <c r="E20" s="56">
        <f>IFERROR(__xludf.DUMMYFUNCTION("""COMPUTED_VALUE"""),13.450000000000017)</f>
        <v>13.45</v>
      </c>
      <c r="P20" s="168">
        <f>IFERROR(__xludf.DUMMYFUNCTION("""COMPUTED_VALUE"""),46055.0)</f>
        <v>46055</v>
      </c>
      <c r="Q20" s="56">
        <f>IFERROR(__xludf.DUMMYFUNCTION("""COMPUTED_VALUE"""),146.44100000000003)</f>
        <v>146.441</v>
      </c>
      <c r="R20" s="56">
        <v>-534.398</v>
      </c>
    </row>
    <row r="21">
      <c r="A21" s="56" t="str">
        <f>IFERROR(__xludf.DUMMYFUNCTION("""COMPUTED_VALUE"""),"SFM")</f>
        <v>SFM</v>
      </c>
      <c r="B21" s="171">
        <f>IFERROR(__xludf.DUMMYFUNCTION("""COMPUTED_VALUE"""),46043.0)</f>
        <v>46043</v>
      </c>
      <c r="D21" s="168">
        <f>IFERROR(__xludf.DUMMYFUNCTION("""COMPUTED_VALUE"""),46063.0)</f>
        <v>46063</v>
      </c>
      <c r="E21" s="56">
        <f>IFERROR(__xludf.DUMMYFUNCTION("""COMPUTED_VALUE"""),29.498999999999995)</f>
        <v>29.499</v>
      </c>
      <c r="P21" s="168">
        <f>IFERROR(__xludf.DUMMYFUNCTION("""COMPUTED_VALUE"""),46056.0)</f>
        <v>46056</v>
      </c>
      <c r="Q21" s="56">
        <f>IFERROR(__xludf.DUMMYFUNCTION("""COMPUTED_VALUE"""),262.648)</f>
        <v>262.648</v>
      </c>
      <c r="R21" s="56">
        <v>-271.75</v>
      </c>
    </row>
    <row r="22">
      <c r="A22" s="56" t="str">
        <f>IFERROR(__xludf.DUMMYFUNCTION("""COMPUTED_VALUE"""),"NG")</f>
        <v>NG</v>
      </c>
      <c r="B22" s="171">
        <f>IFERROR(__xludf.DUMMYFUNCTION("""COMPUTED_VALUE"""),46044.0)</f>
        <v>46044</v>
      </c>
      <c r="D22" s="168">
        <f>IFERROR(__xludf.DUMMYFUNCTION("""COMPUTED_VALUE"""),46064.0)</f>
        <v>46064</v>
      </c>
      <c r="E22" s="56">
        <f>IFERROR(__xludf.DUMMYFUNCTION("""COMPUTED_VALUE"""),17.201000000000008)</f>
        <v>17.201</v>
      </c>
      <c r="P22" s="168">
        <f>IFERROR(__xludf.DUMMYFUNCTION("""COMPUTED_VALUE"""),46057.0)</f>
        <v>46057</v>
      </c>
      <c r="Q22" s="56">
        <f>IFERROR(__xludf.DUMMYFUNCTION("""COMPUTED_VALUE"""),250.49900000000014)</f>
        <v>250.499</v>
      </c>
      <c r="R22" s="56">
        <v>-21.250999999999863</v>
      </c>
    </row>
    <row r="23">
      <c r="A23" s="56" t="str">
        <f>IFERROR(__xludf.DUMMYFUNCTION("""COMPUTED_VALUE"""),"IBKR")</f>
        <v>IBKR</v>
      </c>
      <c r="B23" s="171">
        <f>IFERROR(__xludf.DUMMYFUNCTION("""COMPUTED_VALUE"""),46044.0)</f>
        <v>46044</v>
      </c>
      <c r="D23" s="168">
        <f>IFERROR(__xludf.DUMMYFUNCTION("""COMPUTED_VALUE"""),46065.0)</f>
        <v>46065</v>
      </c>
      <c r="E23" s="56">
        <f>IFERROR(__xludf.DUMMYFUNCTION("""COMPUTED_VALUE"""),-22.65)</f>
        <v>-22.65</v>
      </c>
      <c r="P23" s="168">
        <f>IFERROR(__xludf.DUMMYFUNCTION("""COMPUTED_VALUE"""),46058.0)</f>
        <v>46058</v>
      </c>
      <c r="Q23" s="56">
        <f>IFERROR(__xludf.DUMMYFUNCTION("""COMPUTED_VALUE"""),-78.66000000000003)</f>
        <v>-78.66</v>
      </c>
      <c r="R23" s="56">
        <v>-99.91099999999989</v>
      </c>
    </row>
    <row r="24">
      <c r="A24" s="56" t="str">
        <f>IFERROR(__xludf.DUMMYFUNCTION("""COMPUTED_VALUE"""),"HAL")</f>
        <v>HAL</v>
      </c>
      <c r="B24" s="171">
        <f>IFERROR(__xludf.DUMMYFUNCTION("""COMPUTED_VALUE"""),46044.0)</f>
        <v>46044</v>
      </c>
      <c r="D24" s="168">
        <f>IFERROR(__xludf.DUMMYFUNCTION("""COMPUTED_VALUE"""),46066.0)</f>
        <v>46066</v>
      </c>
      <c r="E24" s="56">
        <f>IFERROR(__xludf.DUMMYFUNCTION("""COMPUTED_VALUE"""),-57.79899999999998)</f>
        <v>-57.799</v>
      </c>
      <c r="P24" s="168">
        <f>IFERROR(__xludf.DUMMYFUNCTION("""COMPUTED_VALUE"""),46059.0)</f>
        <v>46059</v>
      </c>
      <c r="Q24" s="56">
        <f>IFERROR(__xludf.DUMMYFUNCTION("""COMPUTED_VALUE"""),242.61700000000005)</f>
        <v>242.617</v>
      </c>
      <c r="R24" s="56">
        <v>142.70600000000016</v>
      </c>
    </row>
    <row r="25">
      <c r="A25" s="56" t="str">
        <f>IFERROR(__xludf.DUMMYFUNCTION("""COMPUTED_VALUE"""),"ORI")</f>
        <v>ORI</v>
      </c>
      <c r="B25" s="171">
        <f>IFERROR(__xludf.DUMMYFUNCTION("""COMPUTED_VALUE"""),46044.0)</f>
        <v>46044</v>
      </c>
      <c r="D25" s="168">
        <f>IFERROR(__xludf.DUMMYFUNCTION("""COMPUTED_VALUE"""),46070.0)</f>
        <v>46070</v>
      </c>
      <c r="E25" s="56">
        <f>IFERROR(__xludf.DUMMYFUNCTION("""COMPUTED_VALUE"""),-35.049)</f>
        <v>-35.049</v>
      </c>
      <c r="P25" s="168">
        <f>IFERROR(__xludf.DUMMYFUNCTION("""COMPUTED_VALUE"""),46062.0)</f>
        <v>46062</v>
      </c>
      <c r="Q25" s="56">
        <f>IFERROR(__xludf.DUMMYFUNCTION("""COMPUTED_VALUE"""),-1191.459)</f>
        <v>-1191.459</v>
      </c>
      <c r="R25" s="56">
        <v>-1048.753</v>
      </c>
    </row>
    <row r="26">
      <c r="A26" s="56" t="str">
        <f>IFERROR(__xludf.DUMMYFUNCTION("""COMPUTED_VALUE"""),"INTC")</f>
        <v>INTC</v>
      </c>
      <c r="B26" s="171">
        <f>IFERROR(__xludf.DUMMYFUNCTION("""COMPUTED_VALUE"""),46045.0)</f>
        <v>46045</v>
      </c>
      <c r="D26" s="168">
        <f>IFERROR(__xludf.DUMMYFUNCTION("""COMPUTED_VALUE"""),46080.0)</f>
        <v>46080</v>
      </c>
      <c r="E26" s="56">
        <f>IFERROR(__xludf.DUMMYFUNCTION("""COMPUTED_VALUE"""),9.951)</f>
        <v>9.951</v>
      </c>
      <c r="P26" s="168">
        <f>IFERROR(__xludf.DUMMYFUNCTION("""COMPUTED_VALUE"""),46063.0)</f>
        <v>46063</v>
      </c>
      <c r="Q26" s="56">
        <f>IFERROR(__xludf.DUMMYFUNCTION("""COMPUTED_VALUE"""),198.74199999999993)</f>
        <v>198.742</v>
      </c>
      <c r="R26" s="56">
        <v>-850.011</v>
      </c>
    </row>
    <row r="27">
      <c r="A27" s="56" t="str">
        <f>IFERROR(__xludf.DUMMYFUNCTION("""COMPUTED_VALUE"""),"ERIC")</f>
        <v>ERIC</v>
      </c>
      <c r="B27" s="171">
        <f>IFERROR(__xludf.DUMMYFUNCTION("""COMPUTED_VALUE"""),46045.0)</f>
        <v>46045</v>
      </c>
      <c r="P27" s="168">
        <f>IFERROR(__xludf.DUMMYFUNCTION("""COMPUTED_VALUE"""),46064.0)</f>
        <v>46064</v>
      </c>
      <c r="Q27" s="56">
        <f>IFERROR(__xludf.DUMMYFUNCTION("""COMPUTED_VALUE"""),81.79400000000005)</f>
        <v>81.794</v>
      </c>
      <c r="R27" s="56">
        <v>-768.2169999999999</v>
      </c>
    </row>
    <row r="28">
      <c r="A28" s="56" t="str">
        <f>IFERROR(__xludf.DUMMYFUNCTION("""COMPUTED_VALUE"""),"PBR")</f>
        <v>PBR</v>
      </c>
      <c r="B28" s="171">
        <f>IFERROR(__xludf.DUMMYFUNCTION("""COMPUTED_VALUE"""),46045.0)</f>
        <v>46045</v>
      </c>
      <c r="P28" s="168">
        <f>IFERROR(__xludf.DUMMYFUNCTION("""COMPUTED_VALUE"""),46065.0)</f>
        <v>46065</v>
      </c>
      <c r="Q28" s="56">
        <f>IFERROR(__xludf.DUMMYFUNCTION("""COMPUTED_VALUE"""),18.797999999999973)</f>
        <v>18.798</v>
      </c>
      <c r="R28" s="56">
        <v>-749.4189999999999</v>
      </c>
    </row>
    <row r="29">
      <c r="A29" s="56" t="str">
        <f>IFERROR(__xludf.DUMMYFUNCTION("""COMPUTED_VALUE"""),"NEE")</f>
        <v>NEE</v>
      </c>
      <c r="B29" s="171">
        <f>IFERROR(__xludf.DUMMYFUNCTION("""COMPUTED_VALUE"""),46049.0)</f>
        <v>46049</v>
      </c>
      <c r="P29" s="168">
        <f>IFERROR(__xludf.DUMMYFUNCTION("""COMPUTED_VALUE"""),46066.0)</f>
        <v>46066</v>
      </c>
      <c r="Q29" s="56">
        <f>IFERROR(__xludf.DUMMYFUNCTION("""COMPUTED_VALUE"""),204.951)</f>
        <v>204.951</v>
      </c>
      <c r="R29" s="56">
        <v>-544.4679999999998</v>
      </c>
    </row>
    <row r="30">
      <c r="A30" s="56" t="str">
        <f>IFERROR(__xludf.DUMMYFUNCTION("""COMPUTED_VALUE"""),"SYY")</f>
        <v>SYY</v>
      </c>
      <c r="B30" s="171">
        <f>IFERROR(__xludf.DUMMYFUNCTION("""COMPUTED_VALUE"""),46049.0)</f>
        <v>46049</v>
      </c>
      <c r="P30" s="168">
        <f>IFERROR(__xludf.DUMMYFUNCTION("""COMPUTED_VALUE"""),46067.0)</f>
        <v>46067</v>
      </c>
      <c r="Q30" s="56">
        <f>IFERROR(__xludf.DUMMYFUNCTION("""COMPUTED_VALUE"""),-5.538999999999999)</f>
        <v>-5.539</v>
      </c>
      <c r="R30" s="56">
        <v>-550.0069999999998</v>
      </c>
    </row>
    <row r="31">
      <c r="A31" s="56" t="str">
        <f>IFERROR(__xludf.DUMMYFUNCTION("""COMPUTED_VALUE"""),"TXN")</f>
        <v>TXN</v>
      </c>
      <c r="B31" s="171">
        <f>IFERROR(__xludf.DUMMYFUNCTION("""COMPUTED_VALUE"""),46050.0)</f>
        <v>46050</v>
      </c>
      <c r="P31" s="168">
        <f>IFERROR(__xludf.DUMMYFUNCTION("""COMPUTED_VALUE"""),46070.0)</f>
        <v>46070</v>
      </c>
      <c r="Q31" s="56">
        <f>IFERROR(__xludf.DUMMYFUNCTION("""COMPUTED_VALUE"""),-39.50099999999999)</f>
        <v>-39.501</v>
      </c>
      <c r="R31" s="56">
        <v>-589.5079999999998</v>
      </c>
    </row>
    <row r="32">
      <c r="A32" s="56" t="str">
        <f>IFERROR(__xludf.DUMMYFUNCTION("""COMPUTED_VALUE"""),"LOGI")</f>
        <v>LOGI</v>
      </c>
      <c r="B32" s="171">
        <f>IFERROR(__xludf.DUMMYFUNCTION("""COMPUTED_VALUE"""),46050.0)</f>
        <v>46050</v>
      </c>
      <c r="P32" s="168">
        <f>IFERROR(__xludf.DUMMYFUNCTION("""COMPUTED_VALUE"""),46073.0)</f>
        <v>46073</v>
      </c>
      <c r="Q32" s="56">
        <f>IFERROR(__xludf.DUMMYFUNCTION("""COMPUTED_VALUE"""),-730.999)</f>
        <v>-730.999</v>
      </c>
      <c r="R32" s="56">
        <v>-1320.5069999999998</v>
      </c>
    </row>
    <row r="33">
      <c r="A33" s="56" t="str">
        <f>IFERROR(__xludf.DUMMYFUNCTION("""COMPUTED_VALUE"""),"TXT")</f>
        <v>TXT</v>
      </c>
      <c r="B33" s="171">
        <f>IFERROR(__xludf.DUMMYFUNCTION("""COMPUTED_VALUE"""),46050.0)</f>
        <v>46050</v>
      </c>
      <c r="P33" s="168">
        <f>IFERROR(__xludf.DUMMYFUNCTION("""COMPUTED_VALUE"""),46075.0)</f>
        <v>46075</v>
      </c>
      <c r="Q33" s="56">
        <f>IFERROR(__xludf.DUMMYFUNCTION("""COMPUTED_VALUE"""),-291.0)</f>
        <v>-291</v>
      </c>
      <c r="R33" s="56">
        <v>-1611.5069999999998</v>
      </c>
    </row>
    <row r="34">
      <c r="A34" s="56" t="str">
        <f>IFERROR(__xludf.DUMMYFUNCTION("""COMPUTED_VALUE"""),"UMC")</f>
        <v>UMC</v>
      </c>
      <c r="B34" s="171">
        <f>IFERROR(__xludf.DUMMYFUNCTION("""COMPUTED_VALUE"""),46050.0)</f>
        <v>46050</v>
      </c>
      <c r="P34" s="168">
        <f>IFERROR(__xludf.DUMMYFUNCTION("""COMPUTED_VALUE"""),46076.0)</f>
        <v>46076</v>
      </c>
      <c r="Q34" s="56">
        <f>IFERROR(__xludf.DUMMYFUNCTION("""COMPUTED_VALUE"""),73.49499999999998)</f>
        <v>73.495</v>
      </c>
      <c r="R34" s="56">
        <v>-1538.012</v>
      </c>
    </row>
    <row r="35">
      <c r="A35" s="56" t="str">
        <f>IFERROR(__xludf.DUMMYFUNCTION("""COMPUTED_VALUE"""),"SNDK")</f>
        <v>SNDK</v>
      </c>
      <c r="B35" s="171">
        <f>IFERROR(__xludf.DUMMYFUNCTION("""COMPUTED_VALUE"""),46052.0)</f>
        <v>46052</v>
      </c>
      <c r="P35" s="168">
        <f>IFERROR(__xludf.DUMMYFUNCTION("""COMPUTED_VALUE"""),46077.0)</f>
        <v>46077</v>
      </c>
      <c r="Q35" s="56">
        <f>IFERROR(__xludf.DUMMYFUNCTION("""COMPUTED_VALUE"""),-87.75300000000004)</f>
        <v>-87.753</v>
      </c>
      <c r="R35" s="56">
        <v>-1625.7649999999999</v>
      </c>
    </row>
    <row r="36">
      <c r="A36" s="56" t="str">
        <f>IFERROR(__xludf.DUMMYFUNCTION("""COMPUTED_VALUE"""),"T")</f>
        <v>T</v>
      </c>
      <c r="B36" s="171">
        <f>IFERROR(__xludf.DUMMYFUNCTION("""COMPUTED_VALUE"""),46052.0)</f>
        <v>46052</v>
      </c>
      <c r="P36" s="168">
        <f>IFERROR(__xludf.DUMMYFUNCTION("""COMPUTED_VALUE"""),46079.0)</f>
        <v>46079</v>
      </c>
      <c r="Q36" s="56">
        <f>IFERROR(__xludf.DUMMYFUNCTION("""COMPUTED_VALUE"""),129.949)</f>
        <v>129.949</v>
      </c>
      <c r="R36" s="56">
        <v>-1495.8159999999998</v>
      </c>
    </row>
    <row r="37">
      <c r="A37" s="56" t="str">
        <f>IFERROR(__xludf.DUMMYFUNCTION("""COMPUTED_VALUE"""),"CVX")</f>
        <v>CVX</v>
      </c>
      <c r="B37" s="171">
        <f>IFERROR(__xludf.DUMMYFUNCTION("""COMPUTED_VALUE"""),46052.0)</f>
        <v>46052</v>
      </c>
      <c r="P37" s="168">
        <f>IFERROR(__xludf.DUMMYFUNCTION("""COMPUTED_VALUE"""),46083.0)</f>
        <v>46083</v>
      </c>
      <c r="Q37" s="56">
        <f>IFERROR(__xludf.DUMMYFUNCTION("""COMPUTED_VALUE"""),310.596)</f>
        <v>310.596</v>
      </c>
      <c r="R37" s="56">
        <v>-1185.2199999999998</v>
      </c>
    </row>
    <row r="38">
      <c r="A38" s="56" t="str">
        <f>IFERROR(__xludf.DUMMYFUNCTION("""COMPUTED_VALUE"""),"SOFI")</f>
        <v>SOFI</v>
      </c>
      <c r="B38" s="171">
        <f>IFERROR(__xludf.DUMMYFUNCTION("""COMPUTED_VALUE"""),46055.0)</f>
        <v>46055</v>
      </c>
      <c r="P38" s="168">
        <f>IFERROR(__xludf.DUMMYFUNCTION("""COMPUTED_VALUE"""),46085.0)</f>
        <v>46085</v>
      </c>
      <c r="Q38" s="56">
        <f>IFERROR(__xludf.DUMMYFUNCTION("""COMPUTED_VALUE"""),-50.044999999999995)</f>
        <v>-50.045</v>
      </c>
      <c r="R38" s="56">
        <v>-1235.2649999999999</v>
      </c>
    </row>
    <row r="39">
      <c r="A39" s="56" t="str">
        <f>IFERROR(__xludf.DUMMYFUNCTION("""COMPUTED_VALUE"""),"MFG")</f>
        <v>MFG</v>
      </c>
      <c r="B39" s="171">
        <f>IFERROR(__xludf.DUMMYFUNCTION("""COMPUTED_VALUE"""),46056.0)</f>
        <v>46056</v>
      </c>
      <c r="P39" s="168">
        <f>IFERROR(__xludf.DUMMYFUNCTION("""COMPUTED_VALUE"""),46087.0)</f>
        <v>46087</v>
      </c>
      <c r="Q39" s="56">
        <f>IFERROR(__xludf.DUMMYFUNCTION("""COMPUTED_VALUE"""),-99.75)</f>
        <v>-99.75</v>
      </c>
      <c r="R39" s="56">
        <v>-1335.0149999999999</v>
      </c>
    </row>
    <row r="40">
      <c r="A40" s="56" t="str">
        <f>IFERROR(__xludf.DUMMYFUNCTION("""COMPUTED_VALUE"""),"ALM")</f>
        <v>ALM</v>
      </c>
      <c r="B40" s="171">
        <f>IFERROR(__xludf.DUMMYFUNCTION("""COMPUTED_VALUE"""),46058.0)</f>
        <v>46058</v>
      </c>
      <c r="P40" s="168">
        <f>IFERROR(__xludf.DUMMYFUNCTION("""COMPUTED_VALUE"""),46090.0)</f>
        <v>46090</v>
      </c>
      <c r="Q40" s="56">
        <f>IFERROR(__xludf.DUMMYFUNCTION("""COMPUTED_VALUE"""),-1051.049)</f>
        <v>-1051.049</v>
      </c>
      <c r="R40" s="56">
        <v>-2386.064</v>
      </c>
    </row>
    <row r="41">
      <c r="A41" s="56" t="str">
        <f>IFERROR(__xludf.DUMMYFUNCTION("""COMPUTED_VALUE"""),"APG")</f>
        <v>APG</v>
      </c>
      <c r="B41" s="171">
        <f>IFERROR(__xludf.DUMMYFUNCTION("""COMPUTED_VALUE"""),46058.0)</f>
        <v>46058</v>
      </c>
      <c r="P41" s="168">
        <f>IFERROR(__xludf.DUMMYFUNCTION("""COMPUTED_VALUE"""),46092.0)</f>
        <v>46092</v>
      </c>
      <c r="Q41" s="56">
        <f>IFERROR(__xludf.DUMMYFUNCTION("""COMPUTED_VALUE"""),258.348)</f>
        <v>258.348</v>
      </c>
      <c r="R41" s="56">
        <v>-2127.716</v>
      </c>
    </row>
    <row r="42">
      <c r="A42" s="56" t="str">
        <f>IFERROR(__xludf.DUMMYFUNCTION("""COMPUTED_VALUE"""),"MUFG")</f>
        <v>MUFG</v>
      </c>
      <c r="B42" s="171">
        <f>IFERROR(__xludf.DUMMYFUNCTION("""COMPUTED_VALUE"""),46059.0)</f>
        <v>46059</v>
      </c>
      <c r="R42" s="56" t="s">
        <v>516</v>
      </c>
    </row>
    <row r="43">
      <c r="A43" s="56" t="str">
        <f>IFERROR(__xludf.DUMMYFUNCTION("""COMPUTED_VALUE"""),"EMR")</f>
        <v>EMR</v>
      </c>
      <c r="B43" s="171">
        <f>IFERROR(__xludf.DUMMYFUNCTION("""COMPUTED_VALUE"""),46059.0)</f>
        <v>46059</v>
      </c>
      <c r="R43" s="56" t="s">
        <v>516</v>
      </c>
    </row>
    <row r="44">
      <c r="A44" s="56" t="str">
        <f>IFERROR(__xludf.DUMMYFUNCTION("""COMPUTED_VALUE"""),"HON")</f>
        <v>HON</v>
      </c>
      <c r="B44" s="171">
        <f>IFERROR(__xludf.DUMMYFUNCTION("""COMPUTED_VALUE"""),46059.0)</f>
        <v>46059</v>
      </c>
      <c r="R44" s="56" t="s">
        <v>516</v>
      </c>
    </row>
    <row r="45">
      <c r="A45" s="56" t="str">
        <f>IFERROR(__xludf.DUMMYFUNCTION("""COMPUTED_VALUE"""),"UBS")</f>
        <v>UBS</v>
      </c>
      <c r="B45" s="171">
        <f>IFERROR(__xludf.DUMMYFUNCTION("""COMPUTED_VALUE"""),46059.0)</f>
        <v>46059</v>
      </c>
      <c r="R45" s="56" t="s">
        <v>516</v>
      </c>
    </row>
    <row r="46">
      <c r="A46" s="56" t="str">
        <f>IFERROR(__xludf.DUMMYFUNCTION("""COMPUTED_VALUE"""),"CFG")</f>
        <v>CFG</v>
      </c>
      <c r="B46" s="171">
        <f>IFERROR(__xludf.DUMMYFUNCTION("""COMPUTED_VALUE"""),46059.0)</f>
        <v>46059</v>
      </c>
      <c r="R46" s="56" t="s">
        <v>516</v>
      </c>
    </row>
    <row r="47">
      <c r="A47" s="56" t="str">
        <f>IFERROR(__xludf.DUMMYFUNCTION("""COMPUTED_VALUE"""),"PGY")</f>
        <v>PGY</v>
      </c>
      <c r="B47" s="171">
        <f>IFERROR(__xludf.DUMMYFUNCTION("""COMPUTED_VALUE"""),46063.0)</f>
        <v>46063</v>
      </c>
      <c r="R47" s="56" t="s">
        <v>516</v>
      </c>
    </row>
    <row r="48">
      <c r="A48" s="56" t="str">
        <f>IFERROR(__xludf.DUMMYFUNCTION("""COMPUTED_VALUE"""),"TSM")</f>
        <v>TSM</v>
      </c>
      <c r="B48" s="171">
        <f>IFERROR(__xludf.DUMMYFUNCTION("""COMPUTED_VALUE"""),46064.0)</f>
        <v>46064</v>
      </c>
      <c r="R48" s="56" t="s">
        <v>516</v>
      </c>
    </row>
    <row r="49">
      <c r="A49" s="56" t="str">
        <f>IFERROR(__xludf.DUMMYFUNCTION("""COMPUTED_VALUE"""),"VZ")</f>
        <v>VZ</v>
      </c>
      <c r="B49" s="171">
        <f>IFERROR(__xludf.DUMMYFUNCTION("""COMPUTED_VALUE"""),46064.0)</f>
        <v>46064</v>
      </c>
      <c r="R49" s="56" t="s">
        <v>516</v>
      </c>
    </row>
    <row r="50">
      <c r="A50" s="56" t="str">
        <f>IFERROR(__xludf.DUMMYFUNCTION("""COMPUTED_VALUE"""),"DD")</f>
        <v>DD</v>
      </c>
      <c r="B50" s="171">
        <f>IFERROR(__xludf.DUMMYFUNCTION("""COMPUTED_VALUE"""),46064.0)</f>
        <v>46064</v>
      </c>
      <c r="R50" s="56" t="s">
        <v>516</v>
      </c>
    </row>
    <row r="51">
      <c r="A51" s="56" t="str">
        <f>IFERROR(__xludf.DUMMYFUNCTION("""COMPUTED_VALUE"""),"WMB")</f>
        <v>WMB</v>
      </c>
      <c r="B51" s="171">
        <f>IFERROR(__xludf.DUMMYFUNCTION("""COMPUTED_VALUE"""),46064.0)</f>
        <v>46064</v>
      </c>
      <c r="R51" s="56" t="s">
        <v>516</v>
      </c>
    </row>
    <row r="52">
      <c r="A52" s="56" t="str">
        <f>IFERROR(__xludf.DUMMYFUNCTION("""COMPUTED_VALUE"""),"BKR")</f>
        <v>BKR</v>
      </c>
      <c r="B52" s="171">
        <f>IFERROR(__xludf.DUMMYFUNCTION("""COMPUTED_VALUE"""),46064.0)</f>
        <v>46064</v>
      </c>
      <c r="R52" s="56" t="s">
        <v>516</v>
      </c>
    </row>
    <row r="53">
      <c r="A53" s="56" t="str">
        <f>IFERROR(__xludf.DUMMYFUNCTION("""COMPUTED_VALUE"""),"WDC")</f>
        <v>WDC</v>
      </c>
      <c r="B53" s="171">
        <f>IFERROR(__xludf.DUMMYFUNCTION("""COMPUTED_VALUE"""),46065.0)</f>
        <v>46065</v>
      </c>
      <c r="R53" s="56" t="s">
        <v>516</v>
      </c>
    </row>
    <row r="54">
      <c r="A54" s="56" t="str">
        <f>IFERROR(__xludf.DUMMYFUNCTION("""COMPUTED_VALUE"""),"HOOD")</f>
        <v>HOOD</v>
      </c>
      <c r="B54" s="171">
        <f>IFERROR(__xludf.DUMMYFUNCTION("""COMPUTED_VALUE"""),46065.0)</f>
        <v>46065</v>
      </c>
      <c r="R54" s="56" t="s">
        <v>516</v>
      </c>
    </row>
    <row r="55">
      <c r="A55" s="56" t="str">
        <f>IFERROR(__xludf.DUMMYFUNCTION("""COMPUTED_VALUE"""),"NFLX")</f>
        <v>NFLX</v>
      </c>
      <c r="B55" s="171">
        <f>IFERROR(__xludf.DUMMYFUNCTION("""COMPUTED_VALUE"""),46065.0)</f>
        <v>46065</v>
      </c>
      <c r="R55" s="56" t="s">
        <v>516</v>
      </c>
    </row>
    <row r="56">
      <c r="A56" s="56" t="str">
        <f>IFERROR(__xludf.DUMMYFUNCTION("""COMPUTED_VALUE"""),"UBER")</f>
        <v>UBER</v>
      </c>
      <c r="B56" s="171">
        <f>IFERROR(__xludf.DUMMYFUNCTION("""COMPUTED_VALUE"""),46065.0)</f>
        <v>46065</v>
      </c>
      <c r="R56" s="56" t="s">
        <v>516</v>
      </c>
    </row>
    <row r="57">
      <c r="A57" s="56" t="str">
        <f>IFERROR(__xludf.DUMMYFUNCTION("""COMPUTED_VALUE"""),"KO")</f>
        <v>KO</v>
      </c>
      <c r="B57" s="171">
        <f>IFERROR(__xludf.DUMMYFUNCTION("""COMPUTED_VALUE"""),46065.0)</f>
        <v>46065</v>
      </c>
      <c r="R57" s="56" t="s">
        <v>516</v>
      </c>
    </row>
    <row r="58">
      <c r="A58" s="56" t="str">
        <f>IFERROR(__xludf.DUMMYFUNCTION("""COMPUTED_VALUE"""),"IBIT")</f>
        <v>IBIT</v>
      </c>
      <c r="B58" s="171">
        <f>IFERROR(__xludf.DUMMYFUNCTION("""COMPUTED_VALUE"""),46066.0)</f>
        <v>46066</v>
      </c>
      <c r="R58" s="56" t="s">
        <v>516</v>
      </c>
    </row>
    <row r="59">
      <c r="A59" s="56" t="str">
        <f>IFERROR(__xludf.DUMMYFUNCTION("""COMPUTED_VALUE"""),"NI")</f>
        <v>NI</v>
      </c>
      <c r="B59" s="171">
        <f>IFERROR(__xludf.DUMMYFUNCTION("""COMPUTED_VALUE"""),46066.0)</f>
        <v>46066</v>
      </c>
      <c r="R59" s="56" t="s">
        <v>516</v>
      </c>
    </row>
    <row r="60">
      <c r="A60" s="56" t="str">
        <f>IFERROR(__xludf.DUMMYFUNCTION("""COMPUTED_VALUE"""),"AEP")</f>
        <v>AEP</v>
      </c>
      <c r="B60" s="171">
        <f>IFERROR(__xludf.DUMMYFUNCTION("""COMPUTED_VALUE"""),46066.0)</f>
        <v>46066</v>
      </c>
      <c r="R60" s="56" t="s">
        <v>516</v>
      </c>
    </row>
    <row r="61">
      <c r="A61" s="56" t="str">
        <f>IFERROR(__xludf.DUMMYFUNCTION("""COMPUTED_VALUE"""),"APO")</f>
        <v>APO</v>
      </c>
      <c r="B61" s="171">
        <f>IFERROR(__xludf.DUMMYFUNCTION("""COMPUTED_VALUE"""),46066.0)</f>
        <v>46066</v>
      </c>
      <c r="R61" s="56" t="s">
        <v>516</v>
      </c>
    </row>
    <row r="62">
      <c r="A62" s="56" t="str">
        <f>IFERROR(__xludf.DUMMYFUNCTION("""COMPUTED_VALUE"""),"WT")</f>
        <v>WT</v>
      </c>
      <c r="B62" s="171">
        <f>IFERROR(__xludf.DUMMYFUNCTION("""COMPUTED_VALUE"""),46070.0)</f>
        <v>46070</v>
      </c>
      <c r="R62" s="56" t="s">
        <v>516</v>
      </c>
    </row>
    <row r="63">
      <c r="A63" s="56" t="str">
        <f>IFERROR(__xludf.DUMMYFUNCTION("""COMPUTED_VALUE"""),"NYT")</f>
        <v>NYT</v>
      </c>
      <c r="B63" s="171">
        <f>IFERROR(__xludf.DUMMYFUNCTION("""COMPUTED_VALUE"""),46070.0)</f>
        <v>46070</v>
      </c>
      <c r="R63" s="56" t="s">
        <v>516</v>
      </c>
    </row>
    <row r="64">
      <c r="A64" s="56" t="str">
        <f>IFERROR(__xludf.DUMMYFUNCTION("""COMPUTED_VALUE"""),"BMY")</f>
        <v>BMY</v>
      </c>
      <c r="B64" s="171">
        <f>IFERROR(__xludf.DUMMYFUNCTION("""COMPUTED_VALUE"""),46077.0)</f>
        <v>46077</v>
      </c>
      <c r="R64" s="56" t="s">
        <v>516</v>
      </c>
    </row>
    <row r="65">
      <c r="A65" s="56" t="str">
        <f>IFERROR(__xludf.DUMMYFUNCTION("""COMPUTED_VALUE"""),"NVTS")</f>
        <v>NVTS</v>
      </c>
      <c r="B65" s="171">
        <f>IFERROR(__xludf.DUMMYFUNCTION("""COMPUTED_VALUE"""),46078.0)</f>
        <v>46078</v>
      </c>
      <c r="R65" s="56" t="s">
        <v>516</v>
      </c>
    </row>
    <row r="66">
      <c r="A66" s="56" t="str">
        <f>IFERROR(__xludf.DUMMYFUNCTION("""COMPUTED_VALUE"""),"NFLX")</f>
        <v>NFLX</v>
      </c>
      <c r="B66" s="171">
        <f>IFERROR(__xludf.DUMMYFUNCTION("""COMPUTED_VALUE"""),46078.0)</f>
        <v>46078</v>
      </c>
      <c r="R66" s="56" t="s">
        <v>516</v>
      </c>
    </row>
    <row r="67">
      <c r="A67" s="56" t="str">
        <f>IFERROR(__xludf.DUMMYFUNCTION("""COMPUTED_VALUE"""),"FIG")</f>
        <v>FIG</v>
      </c>
      <c r="B67" s="171">
        <f>IFERROR(__xludf.DUMMYFUNCTION("""COMPUTED_VALUE"""),46078.0)</f>
        <v>46078</v>
      </c>
      <c r="R67" s="56" t="s">
        <v>516</v>
      </c>
    </row>
    <row r="68">
      <c r="A68" s="56" t="str">
        <f>IFERROR(__xludf.DUMMYFUNCTION("""COMPUTED_VALUE"""),"LION")</f>
        <v>LION</v>
      </c>
      <c r="B68" s="171">
        <f>IFERROR(__xludf.DUMMYFUNCTION("""COMPUTED_VALUE"""),46080.0)</f>
        <v>46080</v>
      </c>
      <c r="R68" s="56" t="s">
        <v>516</v>
      </c>
    </row>
    <row r="69">
      <c r="A69" s="56" t="str">
        <f>IFERROR(__xludf.DUMMYFUNCTION("""COMPUTED_VALUE"""),"XRAY")</f>
        <v>XRAY</v>
      </c>
      <c r="B69" s="171">
        <f>IFERROR(__xludf.DUMMYFUNCTION("""COMPUTED_VALUE"""),46080.0)</f>
        <v>46080</v>
      </c>
      <c r="R69" s="56" t="s">
        <v>516</v>
      </c>
    </row>
    <row r="70">
      <c r="A70" s="56" t="str">
        <f>IFERROR(__xludf.DUMMYFUNCTION("""COMPUTED_VALUE"""),"NAT")</f>
        <v>NAT</v>
      </c>
      <c r="B70" s="171">
        <f>IFERROR(__xludf.DUMMYFUNCTION("""COMPUTED_VALUE"""),46080.0)</f>
        <v>46080</v>
      </c>
      <c r="R70" s="56" t="s">
        <v>516</v>
      </c>
    </row>
    <row r="71">
      <c r="A71" s="56" t="str">
        <f>IFERROR(__xludf.DUMMYFUNCTION("""COMPUTED_VALUE"""),"LASR")</f>
        <v>LASR</v>
      </c>
      <c r="B71" s="171">
        <f>IFERROR(__xludf.DUMMYFUNCTION("""COMPUTED_VALUE"""),46080.0)</f>
        <v>46080</v>
      </c>
      <c r="R71" s="56" t="s">
        <v>516</v>
      </c>
    </row>
    <row r="72">
      <c r="A72" s="56" t="str">
        <f>IFERROR(__xludf.DUMMYFUNCTION("""COMPUTED_VALUE"""),"MNST")</f>
        <v>MNST</v>
      </c>
      <c r="B72" s="171">
        <f>IFERROR(__xludf.DUMMYFUNCTION("""COMPUTED_VALUE"""),46080.0)</f>
        <v>46080</v>
      </c>
      <c r="R72" s="56" t="s">
        <v>516</v>
      </c>
    </row>
    <row r="73">
      <c r="A73" s="56" t="str">
        <f>IFERROR(__xludf.DUMMYFUNCTION("""COMPUTED_VALUE"""),"TIGO")</f>
        <v>TIGO</v>
      </c>
      <c r="B73" s="171">
        <f>IFERROR(__xludf.DUMMYFUNCTION("""COMPUTED_VALUE"""),46083.0)</f>
        <v>46083</v>
      </c>
      <c r="R73" s="56" t="s">
        <v>516</v>
      </c>
    </row>
    <row r="74">
      <c r="A74" s="56" t="str">
        <f>IFERROR(__xludf.DUMMYFUNCTION("""COMPUTED_VALUE"""),"SNY")</f>
        <v>SNY</v>
      </c>
      <c r="B74" s="171">
        <f>IFERROR(__xludf.DUMMYFUNCTION("""COMPUTED_VALUE"""),46084.0)</f>
        <v>46084</v>
      </c>
      <c r="R74" s="56" t="s">
        <v>516</v>
      </c>
    </row>
    <row r="75">
      <c r="A75" s="56" t="str">
        <f>IFERROR(__xludf.DUMMYFUNCTION("""COMPUTED_VALUE"""),"NCLH")</f>
        <v>NCLH</v>
      </c>
      <c r="B75" s="171">
        <f>IFERROR(__xludf.DUMMYFUNCTION("""COMPUTED_VALUE"""),46084.0)</f>
        <v>46084</v>
      </c>
      <c r="R75" s="56" t="s">
        <v>516</v>
      </c>
    </row>
    <row r="76">
      <c r="A76" s="56" t="str">
        <f>IFERROR(__xludf.DUMMYFUNCTION("""COMPUTED_VALUE"""),"T")</f>
        <v>T</v>
      </c>
      <c r="B76" s="171">
        <f>IFERROR(__xludf.DUMMYFUNCTION("""COMPUTED_VALUE"""),46085.0)</f>
        <v>46085</v>
      </c>
      <c r="R76" s="56" t="s">
        <v>516</v>
      </c>
    </row>
    <row r="77">
      <c r="A77" s="56" t="str">
        <f>IFERROR(__xludf.DUMMYFUNCTION("""COMPUTED_VALUE"""),"CM")</f>
        <v>CM</v>
      </c>
      <c r="B77" s="171">
        <f>IFERROR(__xludf.DUMMYFUNCTION("""COMPUTED_VALUE"""),46085.0)</f>
        <v>46085</v>
      </c>
      <c r="R77" s="56" t="s">
        <v>516</v>
      </c>
    </row>
    <row r="78">
      <c r="A78" s="56" t="str">
        <f>IFERROR(__xludf.DUMMYFUNCTION("""COMPUTED_VALUE"""),"SBS")</f>
        <v>SBS</v>
      </c>
      <c r="B78" s="171">
        <f>IFERROR(__xludf.DUMMYFUNCTION("""COMPUTED_VALUE"""),46085.0)</f>
        <v>46085</v>
      </c>
      <c r="R78" s="56" t="s">
        <v>516</v>
      </c>
    </row>
    <row r="79">
      <c r="A79" s="56" t="str">
        <f>IFERROR(__xludf.DUMMYFUNCTION("""COMPUTED_VALUE"""),"JD")</f>
        <v>JD</v>
      </c>
      <c r="B79" s="171">
        <f>IFERROR(__xludf.DUMMYFUNCTION("""COMPUTED_VALUE"""),46087.0)</f>
        <v>46087</v>
      </c>
      <c r="R79" s="56" t="s">
        <v>516</v>
      </c>
    </row>
    <row r="80">
      <c r="A80" s="56" t="str">
        <f>IFERROR(__xludf.DUMMYFUNCTION("""COMPUTED_VALUE"""),"BW")</f>
        <v>BW</v>
      </c>
      <c r="B80" s="171">
        <f>IFERROR(__xludf.DUMMYFUNCTION("""COMPUTED_VALUE"""),46090.0)</f>
        <v>46090</v>
      </c>
      <c r="R80" s="56" t="s">
        <v>516</v>
      </c>
    </row>
    <row r="81">
      <c r="A81" s="56" t="str">
        <f>IFERROR(__xludf.DUMMYFUNCTION("""COMPUTED_VALUE"""),"DIS")</f>
        <v>DIS</v>
      </c>
      <c r="B81" s="171">
        <f>IFERROR(__xludf.DUMMYFUNCTION("""COMPUTED_VALUE"""),46090.0)</f>
        <v>46090</v>
      </c>
      <c r="R81" s="56" t="s">
        <v>516</v>
      </c>
    </row>
    <row r="82">
      <c r="A82" s="56" t="str">
        <f>IFERROR(__xludf.DUMMYFUNCTION("""COMPUTED_VALUE"""),"VRT")</f>
        <v>VRT</v>
      </c>
      <c r="B82" s="171">
        <f>IFERROR(__xludf.DUMMYFUNCTION("""COMPUTED_VALUE"""),46090.0)</f>
        <v>46090</v>
      </c>
      <c r="R82" s="56" t="s">
        <v>516</v>
      </c>
    </row>
    <row r="83">
      <c r="A83" s="56" t="str">
        <f>IFERROR(__xludf.DUMMYFUNCTION("""COMPUTED_VALUE"""),"RGNX")</f>
        <v>RGNX</v>
      </c>
      <c r="B83" s="171">
        <f>IFERROR(__xludf.DUMMYFUNCTION("""COMPUTED_VALUE"""),46090.0)</f>
        <v>46090</v>
      </c>
      <c r="R83" s="56" t="s">
        <v>516</v>
      </c>
    </row>
    <row r="84">
      <c r="A84" s="56" t="str">
        <f>IFERROR(__xludf.DUMMYFUNCTION("""COMPUTED_VALUE"""),"DFTX")</f>
        <v>DFTX</v>
      </c>
      <c r="B84" s="171">
        <f>IFERROR(__xludf.DUMMYFUNCTION("""COMPUTED_VALUE"""),46091.0)</f>
        <v>46091</v>
      </c>
      <c r="R84" s="56" t="s">
        <v>516</v>
      </c>
    </row>
    <row r="85">
      <c r="A85" s="56" t="str">
        <f>IFERROR(__xludf.DUMMYFUNCTION("""COMPUTED_VALUE"""),"CBZ")</f>
        <v>CBZ</v>
      </c>
      <c r="B85" s="171">
        <f>IFERROR(__xludf.DUMMYFUNCTION("""COMPUTED_VALUE"""),46091.0)</f>
        <v>46091</v>
      </c>
      <c r="R85" s="56" t="s">
        <v>516</v>
      </c>
    </row>
    <row r="86">
      <c r="A86" s="56" t="str">
        <f>IFERROR(__xludf.DUMMYFUNCTION("""COMPUTED_VALUE"""),"PURR")</f>
        <v>PURR</v>
      </c>
      <c r="B86" s="171">
        <f>IFERROR(__xludf.DUMMYFUNCTION("""COMPUTED_VALUE"""),46092.0)</f>
        <v>46092</v>
      </c>
      <c r="R86" s="56" t="s">
        <v>516</v>
      </c>
    </row>
    <row r="87">
      <c r="A87" s="56" t="str">
        <f>IFERROR(__xludf.DUMMYFUNCTION("""COMPUTED_VALUE"""),"XXI")</f>
        <v>XXI</v>
      </c>
      <c r="B87" s="171">
        <f>IFERROR(__xludf.DUMMYFUNCTION("""COMPUTED_VALUE"""),46091.0)</f>
        <v>46091</v>
      </c>
      <c r="R87" s="56" t="s">
        <v>516</v>
      </c>
    </row>
    <row r="88">
      <c r="A88" s="56"/>
      <c r="B88" s="171"/>
      <c r="R88" s="56" t="s">
        <v>516</v>
      </c>
    </row>
    <row r="89">
      <c r="A89" s="56"/>
      <c r="B89" s="171"/>
      <c r="R89" s="56" t="s">
        <v>516</v>
      </c>
    </row>
    <row r="90">
      <c r="A90" s="56"/>
      <c r="B90" s="171"/>
      <c r="R90" s="56" t="s">
        <v>516</v>
      </c>
    </row>
    <row r="91">
      <c r="A91" s="56"/>
      <c r="B91" s="171"/>
      <c r="R91" s="56" t="s">
        <v>516</v>
      </c>
    </row>
    <row r="92">
      <c r="A92" s="56"/>
      <c r="B92" s="171"/>
      <c r="R92" s="56" t="s">
        <v>516</v>
      </c>
    </row>
    <row r="93">
      <c r="A93" s="56"/>
      <c r="B93" s="171"/>
      <c r="R93" s="56" t="s">
        <v>516</v>
      </c>
    </row>
    <row r="94">
      <c r="A94" s="56"/>
      <c r="B94" s="171"/>
      <c r="R94" s="56" t="s">
        <v>516</v>
      </c>
    </row>
    <row r="95">
      <c r="A95" s="56"/>
      <c r="B95" s="171"/>
      <c r="R95" s="56" t="s">
        <v>516</v>
      </c>
    </row>
    <row r="96">
      <c r="A96" s="56"/>
      <c r="B96" s="171"/>
      <c r="R96" s="56" t="s">
        <v>516</v>
      </c>
    </row>
    <row r="97">
      <c r="A97" s="56"/>
      <c r="B97" s="171"/>
      <c r="R97" s="56" t="s">
        <v>516</v>
      </c>
    </row>
    <row r="98">
      <c r="A98" s="56"/>
      <c r="B98" s="171"/>
      <c r="R98" s="56" t="s">
        <v>516</v>
      </c>
    </row>
    <row r="99">
      <c r="A99" s="56"/>
      <c r="B99" s="171"/>
      <c r="R99" s="56" t="s">
        <v>516</v>
      </c>
    </row>
    <row r="100">
      <c r="A100" s="56"/>
      <c r="B100" s="171"/>
      <c r="R100" s="56" t="s">
        <v>516</v>
      </c>
    </row>
    <row r="101">
      <c r="A101" s="56"/>
      <c r="B101" s="171"/>
      <c r="R101" s="56" t="s">
        <v>516</v>
      </c>
    </row>
    <row r="102">
      <c r="A102" s="56"/>
      <c r="B102" s="171"/>
      <c r="R102" s="56" t="s">
        <v>516</v>
      </c>
    </row>
    <row r="103">
      <c r="A103" s="56"/>
      <c r="B103" s="171"/>
      <c r="R103" s="56" t="s">
        <v>516</v>
      </c>
    </row>
    <row r="104">
      <c r="A104" s="56"/>
      <c r="B104" s="171"/>
      <c r="R104" s="56" t="s">
        <v>516</v>
      </c>
    </row>
    <row r="105">
      <c r="A105" s="56"/>
      <c r="B105" s="171"/>
      <c r="R105" s="56" t="s">
        <v>516</v>
      </c>
    </row>
    <row r="106">
      <c r="A106" s="56"/>
      <c r="B106" s="171"/>
      <c r="R106" s="56" t="s">
        <v>516</v>
      </c>
    </row>
    <row r="107">
      <c r="A107" s="56"/>
      <c r="B107" s="171"/>
      <c r="R107" s="56" t="s">
        <v>516</v>
      </c>
    </row>
    <row r="108">
      <c r="A108" s="56"/>
      <c r="B108" s="171"/>
      <c r="R108" s="56" t="s">
        <v>516</v>
      </c>
    </row>
    <row r="109">
      <c r="A109" s="56"/>
      <c r="B109" s="171"/>
      <c r="R109" s="56" t="s">
        <v>516</v>
      </c>
    </row>
    <row r="110">
      <c r="A110" s="56"/>
      <c r="B110" s="171"/>
      <c r="R110" s="56" t="s">
        <v>516</v>
      </c>
    </row>
    <row r="111">
      <c r="A111" s="56"/>
      <c r="B111" s="171"/>
      <c r="R111" s="56" t="s">
        <v>516</v>
      </c>
    </row>
    <row r="112">
      <c r="A112" s="56"/>
      <c r="B112" s="171"/>
      <c r="R112" s="56" t="s">
        <v>516</v>
      </c>
    </row>
    <row r="113">
      <c r="A113" s="56"/>
      <c r="B113" s="171"/>
      <c r="R113" s="56" t="s">
        <v>516</v>
      </c>
    </row>
    <row r="114">
      <c r="A114" s="56"/>
      <c r="B114" s="171"/>
      <c r="R114" s="56" t="s">
        <v>516</v>
      </c>
    </row>
    <row r="115">
      <c r="A115" s="56"/>
      <c r="B115" s="171"/>
      <c r="R115" s="56" t="s">
        <v>516</v>
      </c>
    </row>
    <row r="116">
      <c r="A116" s="56"/>
      <c r="B116" s="171"/>
      <c r="R116" s="56" t="s">
        <v>516</v>
      </c>
    </row>
    <row r="117">
      <c r="A117" s="56"/>
      <c r="B117" s="171"/>
      <c r="R117" s="56" t="s">
        <v>516</v>
      </c>
    </row>
    <row r="118">
      <c r="A118" s="56"/>
      <c r="B118" s="171"/>
      <c r="R118" s="56" t="s">
        <v>516</v>
      </c>
    </row>
    <row r="119">
      <c r="A119" s="56"/>
      <c r="B119" s="171"/>
      <c r="R119" s="56" t="s">
        <v>516</v>
      </c>
    </row>
    <row r="120">
      <c r="A120" s="56"/>
      <c r="B120" s="171"/>
      <c r="R120" s="56" t="s">
        <v>516</v>
      </c>
    </row>
    <row r="121">
      <c r="A121" s="56"/>
      <c r="B121" s="171"/>
      <c r="R121" s="56" t="s">
        <v>516</v>
      </c>
    </row>
    <row r="122">
      <c r="A122" s="56"/>
      <c r="B122" s="171"/>
      <c r="R122" s="56" t="s">
        <v>516</v>
      </c>
    </row>
    <row r="123">
      <c r="A123" s="56"/>
      <c r="B123" s="171"/>
      <c r="R123" s="56" t="s">
        <v>516</v>
      </c>
    </row>
    <row r="124">
      <c r="A124" s="56"/>
      <c r="B124" s="171"/>
      <c r="R124" s="56" t="s">
        <v>516</v>
      </c>
    </row>
    <row r="125">
      <c r="A125" s="56"/>
      <c r="B125" s="171"/>
      <c r="R125" s="56" t="s">
        <v>516</v>
      </c>
    </row>
    <row r="126">
      <c r="A126" s="56"/>
      <c r="B126" s="171"/>
      <c r="R126" s="56" t="s">
        <v>516</v>
      </c>
    </row>
    <row r="127">
      <c r="A127" s="56"/>
      <c r="B127" s="171"/>
      <c r="R127" s="56" t="s">
        <v>516</v>
      </c>
    </row>
    <row r="128">
      <c r="A128" s="56"/>
      <c r="B128" s="171"/>
      <c r="R128" s="56" t="s">
        <v>516</v>
      </c>
    </row>
    <row r="129">
      <c r="A129" s="56"/>
      <c r="B129" s="171"/>
      <c r="R129" s="56" t="s">
        <v>516</v>
      </c>
    </row>
    <row r="130">
      <c r="A130" s="56"/>
      <c r="B130" s="171"/>
      <c r="R130" s="56" t="s">
        <v>516</v>
      </c>
    </row>
    <row r="131">
      <c r="A131" s="56"/>
      <c r="B131" s="171"/>
      <c r="R131" s="56" t="s">
        <v>516</v>
      </c>
    </row>
    <row r="132">
      <c r="A132" s="56"/>
      <c r="B132" s="171"/>
      <c r="R132" s="56" t="s">
        <v>516</v>
      </c>
    </row>
    <row r="133">
      <c r="A133" s="56"/>
      <c r="B133" s="171"/>
      <c r="R133" s="56" t="s">
        <v>516</v>
      </c>
    </row>
    <row r="134">
      <c r="A134" s="56"/>
      <c r="B134" s="171"/>
      <c r="R134" s="56" t="s">
        <v>516</v>
      </c>
    </row>
    <row r="135">
      <c r="A135" s="56"/>
      <c r="B135" s="171"/>
      <c r="R135" s="56" t="s">
        <v>516</v>
      </c>
    </row>
    <row r="136">
      <c r="A136" s="56"/>
      <c r="B136" s="171"/>
      <c r="R136" s="56" t="s">
        <v>516</v>
      </c>
    </row>
    <row r="137">
      <c r="A137" s="56"/>
      <c r="B137" s="171"/>
      <c r="R137" s="56" t="s">
        <v>516</v>
      </c>
    </row>
    <row r="138">
      <c r="A138" s="56"/>
      <c r="B138" s="171"/>
      <c r="R138" s="56" t="s">
        <v>516</v>
      </c>
    </row>
    <row r="139">
      <c r="A139" s="56"/>
      <c r="B139" s="171"/>
      <c r="R139" s="56" t="s">
        <v>516</v>
      </c>
    </row>
    <row r="140">
      <c r="A140" s="56"/>
      <c r="B140" s="171"/>
      <c r="R140" s="56" t="s">
        <v>516</v>
      </c>
    </row>
    <row r="141">
      <c r="A141" s="56"/>
      <c r="B141" s="171"/>
      <c r="R141" s="56" t="s">
        <v>516</v>
      </c>
    </row>
    <row r="142">
      <c r="A142" s="56"/>
      <c r="B142" s="171"/>
      <c r="R142" s="56" t="s">
        <v>516</v>
      </c>
    </row>
    <row r="143">
      <c r="A143" s="56"/>
      <c r="B143" s="171"/>
      <c r="R143" s="56" t="s">
        <v>516</v>
      </c>
    </row>
    <row r="144">
      <c r="A144" s="56"/>
      <c r="B144" s="171"/>
      <c r="R144" s="56" t="s">
        <v>516</v>
      </c>
    </row>
    <row r="145">
      <c r="A145" s="56"/>
      <c r="B145" s="171"/>
      <c r="R145" s="56" t="s">
        <v>516</v>
      </c>
    </row>
    <row r="146">
      <c r="A146" s="56"/>
      <c r="B146" s="171"/>
      <c r="R146" s="56" t="s">
        <v>516</v>
      </c>
    </row>
    <row r="147">
      <c r="A147" s="56"/>
      <c r="B147" s="171"/>
      <c r="R147" s="56" t="s">
        <v>516</v>
      </c>
    </row>
    <row r="148">
      <c r="A148" s="56"/>
      <c r="B148" s="171"/>
      <c r="R148" s="56" t="s">
        <v>516</v>
      </c>
    </row>
    <row r="149">
      <c r="A149" s="56"/>
      <c r="B149" s="171"/>
      <c r="R149" s="56" t="s">
        <v>516</v>
      </c>
    </row>
    <row r="150">
      <c r="A150" s="56"/>
      <c r="B150" s="171"/>
      <c r="R150" s="56" t="s">
        <v>516</v>
      </c>
    </row>
    <row r="151">
      <c r="A151" s="56"/>
      <c r="B151" s="171"/>
      <c r="R151" s="56" t="s">
        <v>516</v>
      </c>
    </row>
    <row r="152">
      <c r="A152" s="56"/>
      <c r="B152" s="171"/>
      <c r="R152" s="56" t="s">
        <v>516</v>
      </c>
    </row>
    <row r="153">
      <c r="A153" s="56"/>
      <c r="B153" s="171"/>
      <c r="R153" s="56" t="s">
        <v>516</v>
      </c>
    </row>
    <row r="154">
      <c r="A154" s="56"/>
      <c r="B154" s="171"/>
      <c r="R154" s="56" t="s">
        <v>516</v>
      </c>
    </row>
    <row r="155">
      <c r="A155" s="56"/>
      <c r="B155" s="171"/>
      <c r="R155" s="56" t="s">
        <v>516</v>
      </c>
    </row>
    <row r="156">
      <c r="A156" s="56"/>
      <c r="B156" s="171"/>
      <c r="R156" s="56" t="s">
        <v>516</v>
      </c>
    </row>
    <row r="157">
      <c r="A157" s="56"/>
      <c r="B157" s="171"/>
      <c r="R157" s="56" t="s">
        <v>516</v>
      </c>
    </row>
    <row r="158">
      <c r="A158" s="56"/>
      <c r="B158" s="171"/>
      <c r="R158" s="56" t="s">
        <v>516</v>
      </c>
    </row>
    <row r="159">
      <c r="A159" s="56"/>
      <c r="B159" s="171"/>
      <c r="R159" s="56" t="s">
        <v>516</v>
      </c>
    </row>
    <row r="160">
      <c r="A160" s="56"/>
      <c r="B160" s="171"/>
      <c r="R160" s="56" t="s">
        <v>516</v>
      </c>
    </row>
    <row r="161">
      <c r="A161" s="56"/>
      <c r="B161" s="171"/>
      <c r="R161" s="56" t="s">
        <v>516</v>
      </c>
    </row>
    <row r="162">
      <c r="A162" s="56"/>
      <c r="B162" s="171"/>
      <c r="R162" s="56" t="s">
        <v>516</v>
      </c>
    </row>
    <row r="163">
      <c r="A163" s="56"/>
      <c r="B163" s="171"/>
      <c r="R163" s="56" t="s">
        <v>516</v>
      </c>
    </row>
    <row r="164">
      <c r="A164" s="56"/>
      <c r="B164" s="171"/>
      <c r="R164" s="56" t="s">
        <v>516</v>
      </c>
    </row>
    <row r="165">
      <c r="A165" s="56"/>
      <c r="B165" s="171"/>
      <c r="R165" s="56" t="s">
        <v>516</v>
      </c>
    </row>
    <row r="166">
      <c r="A166" s="56"/>
      <c r="B166" s="171"/>
      <c r="R166" s="56" t="s">
        <v>516</v>
      </c>
    </row>
    <row r="167">
      <c r="A167" s="56"/>
      <c r="B167" s="171"/>
      <c r="R167" s="56" t="s">
        <v>516</v>
      </c>
    </row>
    <row r="168">
      <c r="A168" s="56"/>
      <c r="B168" s="171"/>
      <c r="R168" s="56" t="s">
        <v>516</v>
      </c>
    </row>
    <row r="169">
      <c r="A169" s="56"/>
      <c r="B169" s="171"/>
      <c r="R169" s="56" t="s">
        <v>516</v>
      </c>
    </row>
    <row r="170">
      <c r="A170" s="56"/>
      <c r="B170" s="171"/>
      <c r="R170" s="56" t="s">
        <v>516</v>
      </c>
    </row>
    <row r="171">
      <c r="A171" s="56"/>
      <c r="B171" s="171"/>
      <c r="R171" s="56" t="s">
        <v>516</v>
      </c>
    </row>
    <row r="172">
      <c r="A172" s="56"/>
      <c r="B172" s="171"/>
      <c r="R172" s="56" t="s">
        <v>516</v>
      </c>
    </row>
    <row r="173">
      <c r="A173" s="56"/>
      <c r="B173" s="171"/>
      <c r="R173" s="56" t="s">
        <v>516</v>
      </c>
    </row>
    <row r="174">
      <c r="A174" s="56"/>
      <c r="B174" s="171"/>
      <c r="R174" s="56" t="s">
        <v>516</v>
      </c>
    </row>
    <row r="175">
      <c r="A175" s="56"/>
      <c r="B175" s="171"/>
      <c r="R175" s="56" t="s">
        <v>516</v>
      </c>
    </row>
    <row r="176">
      <c r="A176" s="56"/>
      <c r="B176" s="171"/>
      <c r="R176" s="56" t="s">
        <v>516</v>
      </c>
    </row>
    <row r="177">
      <c r="A177" s="56"/>
      <c r="B177" s="171"/>
      <c r="R177" s="56" t="s">
        <v>516</v>
      </c>
    </row>
    <row r="178">
      <c r="A178" s="56"/>
      <c r="B178" s="171"/>
      <c r="R178" s="56" t="s">
        <v>516</v>
      </c>
    </row>
    <row r="179">
      <c r="A179" s="56"/>
      <c r="B179" s="171"/>
      <c r="R179" s="56" t="s">
        <v>516</v>
      </c>
    </row>
    <row r="180">
      <c r="A180" s="56"/>
      <c r="B180" s="171"/>
      <c r="R180" s="56" t="s">
        <v>516</v>
      </c>
    </row>
    <row r="181">
      <c r="A181" s="56"/>
      <c r="B181" s="171"/>
      <c r="R181" s="56" t="s">
        <v>516</v>
      </c>
    </row>
    <row r="182">
      <c r="A182" s="56"/>
      <c r="B182" s="171"/>
      <c r="R182" s="56" t="s">
        <v>516</v>
      </c>
    </row>
    <row r="183">
      <c r="A183" s="56"/>
      <c r="B183" s="171"/>
      <c r="R183" s="56" t="s">
        <v>516</v>
      </c>
    </row>
    <row r="184">
      <c r="A184" s="56"/>
      <c r="B184" s="171"/>
      <c r="R184" s="56" t="s">
        <v>516</v>
      </c>
    </row>
    <row r="185">
      <c r="A185" s="56"/>
      <c r="B185" s="171"/>
      <c r="R185" s="56" t="s">
        <v>516</v>
      </c>
    </row>
    <row r="186">
      <c r="A186" s="56"/>
      <c r="B186" s="171"/>
      <c r="R186" s="56" t="s">
        <v>516</v>
      </c>
    </row>
    <row r="187">
      <c r="A187" s="56"/>
      <c r="B187" s="171"/>
      <c r="R187" s="56" t="s">
        <v>516</v>
      </c>
    </row>
    <row r="188">
      <c r="A188" s="56"/>
      <c r="B188" s="171"/>
      <c r="R188" s="56" t="s">
        <v>516</v>
      </c>
    </row>
    <row r="189">
      <c r="A189" s="56"/>
      <c r="B189" s="171"/>
      <c r="R189" s="56" t="s">
        <v>516</v>
      </c>
    </row>
    <row r="190">
      <c r="A190" s="56"/>
      <c r="B190" s="171"/>
      <c r="R190" s="56" t="s">
        <v>516</v>
      </c>
    </row>
    <row r="191">
      <c r="A191" s="56"/>
      <c r="B191" s="171"/>
      <c r="R191" s="56" t="s">
        <v>516</v>
      </c>
    </row>
    <row r="192">
      <c r="A192" s="56"/>
      <c r="B192" s="171"/>
      <c r="R192" s="56" t="s">
        <v>516</v>
      </c>
    </row>
    <row r="193">
      <c r="A193" s="56"/>
      <c r="B193" s="171"/>
      <c r="R193" s="56" t="s">
        <v>516</v>
      </c>
    </row>
    <row r="194">
      <c r="A194" s="56"/>
      <c r="B194" s="171"/>
      <c r="R194" s="56" t="s">
        <v>516</v>
      </c>
    </row>
    <row r="195">
      <c r="A195" s="56"/>
      <c r="B195" s="171"/>
      <c r="R195" s="56" t="s">
        <v>516</v>
      </c>
    </row>
    <row r="196">
      <c r="A196" s="56"/>
      <c r="B196" s="171"/>
      <c r="R196" s="56" t="s">
        <v>516</v>
      </c>
    </row>
    <row r="197">
      <c r="A197" s="56"/>
      <c r="B197" s="171"/>
      <c r="R197" s="56" t="s">
        <v>516</v>
      </c>
    </row>
    <row r="198">
      <c r="A198" s="56"/>
      <c r="B198" s="171"/>
      <c r="R198" s="56" t="s">
        <v>516</v>
      </c>
    </row>
    <row r="199">
      <c r="A199" s="56"/>
      <c r="B199" s="171"/>
      <c r="R199" s="56" t="s">
        <v>516</v>
      </c>
    </row>
    <row r="200">
      <c r="A200" s="56"/>
      <c r="B200" s="171"/>
      <c r="R200" s="56" t="s">
        <v>516</v>
      </c>
    </row>
    <row r="201">
      <c r="A201" s="56"/>
      <c r="B201" s="171"/>
      <c r="R201" s="56" t="s">
        <v>516</v>
      </c>
    </row>
    <row r="202">
      <c r="A202" s="56"/>
      <c r="B202" s="171"/>
      <c r="R202" s="56" t="s">
        <v>516</v>
      </c>
    </row>
    <row r="203">
      <c r="A203" s="56"/>
      <c r="B203" s="171"/>
      <c r="R203" s="56" t="s">
        <v>516</v>
      </c>
    </row>
    <row r="204">
      <c r="A204" s="56"/>
      <c r="B204" s="171"/>
      <c r="R204" s="56" t="s">
        <v>516</v>
      </c>
    </row>
    <row r="205">
      <c r="A205" s="56"/>
      <c r="B205" s="171"/>
      <c r="R205" s="56" t="s">
        <v>516</v>
      </c>
    </row>
    <row r="206">
      <c r="A206" s="56"/>
      <c r="B206" s="171"/>
      <c r="R206" s="56" t="s">
        <v>516</v>
      </c>
    </row>
    <row r="207">
      <c r="A207" s="56"/>
      <c r="B207" s="171"/>
      <c r="R207" s="56" t="s">
        <v>516</v>
      </c>
    </row>
    <row r="208">
      <c r="A208" s="56"/>
      <c r="B208" s="171"/>
      <c r="R208" s="56" t="s">
        <v>516</v>
      </c>
    </row>
    <row r="209">
      <c r="A209" s="56"/>
      <c r="B209" s="171"/>
      <c r="R209" s="56" t="s">
        <v>516</v>
      </c>
    </row>
    <row r="210">
      <c r="A210" s="56"/>
      <c r="B210" s="171"/>
      <c r="R210" s="56" t="s">
        <v>516</v>
      </c>
    </row>
    <row r="211">
      <c r="A211" s="56"/>
      <c r="B211" s="171"/>
      <c r="R211" s="56" t="s">
        <v>516</v>
      </c>
    </row>
    <row r="212">
      <c r="A212" s="56"/>
      <c r="B212" s="171"/>
      <c r="R212" s="56" t="s">
        <v>516</v>
      </c>
    </row>
    <row r="213">
      <c r="A213" s="56"/>
      <c r="B213" s="171"/>
      <c r="R213" s="56" t="s">
        <v>516</v>
      </c>
    </row>
    <row r="214">
      <c r="A214" s="56"/>
      <c r="B214" s="171"/>
      <c r="R214" s="56" t="s">
        <v>516</v>
      </c>
    </row>
    <row r="215">
      <c r="A215" s="56"/>
      <c r="B215" s="171"/>
      <c r="R215" s="56" t="s">
        <v>516</v>
      </c>
    </row>
    <row r="216">
      <c r="A216" s="56"/>
      <c r="B216" s="171"/>
      <c r="R216" s="56" t="s">
        <v>516</v>
      </c>
    </row>
    <row r="217">
      <c r="A217" s="56"/>
      <c r="B217" s="171"/>
      <c r="R217" s="56" t="s">
        <v>516</v>
      </c>
    </row>
    <row r="218">
      <c r="A218" s="56"/>
      <c r="B218" s="171"/>
      <c r="R218" s="56" t="s">
        <v>516</v>
      </c>
    </row>
    <row r="219">
      <c r="A219" s="56"/>
      <c r="B219" s="171"/>
      <c r="R219" s="56" t="s">
        <v>516</v>
      </c>
    </row>
    <row r="220">
      <c r="A220" s="56"/>
      <c r="B220" s="171"/>
      <c r="R220" s="56" t="s">
        <v>516</v>
      </c>
    </row>
    <row r="221">
      <c r="A221" s="56"/>
      <c r="B221" s="171"/>
      <c r="R221" s="56" t="s">
        <v>516</v>
      </c>
    </row>
    <row r="222">
      <c r="A222" s="56"/>
      <c r="B222" s="171"/>
      <c r="R222" s="56" t="s">
        <v>516</v>
      </c>
    </row>
    <row r="223">
      <c r="A223" s="56"/>
      <c r="B223" s="171"/>
      <c r="R223" s="56" t="s">
        <v>516</v>
      </c>
    </row>
    <row r="224">
      <c r="A224" s="56"/>
      <c r="B224" s="171"/>
      <c r="R224" s="56" t="s">
        <v>516</v>
      </c>
    </row>
    <row r="225">
      <c r="A225" s="56"/>
      <c r="B225" s="171"/>
      <c r="R225" s="56" t="s">
        <v>516</v>
      </c>
    </row>
    <row r="226">
      <c r="A226" s="56"/>
      <c r="B226" s="171"/>
      <c r="R226" s="56" t="s">
        <v>516</v>
      </c>
    </row>
    <row r="227">
      <c r="A227" s="56"/>
      <c r="B227" s="171"/>
      <c r="R227" s="56" t="s">
        <v>516</v>
      </c>
    </row>
    <row r="228">
      <c r="A228" s="56"/>
      <c r="B228" s="171"/>
      <c r="R228" s="56" t="s">
        <v>516</v>
      </c>
    </row>
    <row r="229">
      <c r="A229" s="56"/>
      <c r="B229" s="171"/>
      <c r="R229" s="56" t="s">
        <v>516</v>
      </c>
    </row>
    <row r="230">
      <c r="A230" s="56"/>
      <c r="B230" s="171"/>
      <c r="R230" s="56" t="s">
        <v>516</v>
      </c>
    </row>
    <row r="231">
      <c r="A231" s="56"/>
      <c r="B231" s="171"/>
      <c r="R231" s="56" t="s">
        <v>516</v>
      </c>
    </row>
    <row r="232">
      <c r="A232" s="56"/>
      <c r="B232" s="171"/>
      <c r="R232" s="56" t="s">
        <v>516</v>
      </c>
    </row>
    <row r="233">
      <c r="A233" s="56"/>
      <c r="B233" s="171"/>
      <c r="R233" s="56" t="s">
        <v>516</v>
      </c>
    </row>
    <row r="234">
      <c r="A234" s="56"/>
      <c r="B234" s="171"/>
      <c r="R234" s="56" t="s">
        <v>516</v>
      </c>
    </row>
    <row r="235">
      <c r="A235" s="56"/>
      <c r="B235" s="171"/>
      <c r="R235" s="56" t="s">
        <v>516</v>
      </c>
    </row>
    <row r="236">
      <c r="A236" s="56"/>
      <c r="B236" s="171"/>
      <c r="R236" s="56" t="s">
        <v>516</v>
      </c>
    </row>
    <row r="237">
      <c r="A237" s="56"/>
      <c r="B237" s="171"/>
      <c r="R237" s="56" t="s">
        <v>516</v>
      </c>
    </row>
    <row r="238">
      <c r="A238" s="56"/>
      <c r="B238" s="171"/>
      <c r="R238" s="56" t="s">
        <v>516</v>
      </c>
    </row>
    <row r="239">
      <c r="A239" s="56"/>
      <c r="B239" s="171"/>
      <c r="R239" s="56" t="s">
        <v>516</v>
      </c>
    </row>
    <row r="240">
      <c r="A240" s="56"/>
      <c r="B240" s="171"/>
      <c r="R240" s="56" t="s">
        <v>516</v>
      </c>
    </row>
    <row r="241">
      <c r="A241" s="56"/>
      <c r="B241" s="171"/>
      <c r="R241" s="56" t="s">
        <v>516</v>
      </c>
    </row>
    <row r="242">
      <c r="A242" s="56"/>
      <c r="B242" s="171"/>
      <c r="R242" s="56" t="s">
        <v>516</v>
      </c>
    </row>
    <row r="243">
      <c r="A243" s="56"/>
      <c r="B243" s="171"/>
      <c r="R243" s="56" t="s">
        <v>516</v>
      </c>
    </row>
    <row r="244">
      <c r="A244" s="56"/>
      <c r="B244" s="171"/>
      <c r="R244" s="56" t="s">
        <v>516</v>
      </c>
    </row>
    <row r="245">
      <c r="A245" s="56"/>
      <c r="B245" s="171"/>
      <c r="R245" s="56" t="s">
        <v>516</v>
      </c>
    </row>
    <row r="246">
      <c r="A246" s="56"/>
      <c r="B246" s="171"/>
      <c r="R246" s="56" t="s">
        <v>516</v>
      </c>
    </row>
    <row r="247">
      <c r="A247" s="56"/>
      <c r="B247" s="171"/>
      <c r="R247" s="56" t="s">
        <v>516</v>
      </c>
    </row>
    <row r="248">
      <c r="A248" s="56"/>
      <c r="B248" s="171"/>
      <c r="R248" s="56" t="s">
        <v>516</v>
      </c>
    </row>
    <row r="249">
      <c r="A249" s="56"/>
      <c r="B249" s="171"/>
      <c r="R249" s="56" t="s">
        <v>516</v>
      </c>
    </row>
    <row r="250">
      <c r="A250" s="56"/>
      <c r="B250" s="171"/>
      <c r="R250" s="56" t="s">
        <v>516</v>
      </c>
    </row>
    <row r="251">
      <c r="A251" s="56"/>
      <c r="B251" s="171"/>
      <c r="R251" s="56" t="s">
        <v>516</v>
      </c>
    </row>
    <row r="252">
      <c r="A252" s="56"/>
      <c r="B252" s="171"/>
      <c r="R252" s="56" t="s">
        <v>516</v>
      </c>
    </row>
    <row r="253">
      <c r="A253" s="56"/>
      <c r="B253" s="171"/>
      <c r="R253" s="56" t="s">
        <v>516</v>
      </c>
    </row>
    <row r="254">
      <c r="A254" s="56"/>
      <c r="B254" s="171"/>
      <c r="R254" s="56" t="s">
        <v>516</v>
      </c>
    </row>
    <row r="255">
      <c r="A255" s="56"/>
      <c r="B255" s="171"/>
      <c r="R255" s="56" t="s">
        <v>516</v>
      </c>
    </row>
    <row r="256">
      <c r="A256" s="56"/>
      <c r="B256" s="171"/>
      <c r="R256" s="56" t="s">
        <v>516</v>
      </c>
    </row>
    <row r="257">
      <c r="A257" s="56"/>
      <c r="B257" s="171"/>
      <c r="R257" s="56" t="s">
        <v>516</v>
      </c>
    </row>
    <row r="258">
      <c r="A258" s="56"/>
      <c r="B258" s="171"/>
      <c r="R258" s="56" t="s">
        <v>516</v>
      </c>
    </row>
    <row r="259">
      <c r="A259" s="56"/>
      <c r="B259" s="171"/>
      <c r="R259" s="56" t="s">
        <v>516</v>
      </c>
    </row>
    <row r="260">
      <c r="A260" s="56"/>
      <c r="B260" s="171"/>
      <c r="R260" s="56" t="s">
        <v>516</v>
      </c>
    </row>
    <row r="261">
      <c r="A261" s="56"/>
      <c r="B261" s="171"/>
      <c r="R261" s="56" t="s">
        <v>516</v>
      </c>
    </row>
    <row r="262">
      <c r="A262" s="56"/>
      <c r="B262" s="171"/>
      <c r="R262" s="56" t="s">
        <v>516</v>
      </c>
    </row>
    <row r="263">
      <c r="A263" s="56"/>
      <c r="B263" s="171"/>
      <c r="R263" s="56" t="s">
        <v>516</v>
      </c>
    </row>
    <row r="264">
      <c r="A264" s="56"/>
      <c r="B264" s="171"/>
      <c r="R264" s="56" t="s">
        <v>516</v>
      </c>
    </row>
    <row r="265">
      <c r="A265" s="56"/>
      <c r="B265" s="171"/>
      <c r="R265" s="56" t="s">
        <v>516</v>
      </c>
    </row>
    <row r="266">
      <c r="A266" s="56"/>
      <c r="B266" s="171"/>
      <c r="R266" s="56" t="s">
        <v>516</v>
      </c>
    </row>
    <row r="267">
      <c r="A267" s="56"/>
      <c r="B267" s="171"/>
      <c r="R267" s="56" t="s">
        <v>516</v>
      </c>
    </row>
    <row r="268">
      <c r="A268" s="56"/>
      <c r="B268" s="171"/>
      <c r="R268" s="56" t="s">
        <v>516</v>
      </c>
    </row>
    <row r="269">
      <c r="A269" s="56"/>
      <c r="B269" s="171"/>
      <c r="R269" s="56" t="s">
        <v>516</v>
      </c>
    </row>
    <row r="270">
      <c r="A270" s="56"/>
      <c r="B270" s="171"/>
      <c r="R270" s="56" t="s">
        <v>516</v>
      </c>
    </row>
    <row r="271">
      <c r="A271" s="56"/>
      <c r="B271" s="171"/>
      <c r="R271" s="56" t="s">
        <v>516</v>
      </c>
    </row>
    <row r="272">
      <c r="A272" s="56"/>
      <c r="B272" s="171"/>
      <c r="R272" s="56" t="s">
        <v>516</v>
      </c>
    </row>
    <row r="273">
      <c r="A273" s="56"/>
      <c r="B273" s="171"/>
      <c r="R273" s="56" t="s">
        <v>516</v>
      </c>
    </row>
    <row r="274">
      <c r="A274" s="56"/>
      <c r="B274" s="171"/>
      <c r="R274" s="56" t="s">
        <v>516</v>
      </c>
    </row>
    <row r="275">
      <c r="A275" s="56"/>
      <c r="B275" s="171"/>
      <c r="R275" s="56" t="s">
        <v>516</v>
      </c>
    </row>
    <row r="276">
      <c r="A276" s="56"/>
      <c r="B276" s="171"/>
      <c r="R276" s="56" t="s">
        <v>516</v>
      </c>
    </row>
    <row r="277">
      <c r="A277" s="56"/>
      <c r="B277" s="171"/>
      <c r="R277" s="56" t="s">
        <v>516</v>
      </c>
    </row>
    <row r="278">
      <c r="A278" s="56"/>
      <c r="B278" s="171"/>
      <c r="R278" s="56" t="s">
        <v>516</v>
      </c>
    </row>
    <row r="279">
      <c r="A279" s="56"/>
      <c r="B279" s="171"/>
      <c r="R279" s="56" t="s">
        <v>516</v>
      </c>
    </row>
    <row r="280">
      <c r="A280" s="56"/>
      <c r="B280" s="171"/>
      <c r="R280" s="56" t="s">
        <v>516</v>
      </c>
    </row>
    <row r="281">
      <c r="A281" s="56"/>
      <c r="B281" s="171"/>
      <c r="R281" s="56" t="s">
        <v>516</v>
      </c>
    </row>
    <row r="282">
      <c r="A282" s="56"/>
      <c r="B282" s="171"/>
      <c r="R282" s="56" t="s">
        <v>516</v>
      </c>
    </row>
    <row r="283">
      <c r="A283" s="56"/>
      <c r="B283" s="171"/>
      <c r="R283" s="56" t="s">
        <v>516</v>
      </c>
    </row>
    <row r="284">
      <c r="A284" s="56"/>
      <c r="B284" s="171"/>
      <c r="R284" s="56" t="s">
        <v>516</v>
      </c>
    </row>
    <row r="285">
      <c r="A285" s="56"/>
      <c r="B285" s="171"/>
      <c r="R285" s="56" t="s">
        <v>516</v>
      </c>
    </row>
    <row r="286">
      <c r="A286" s="56"/>
      <c r="B286" s="171"/>
      <c r="R286" s="56" t="s">
        <v>516</v>
      </c>
    </row>
    <row r="287">
      <c r="A287" s="56"/>
      <c r="B287" s="171"/>
      <c r="R287" s="56" t="s">
        <v>516</v>
      </c>
    </row>
    <row r="288">
      <c r="A288" s="56"/>
      <c r="B288" s="171"/>
      <c r="R288" s="56" t="s">
        <v>516</v>
      </c>
    </row>
    <row r="289">
      <c r="A289" s="56"/>
      <c r="B289" s="171"/>
      <c r="R289" s="56" t="s">
        <v>516</v>
      </c>
    </row>
    <row r="290">
      <c r="A290" s="56"/>
      <c r="B290" s="171"/>
      <c r="R290" s="56" t="s">
        <v>516</v>
      </c>
    </row>
    <row r="291">
      <c r="A291" s="56"/>
      <c r="B291" s="171"/>
      <c r="R291" s="56" t="s">
        <v>516</v>
      </c>
    </row>
    <row r="292">
      <c r="A292" s="56"/>
      <c r="B292" s="171"/>
      <c r="R292" s="56" t="s">
        <v>516</v>
      </c>
    </row>
    <row r="293">
      <c r="A293" s="56"/>
      <c r="B293" s="171"/>
      <c r="R293" s="56" t="s">
        <v>516</v>
      </c>
    </row>
    <row r="294">
      <c r="A294" s="56"/>
      <c r="B294" s="171"/>
      <c r="R294" s="56" t="s">
        <v>516</v>
      </c>
    </row>
    <row r="295">
      <c r="A295" s="56"/>
      <c r="B295" s="171"/>
      <c r="R295" s="56" t="s">
        <v>516</v>
      </c>
    </row>
    <row r="296">
      <c r="A296" s="56"/>
      <c r="B296" s="171"/>
      <c r="R296" s="56" t="s">
        <v>516</v>
      </c>
    </row>
    <row r="297">
      <c r="A297" s="56"/>
      <c r="B297" s="171"/>
      <c r="R297" s="56" t="s">
        <v>516</v>
      </c>
    </row>
    <row r="298">
      <c r="A298" s="56"/>
      <c r="B298" s="171"/>
      <c r="R298" s="56" t="s">
        <v>516</v>
      </c>
    </row>
    <row r="299">
      <c r="A299" s="56"/>
      <c r="B299" s="171"/>
      <c r="R299" s="56" t="s">
        <v>516</v>
      </c>
    </row>
    <row r="300">
      <c r="A300" s="56"/>
      <c r="B300" s="171"/>
      <c r="R300" s="56" t="s">
        <v>516</v>
      </c>
    </row>
    <row r="301">
      <c r="A301" s="56"/>
      <c r="B301" s="171"/>
      <c r="R301" s="56" t="s">
        <v>516</v>
      </c>
    </row>
    <row r="302">
      <c r="A302" s="56"/>
      <c r="B302" s="171"/>
      <c r="R302" s="56" t="s">
        <v>516</v>
      </c>
    </row>
    <row r="303">
      <c r="A303" s="56"/>
      <c r="B303" s="171"/>
      <c r="R303" s="56" t="s">
        <v>516</v>
      </c>
    </row>
    <row r="304">
      <c r="A304" s="56"/>
      <c r="B304" s="171"/>
      <c r="R304" s="56" t="s">
        <v>516</v>
      </c>
    </row>
    <row r="305">
      <c r="A305" s="56"/>
      <c r="B305" s="171"/>
      <c r="R305" s="56" t="s">
        <v>516</v>
      </c>
    </row>
    <row r="306">
      <c r="A306" s="56"/>
      <c r="B306" s="171"/>
      <c r="R306" s="56" t="s">
        <v>516</v>
      </c>
    </row>
    <row r="307">
      <c r="A307" s="56"/>
      <c r="B307" s="171"/>
      <c r="R307" s="56" t="s">
        <v>516</v>
      </c>
    </row>
    <row r="308">
      <c r="A308" s="56"/>
      <c r="B308" s="171"/>
      <c r="R308" s="56" t="s">
        <v>516</v>
      </c>
    </row>
    <row r="309">
      <c r="A309" s="56"/>
      <c r="B309" s="171"/>
      <c r="R309" s="56" t="s">
        <v>516</v>
      </c>
    </row>
    <row r="310">
      <c r="A310" s="56"/>
      <c r="B310" s="171"/>
      <c r="R310" s="56" t="s">
        <v>516</v>
      </c>
    </row>
    <row r="311">
      <c r="A311" s="56"/>
      <c r="B311" s="171"/>
      <c r="R311" s="56" t="s">
        <v>516</v>
      </c>
    </row>
    <row r="312">
      <c r="A312" s="56"/>
      <c r="B312" s="171"/>
      <c r="R312" s="56" t="s">
        <v>516</v>
      </c>
    </row>
    <row r="313">
      <c r="A313" s="56"/>
      <c r="B313" s="171"/>
      <c r="R313" s="56" t="s">
        <v>516</v>
      </c>
    </row>
    <row r="314">
      <c r="A314" s="56"/>
      <c r="B314" s="171"/>
      <c r="R314" s="56" t="s">
        <v>516</v>
      </c>
    </row>
    <row r="315">
      <c r="A315" s="56"/>
      <c r="B315" s="171"/>
      <c r="R315" s="56" t="s">
        <v>516</v>
      </c>
    </row>
    <row r="316">
      <c r="A316" s="56"/>
      <c r="B316" s="171"/>
      <c r="R316" s="56" t="s">
        <v>516</v>
      </c>
    </row>
    <row r="317">
      <c r="A317" s="56"/>
      <c r="B317" s="171"/>
      <c r="R317" s="56" t="s">
        <v>516</v>
      </c>
    </row>
    <row r="318">
      <c r="A318" s="56"/>
      <c r="B318" s="171"/>
      <c r="R318" s="56" t="s">
        <v>516</v>
      </c>
    </row>
    <row r="319">
      <c r="A319" s="56"/>
      <c r="B319" s="171"/>
      <c r="R319" s="56" t="s">
        <v>516</v>
      </c>
    </row>
    <row r="320">
      <c r="A320" s="56"/>
      <c r="B320" s="171"/>
      <c r="R320" s="56" t="s">
        <v>516</v>
      </c>
    </row>
    <row r="321">
      <c r="A321" s="56"/>
      <c r="B321" s="171"/>
      <c r="R321" s="56" t="s">
        <v>516</v>
      </c>
    </row>
    <row r="322">
      <c r="A322" s="56"/>
      <c r="B322" s="171"/>
      <c r="R322" s="56" t="s">
        <v>516</v>
      </c>
    </row>
    <row r="323">
      <c r="A323" s="56"/>
      <c r="B323" s="171"/>
      <c r="R323" s="56" t="s">
        <v>516</v>
      </c>
    </row>
    <row r="324">
      <c r="A324" s="56"/>
      <c r="B324" s="171"/>
      <c r="R324" s="56" t="s">
        <v>516</v>
      </c>
    </row>
    <row r="325">
      <c r="A325" s="56"/>
      <c r="B325" s="171"/>
      <c r="R325" s="56" t="s">
        <v>516</v>
      </c>
    </row>
    <row r="326">
      <c r="A326" s="56"/>
      <c r="B326" s="171"/>
      <c r="R326" s="56" t="s">
        <v>516</v>
      </c>
    </row>
    <row r="327">
      <c r="A327" s="56"/>
      <c r="B327" s="171"/>
      <c r="R327" s="56" t="s">
        <v>516</v>
      </c>
    </row>
    <row r="328">
      <c r="A328" s="56"/>
      <c r="B328" s="171"/>
      <c r="R328" s="56" t="s">
        <v>516</v>
      </c>
    </row>
    <row r="329">
      <c r="A329" s="56"/>
      <c r="B329" s="171"/>
      <c r="R329" s="56" t="s">
        <v>516</v>
      </c>
    </row>
    <row r="330">
      <c r="A330" s="56"/>
      <c r="B330" s="171"/>
      <c r="R330" s="56" t="s">
        <v>516</v>
      </c>
    </row>
    <row r="331">
      <c r="A331" s="56"/>
      <c r="B331" s="171"/>
      <c r="R331" s="56" t="s">
        <v>516</v>
      </c>
    </row>
    <row r="332">
      <c r="A332" s="56"/>
      <c r="B332" s="171"/>
      <c r="R332" s="56" t="s">
        <v>516</v>
      </c>
    </row>
    <row r="333">
      <c r="A333" s="56"/>
      <c r="B333" s="171"/>
      <c r="R333" s="56" t="s">
        <v>516</v>
      </c>
    </row>
    <row r="334">
      <c r="A334" s="56"/>
      <c r="B334" s="171"/>
      <c r="R334" s="56" t="s">
        <v>516</v>
      </c>
    </row>
    <row r="335">
      <c r="A335" s="56"/>
      <c r="B335" s="171"/>
      <c r="R335" s="56" t="s">
        <v>516</v>
      </c>
    </row>
    <row r="336">
      <c r="A336" s="56"/>
      <c r="B336" s="171"/>
      <c r="R336" s="56" t="s">
        <v>516</v>
      </c>
    </row>
    <row r="337">
      <c r="A337" s="56"/>
      <c r="B337" s="171"/>
      <c r="R337" s="56" t="s">
        <v>516</v>
      </c>
    </row>
    <row r="338">
      <c r="A338" s="56"/>
      <c r="B338" s="171"/>
      <c r="R338" s="56" t="s">
        <v>516</v>
      </c>
    </row>
    <row r="339">
      <c r="A339" s="56"/>
      <c r="B339" s="171"/>
      <c r="R339" s="56" t="s">
        <v>516</v>
      </c>
    </row>
    <row r="340">
      <c r="A340" s="56"/>
      <c r="B340" s="171"/>
      <c r="R340" s="56" t="s">
        <v>516</v>
      </c>
    </row>
    <row r="341">
      <c r="A341" s="56"/>
      <c r="B341" s="171"/>
      <c r="R341" s="56" t="s">
        <v>516</v>
      </c>
    </row>
    <row r="342">
      <c r="A342" s="56"/>
      <c r="B342" s="171"/>
      <c r="R342" s="56" t="s">
        <v>516</v>
      </c>
    </row>
    <row r="343">
      <c r="A343" s="56"/>
      <c r="B343" s="171"/>
      <c r="R343" s="56" t="s">
        <v>516</v>
      </c>
    </row>
    <row r="344">
      <c r="A344" s="56"/>
      <c r="B344" s="171"/>
      <c r="R344" s="56" t="s">
        <v>516</v>
      </c>
    </row>
    <row r="345">
      <c r="A345" s="56"/>
      <c r="B345" s="171"/>
      <c r="R345" s="56" t="s">
        <v>516</v>
      </c>
    </row>
    <row r="346">
      <c r="A346" s="56"/>
      <c r="B346" s="171"/>
      <c r="R346" s="56" t="s">
        <v>516</v>
      </c>
    </row>
    <row r="347">
      <c r="A347" s="56"/>
      <c r="B347" s="171"/>
      <c r="R347" s="56" t="s">
        <v>516</v>
      </c>
    </row>
    <row r="348">
      <c r="A348" s="56"/>
      <c r="B348" s="171"/>
      <c r="R348" s="56" t="s">
        <v>516</v>
      </c>
    </row>
    <row r="349">
      <c r="A349" s="56"/>
      <c r="B349" s="171"/>
      <c r="R349" s="56" t="s">
        <v>516</v>
      </c>
    </row>
    <row r="350">
      <c r="A350" s="56"/>
      <c r="B350" s="171"/>
      <c r="R350" s="56" t="s">
        <v>516</v>
      </c>
    </row>
    <row r="351">
      <c r="A351" s="56"/>
      <c r="B351" s="171"/>
      <c r="R351" s="56" t="s">
        <v>516</v>
      </c>
    </row>
    <row r="352">
      <c r="A352" s="56"/>
      <c r="B352" s="171"/>
      <c r="R352" s="56" t="s">
        <v>516</v>
      </c>
    </row>
    <row r="353">
      <c r="A353" s="56"/>
      <c r="B353" s="171"/>
      <c r="R353" s="56" t="s">
        <v>516</v>
      </c>
    </row>
    <row r="354">
      <c r="A354" s="56"/>
      <c r="B354" s="171"/>
      <c r="R354" s="56" t="s">
        <v>516</v>
      </c>
    </row>
    <row r="355">
      <c r="A355" s="56"/>
      <c r="B355" s="171"/>
      <c r="R355" s="56" t="s">
        <v>516</v>
      </c>
    </row>
    <row r="356">
      <c r="A356" s="56"/>
      <c r="B356" s="171"/>
      <c r="R356" s="56" t="s">
        <v>516</v>
      </c>
    </row>
    <row r="357">
      <c r="A357" s="56"/>
      <c r="B357" s="171"/>
      <c r="R357" s="56" t="s">
        <v>516</v>
      </c>
    </row>
    <row r="358">
      <c r="A358" s="56"/>
      <c r="B358" s="171"/>
      <c r="R358" s="56" t="s">
        <v>516</v>
      </c>
    </row>
    <row r="359">
      <c r="A359" s="56"/>
      <c r="B359" s="171"/>
      <c r="R359" s="56" t="s">
        <v>516</v>
      </c>
    </row>
    <row r="360">
      <c r="A360" s="56"/>
      <c r="B360" s="171"/>
      <c r="R360" s="56" t="s">
        <v>516</v>
      </c>
    </row>
    <row r="361">
      <c r="A361" s="56"/>
      <c r="B361" s="171"/>
      <c r="R361" s="56" t="s">
        <v>516</v>
      </c>
    </row>
    <row r="362">
      <c r="A362" s="56"/>
      <c r="B362" s="171"/>
      <c r="R362" s="56" t="s">
        <v>516</v>
      </c>
    </row>
    <row r="363">
      <c r="A363" s="56"/>
      <c r="B363" s="171"/>
      <c r="R363" s="56" t="s">
        <v>516</v>
      </c>
    </row>
    <row r="364">
      <c r="A364" s="56"/>
      <c r="B364" s="171"/>
      <c r="R364" s="56" t="s">
        <v>516</v>
      </c>
    </row>
    <row r="365">
      <c r="A365" s="56"/>
      <c r="B365" s="171"/>
      <c r="R365" s="56" t="s">
        <v>516</v>
      </c>
    </row>
    <row r="366">
      <c r="A366" s="56"/>
      <c r="B366" s="171"/>
      <c r="R366" s="56" t="s">
        <v>516</v>
      </c>
    </row>
    <row r="367">
      <c r="A367" s="56"/>
      <c r="B367" s="171"/>
      <c r="R367" s="56" t="s">
        <v>516</v>
      </c>
    </row>
    <row r="368">
      <c r="A368" s="56"/>
      <c r="B368" s="171"/>
      <c r="R368" s="56" t="s">
        <v>516</v>
      </c>
    </row>
    <row r="369">
      <c r="A369" s="56"/>
      <c r="B369" s="171"/>
      <c r="R369" s="56" t="s">
        <v>516</v>
      </c>
    </row>
    <row r="370">
      <c r="A370" s="56"/>
      <c r="B370" s="171"/>
      <c r="R370" s="56" t="s">
        <v>516</v>
      </c>
    </row>
    <row r="371">
      <c r="A371" s="56"/>
      <c r="B371" s="171"/>
      <c r="R371" s="56" t="s">
        <v>516</v>
      </c>
    </row>
    <row r="372">
      <c r="A372" s="56"/>
      <c r="B372" s="171"/>
      <c r="R372" s="56" t="s">
        <v>516</v>
      </c>
    </row>
    <row r="373">
      <c r="A373" s="56"/>
      <c r="B373" s="171"/>
      <c r="R373" s="56" t="s">
        <v>516</v>
      </c>
    </row>
    <row r="374">
      <c r="A374" s="56"/>
      <c r="B374" s="171"/>
      <c r="R374" s="56" t="s">
        <v>516</v>
      </c>
    </row>
    <row r="375">
      <c r="A375" s="56"/>
      <c r="B375" s="171"/>
      <c r="R375" s="56" t="s">
        <v>516</v>
      </c>
    </row>
    <row r="376">
      <c r="A376" s="56"/>
      <c r="B376" s="171"/>
      <c r="R376" s="56" t="s">
        <v>516</v>
      </c>
    </row>
    <row r="377">
      <c r="A377" s="56"/>
      <c r="B377" s="171"/>
      <c r="R377" s="56" t="s">
        <v>516</v>
      </c>
    </row>
    <row r="378">
      <c r="A378" s="56"/>
      <c r="B378" s="171"/>
      <c r="R378" s="56" t="s">
        <v>516</v>
      </c>
    </row>
    <row r="379">
      <c r="A379" s="56"/>
      <c r="B379" s="171"/>
      <c r="R379" s="56" t="s">
        <v>516</v>
      </c>
    </row>
    <row r="380">
      <c r="A380" s="56"/>
      <c r="B380" s="171"/>
      <c r="R380" s="56" t="s">
        <v>516</v>
      </c>
    </row>
    <row r="381">
      <c r="A381" s="56"/>
      <c r="B381" s="171"/>
      <c r="R381" s="56" t="s">
        <v>516</v>
      </c>
    </row>
    <row r="382">
      <c r="A382" s="56"/>
      <c r="B382" s="171"/>
      <c r="R382" s="56" t="s">
        <v>516</v>
      </c>
    </row>
    <row r="383">
      <c r="A383" s="56"/>
      <c r="B383" s="171"/>
      <c r="R383" s="56" t="s">
        <v>516</v>
      </c>
    </row>
    <row r="384">
      <c r="A384" s="56"/>
      <c r="B384" s="171"/>
      <c r="R384" s="56" t="s">
        <v>516</v>
      </c>
    </row>
    <row r="385">
      <c r="A385" s="56"/>
      <c r="B385" s="171"/>
      <c r="R385" s="56" t="s">
        <v>516</v>
      </c>
    </row>
    <row r="386">
      <c r="A386" s="56"/>
      <c r="B386" s="171"/>
      <c r="R386" s="56" t="s">
        <v>516</v>
      </c>
    </row>
    <row r="387">
      <c r="A387" s="56"/>
      <c r="B387" s="171"/>
      <c r="R387" s="56" t="s">
        <v>516</v>
      </c>
    </row>
    <row r="388">
      <c r="A388" s="56"/>
      <c r="B388" s="171"/>
      <c r="R388" s="56" t="s">
        <v>516</v>
      </c>
    </row>
    <row r="389">
      <c r="A389" s="56"/>
      <c r="B389" s="171"/>
      <c r="R389" s="56" t="s">
        <v>516</v>
      </c>
    </row>
    <row r="390">
      <c r="A390" s="56"/>
      <c r="B390" s="171"/>
      <c r="R390" s="56" t="s">
        <v>516</v>
      </c>
    </row>
    <row r="391">
      <c r="A391" s="56"/>
      <c r="B391" s="171"/>
      <c r="R391" s="56" t="s">
        <v>516</v>
      </c>
    </row>
    <row r="392">
      <c r="A392" s="56"/>
      <c r="B392" s="171"/>
      <c r="R392" s="56" t="s">
        <v>516</v>
      </c>
    </row>
    <row r="393">
      <c r="A393" s="56"/>
      <c r="B393" s="171"/>
      <c r="R393" s="56" t="s">
        <v>516</v>
      </c>
    </row>
    <row r="394">
      <c r="A394" s="56"/>
      <c r="B394" s="171"/>
      <c r="R394" s="56" t="s">
        <v>516</v>
      </c>
    </row>
    <row r="395">
      <c r="A395" s="56"/>
      <c r="B395" s="171"/>
      <c r="R395" s="56" t="s">
        <v>516</v>
      </c>
    </row>
    <row r="396">
      <c r="A396" s="56"/>
      <c r="B396" s="171"/>
      <c r="R396" s="56" t="s">
        <v>516</v>
      </c>
    </row>
    <row r="397">
      <c r="A397" s="56"/>
      <c r="B397" s="171"/>
      <c r="R397" s="56" t="s">
        <v>516</v>
      </c>
    </row>
    <row r="398">
      <c r="A398" s="56"/>
      <c r="B398" s="171"/>
      <c r="R398" s="56" t="s">
        <v>516</v>
      </c>
    </row>
    <row r="399">
      <c r="A399" s="56"/>
      <c r="B399" s="171"/>
      <c r="R399" s="56" t="s">
        <v>516</v>
      </c>
    </row>
    <row r="400">
      <c r="A400" s="56"/>
      <c r="B400" s="171"/>
      <c r="R400" s="56" t="s">
        <v>516</v>
      </c>
    </row>
    <row r="401">
      <c r="A401" s="56"/>
      <c r="B401" s="171"/>
      <c r="R401" s="56" t="s">
        <v>516</v>
      </c>
    </row>
    <row r="402">
      <c r="A402" s="56"/>
      <c r="B402" s="171"/>
      <c r="R402" s="56" t="s">
        <v>516</v>
      </c>
    </row>
    <row r="403">
      <c r="A403" s="56"/>
      <c r="B403" s="171"/>
      <c r="R403" s="56" t="s">
        <v>516</v>
      </c>
    </row>
    <row r="404">
      <c r="A404" s="56"/>
      <c r="B404" s="171"/>
      <c r="R404" s="56" t="s">
        <v>516</v>
      </c>
    </row>
    <row r="405">
      <c r="A405" s="56"/>
      <c r="B405" s="171"/>
      <c r="R405" s="56" t="s">
        <v>516</v>
      </c>
    </row>
    <row r="406">
      <c r="A406" s="56"/>
      <c r="B406" s="171"/>
      <c r="R406" s="56" t="s">
        <v>516</v>
      </c>
    </row>
    <row r="407">
      <c r="A407" s="56"/>
      <c r="B407" s="171"/>
      <c r="R407" s="56" t="s">
        <v>516</v>
      </c>
    </row>
    <row r="408">
      <c r="A408" s="56"/>
      <c r="B408" s="171"/>
      <c r="R408" s="56" t="s">
        <v>516</v>
      </c>
    </row>
    <row r="409">
      <c r="A409" s="56"/>
      <c r="B409" s="171"/>
      <c r="R409" s="56" t="s">
        <v>516</v>
      </c>
    </row>
    <row r="410">
      <c r="A410" s="56"/>
      <c r="B410" s="171"/>
      <c r="R410" s="56" t="s">
        <v>516</v>
      </c>
    </row>
    <row r="411">
      <c r="A411" s="56"/>
      <c r="B411" s="171"/>
      <c r="R411" s="56" t="s">
        <v>516</v>
      </c>
    </row>
    <row r="412">
      <c r="A412" s="56"/>
      <c r="B412" s="171"/>
      <c r="R412" s="56" t="s">
        <v>516</v>
      </c>
    </row>
    <row r="413">
      <c r="A413" s="56"/>
      <c r="B413" s="171"/>
      <c r="R413" s="56" t="s">
        <v>516</v>
      </c>
    </row>
    <row r="414">
      <c r="A414" s="56"/>
      <c r="B414" s="171"/>
      <c r="R414" s="56" t="s">
        <v>516</v>
      </c>
    </row>
    <row r="415">
      <c r="A415" s="56"/>
      <c r="B415" s="171"/>
      <c r="R415" s="56" t="s">
        <v>516</v>
      </c>
    </row>
    <row r="416">
      <c r="A416" s="56"/>
      <c r="B416" s="171"/>
      <c r="R416" s="56" t="s">
        <v>516</v>
      </c>
    </row>
    <row r="417">
      <c r="A417" s="56"/>
      <c r="B417" s="171"/>
      <c r="R417" s="56" t="s">
        <v>516</v>
      </c>
    </row>
    <row r="418">
      <c r="A418" s="56"/>
      <c r="B418" s="171"/>
      <c r="R418" s="56" t="s">
        <v>516</v>
      </c>
    </row>
    <row r="419">
      <c r="A419" s="56"/>
      <c r="B419" s="171"/>
      <c r="R419" s="56" t="s">
        <v>516</v>
      </c>
    </row>
    <row r="420">
      <c r="A420" s="56"/>
      <c r="B420" s="171"/>
      <c r="R420" s="56" t="s">
        <v>516</v>
      </c>
    </row>
    <row r="421">
      <c r="A421" s="56"/>
      <c r="B421" s="171"/>
      <c r="R421" s="56" t="s">
        <v>516</v>
      </c>
    </row>
    <row r="422">
      <c r="A422" s="56"/>
      <c r="B422" s="171"/>
      <c r="R422" s="56" t="s">
        <v>516</v>
      </c>
    </row>
    <row r="423">
      <c r="A423" s="56"/>
      <c r="B423" s="171"/>
      <c r="R423" s="56" t="s">
        <v>516</v>
      </c>
    </row>
    <row r="424">
      <c r="A424" s="56"/>
      <c r="B424" s="171"/>
      <c r="R424" s="56" t="s">
        <v>516</v>
      </c>
    </row>
    <row r="425">
      <c r="A425" s="56"/>
      <c r="B425" s="171"/>
      <c r="R425" s="56" t="s">
        <v>516</v>
      </c>
    </row>
    <row r="426">
      <c r="A426" s="56"/>
      <c r="B426" s="171"/>
      <c r="R426" s="56" t="s">
        <v>516</v>
      </c>
    </row>
    <row r="427">
      <c r="A427" s="56"/>
      <c r="B427" s="171"/>
      <c r="R427" s="56" t="s">
        <v>516</v>
      </c>
    </row>
    <row r="428">
      <c r="A428" s="56"/>
      <c r="B428" s="171"/>
      <c r="R428" s="56" t="s">
        <v>516</v>
      </c>
    </row>
    <row r="429">
      <c r="A429" s="56"/>
      <c r="B429" s="171"/>
      <c r="R429" s="56" t="s">
        <v>516</v>
      </c>
    </row>
    <row r="430">
      <c r="A430" s="56"/>
      <c r="B430" s="171"/>
      <c r="R430" s="56" t="s">
        <v>516</v>
      </c>
    </row>
    <row r="431">
      <c r="A431" s="56"/>
      <c r="B431" s="171"/>
      <c r="R431" s="56" t="s">
        <v>516</v>
      </c>
    </row>
    <row r="432">
      <c r="A432" s="56"/>
      <c r="B432" s="171"/>
      <c r="R432" s="56" t="s">
        <v>516</v>
      </c>
    </row>
    <row r="433">
      <c r="A433" s="56"/>
      <c r="B433" s="171"/>
      <c r="R433" s="56" t="s">
        <v>516</v>
      </c>
    </row>
    <row r="434">
      <c r="A434" s="56"/>
      <c r="B434" s="171"/>
      <c r="R434" s="56" t="s">
        <v>516</v>
      </c>
    </row>
    <row r="435">
      <c r="A435" s="56"/>
      <c r="B435" s="171"/>
      <c r="R435" s="56" t="s">
        <v>516</v>
      </c>
    </row>
    <row r="436">
      <c r="A436" s="56"/>
      <c r="B436" s="171"/>
      <c r="R436" s="56" t="s">
        <v>516</v>
      </c>
    </row>
    <row r="437">
      <c r="A437" s="56"/>
      <c r="B437" s="171"/>
      <c r="R437" s="56" t="s">
        <v>516</v>
      </c>
    </row>
    <row r="438">
      <c r="A438" s="56"/>
      <c r="B438" s="171"/>
      <c r="R438" s="56" t="s">
        <v>516</v>
      </c>
    </row>
    <row r="439">
      <c r="A439" s="56"/>
      <c r="B439" s="171"/>
      <c r="R439" s="56" t="s">
        <v>516</v>
      </c>
    </row>
    <row r="440">
      <c r="A440" s="56"/>
      <c r="B440" s="171"/>
      <c r="R440" s="56" t="s">
        <v>516</v>
      </c>
    </row>
    <row r="441">
      <c r="A441" s="56"/>
      <c r="B441" s="171"/>
      <c r="R441" s="56" t="s">
        <v>516</v>
      </c>
    </row>
    <row r="442">
      <c r="A442" s="56"/>
      <c r="B442" s="171"/>
      <c r="R442" s="56" t="s">
        <v>516</v>
      </c>
    </row>
    <row r="443">
      <c r="A443" s="56"/>
      <c r="B443" s="171"/>
      <c r="R443" s="56" t="s">
        <v>516</v>
      </c>
    </row>
    <row r="444">
      <c r="A444" s="56"/>
      <c r="B444" s="171"/>
      <c r="R444" s="56" t="s">
        <v>516</v>
      </c>
    </row>
    <row r="445">
      <c r="A445" s="56"/>
      <c r="B445" s="171"/>
      <c r="R445" s="56" t="s">
        <v>516</v>
      </c>
    </row>
    <row r="446">
      <c r="A446" s="56"/>
      <c r="B446" s="171"/>
      <c r="R446" s="56" t="s">
        <v>516</v>
      </c>
    </row>
    <row r="447">
      <c r="A447" s="56"/>
      <c r="B447" s="171"/>
      <c r="R447" s="56" t="s">
        <v>516</v>
      </c>
    </row>
    <row r="448">
      <c r="A448" s="56"/>
      <c r="B448" s="171"/>
      <c r="R448" s="56" t="s">
        <v>516</v>
      </c>
    </row>
    <row r="449">
      <c r="A449" s="56"/>
      <c r="B449" s="171"/>
      <c r="R449" s="56" t="s">
        <v>516</v>
      </c>
    </row>
    <row r="450">
      <c r="A450" s="56"/>
      <c r="B450" s="171"/>
      <c r="R450" s="56" t="s">
        <v>516</v>
      </c>
    </row>
    <row r="451">
      <c r="A451" s="56"/>
      <c r="B451" s="171"/>
      <c r="R451" s="56" t="s">
        <v>516</v>
      </c>
    </row>
    <row r="452">
      <c r="A452" s="56"/>
      <c r="B452" s="171"/>
      <c r="R452" s="56" t="s">
        <v>516</v>
      </c>
    </row>
    <row r="453">
      <c r="A453" s="56"/>
      <c r="B453" s="171"/>
      <c r="R453" s="56" t="s">
        <v>516</v>
      </c>
    </row>
    <row r="454">
      <c r="A454" s="56"/>
      <c r="B454" s="171"/>
      <c r="R454" s="56" t="s">
        <v>516</v>
      </c>
    </row>
    <row r="455">
      <c r="A455" s="56"/>
      <c r="B455" s="171"/>
      <c r="R455" s="56" t="s">
        <v>516</v>
      </c>
    </row>
    <row r="456">
      <c r="A456" s="56"/>
      <c r="B456" s="171"/>
      <c r="R456" s="56" t="s">
        <v>516</v>
      </c>
    </row>
    <row r="457">
      <c r="A457" s="56"/>
      <c r="B457" s="171"/>
      <c r="R457" s="56" t="s">
        <v>516</v>
      </c>
    </row>
    <row r="458">
      <c r="A458" s="56"/>
      <c r="B458" s="171"/>
      <c r="R458" s="56" t="s">
        <v>516</v>
      </c>
    </row>
    <row r="459">
      <c r="A459" s="56"/>
      <c r="B459" s="171"/>
      <c r="R459" s="56" t="s">
        <v>516</v>
      </c>
    </row>
    <row r="460">
      <c r="A460" s="56"/>
      <c r="B460" s="171"/>
      <c r="R460" s="56" t="s">
        <v>516</v>
      </c>
    </row>
    <row r="461">
      <c r="A461" s="56"/>
      <c r="B461" s="171"/>
      <c r="R461" s="56" t="s">
        <v>516</v>
      </c>
    </row>
    <row r="462">
      <c r="A462" s="56"/>
      <c r="B462" s="171"/>
      <c r="R462" s="56" t="s">
        <v>516</v>
      </c>
    </row>
    <row r="463">
      <c r="A463" s="56"/>
      <c r="B463" s="171"/>
      <c r="R463" s="56" t="s">
        <v>516</v>
      </c>
    </row>
    <row r="464">
      <c r="A464" s="56"/>
      <c r="B464" s="171"/>
      <c r="R464" s="56" t="s">
        <v>516</v>
      </c>
    </row>
    <row r="465">
      <c r="A465" s="56"/>
      <c r="B465" s="171"/>
      <c r="R465" s="56" t="s">
        <v>516</v>
      </c>
    </row>
    <row r="466">
      <c r="A466" s="56"/>
      <c r="B466" s="171"/>
      <c r="R466" s="56" t="s">
        <v>516</v>
      </c>
    </row>
    <row r="467">
      <c r="A467" s="56"/>
      <c r="B467" s="171"/>
      <c r="R467" s="56" t="s">
        <v>516</v>
      </c>
    </row>
    <row r="468">
      <c r="A468" s="56"/>
      <c r="B468" s="171"/>
      <c r="R468" s="56" t="s">
        <v>516</v>
      </c>
    </row>
    <row r="469">
      <c r="A469" s="56"/>
      <c r="B469" s="171"/>
      <c r="R469" s="56" t="s">
        <v>516</v>
      </c>
    </row>
    <row r="470">
      <c r="A470" s="56"/>
      <c r="B470" s="171"/>
      <c r="R470" s="56" t="s">
        <v>516</v>
      </c>
    </row>
    <row r="471">
      <c r="A471" s="56"/>
      <c r="B471" s="171"/>
      <c r="R471" s="56" t="s">
        <v>516</v>
      </c>
    </row>
    <row r="472">
      <c r="A472" s="56"/>
      <c r="B472" s="171"/>
      <c r="R472" s="56" t="s">
        <v>516</v>
      </c>
    </row>
    <row r="473">
      <c r="A473" s="56"/>
      <c r="B473" s="171"/>
      <c r="R473" s="56" t="s">
        <v>516</v>
      </c>
    </row>
    <row r="474">
      <c r="A474" s="56"/>
      <c r="B474" s="171"/>
      <c r="R474" s="56" t="s">
        <v>516</v>
      </c>
    </row>
    <row r="475">
      <c r="A475" s="56"/>
      <c r="B475" s="171"/>
      <c r="R475" s="56" t="s">
        <v>516</v>
      </c>
    </row>
    <row r="476">
      <c r="A476" s="56"/>
      <c r="B476" s="171"/>
      <c r="R476" s="56" t="s">
        <v>516</v>
      </c>
    </row>
    <row r="477">
      <c r="A477" s="56"/>
      <c r="B477" s="171"/>
      <c r="R477" s="56" t="s">
        <v>516</v>
      </c>
    </row>
    <row r="478">
      <c r="A478" s="56"/>
      <c r="B478" s="171"/>
      <c r="R478" s="56" t="s">
        <v>516</v>
      </c>
    </row>
    <row r="479">
      <c r="A479" s="56"/>
      <c r="B479" s="171"/>
      <c r="R479" s="56" t="s">
        <v>516</v>
      </c>
    </row>
    <row r="480">
      <c r="A480" s="56"/>
      <c r="B480" s="171"/>
      <c r="R480" s="56" t="s">
        <v>516</v>
      </c>
    </row>
    <row r="481">
      <c r="A481" s="56"/>
      <c r="B481" s="171"/>
      <c r="R481" s="56" t="s">
        <v>516</v>
      </c>
    </row>
    <row r="482">
      <c r="A482" s="56"/>
      <c r="B482" s="171"/>
      <c r="R482" s="56" t="s">
        <v>516</v>
      </c>
    </row>
    <row r="483">
      <c r="A483" s="56"/>
      <c r="B483" s="171"/>
      <c r="R483" s="56" t="s">
        <v>516</v>
      </c>
    </row>
    <row r="484">
      <c r="A484" s="56"/>
      <c r="B484" s="171"/>
      <c r="R484" s="56" t="s">
        <v>516</v>
      </c>
    </row>
    <row r="485">
      <c r="A485" s="56"/>
      <c r="B485" s="171"/>
      <c r="R485" s="56" t="s">
        <v>516</v>
      </c>
    </row>
    <row r="486">
      <c r="A486" s="56"/>
      <c r="B486" s="171"/>
      <c r="R486" s="56" t="s">
        <v>516</v>
      </c>
    </row>
    <row r="487">
      <c r="A487" s="56"/>
      <c r="B487" s="171"/>
      <c r="R487" s="56" t="s">
        <v>516</v>
      </c>
    </row>
    <row r="488">
      <c r="A488" s="56"/>
      <c r="B488" s="171"/>
      <c r="R488" s="56" t="s">
        <v>516</v>
      </c>
    </row>
    <row r="489">
      <c r="A489" s="56"/>
      <c r="B489" s="171"/>
      <c r="R489" s="56" t="s">
        <v>516</v>
      </c>
    </row>
    <row r="490">
      <c r="A490" s="56"/>
      <c r="B490" s="171"/>
      <c r="R490" s="56" t="s">
        <v>516</v>
      </c>
    </row>
    <row r="491">
      <c r="A491" s="56"/>
      <c r="B491" s="171"/>
      <c r="R491" s="56" t="s">
        <v>516</v>
      </c>
    </row>
    <row r="492">
      <c r="A492" s="56"/>
      <c r="B492" s="171"/>
      <c r="R492" s="56" t="s">
        <v>516</v>
      </c>
    </row>
    <row r="493">
      <c r="A493" s="56"/>
      <c r="B493" s="171"/>
      <c r="R493" s="56" t="s">
        <v>516</v>
      </c>
    </row>
    <row r="494">
      <c r="A494" s="56"/>
      <c r="B494" s="171"/>
      <c r="R494" s="56" t="s">
        <v>516</v>
      </c>
    </row>
    <row r="495">
      <c r="A495" s="56"/>
      <c r="B495" s="171"/>
      <c r="R495" s="56" t="s">
        <v>516</v>
      </c>
    </row>
    <row r="496">
      <c r="A496" s="56"/>
      <c r="B496" s="171"/>
      <c r="R496" s="56" t="s">
        <v>516</v>
      </c>
    </row>
    <row r="497">
      <c r="A497" s="56"/>
      <c r="B497" s="171"/>
      <c r="R497" s="56" t="s">
        <v>516</v>
      </c>
    </row>
    <row r="498">
      <c r="A498" s="56"/>
      <c r="B498" s="171"/>
      <c r="R498" s="56" t="s">
        <v>516</v>
      </c>
    </row>
    <row r="499">
      <c r="A499" s="56"/>
      <c r="B499" s="171"/>
      <c r="R499" s="56" t="s">
        <v>516</v>
      </c>
    </row>
    <row r="500">
      <c r="A500" s="56"/>
      <c r="B500" s="171"/>
      <c r="R500" s="56" t="s">
        <v>516</v>
      </c>
    </row>
    <row r="501">
      <c r="A501" s="56"/>
      <c r="B501" s="171"/>
      <c r="R501" s="56" t="s">
        <v>516</v>
      </c>
    </row>
    <row r="502">
      <c r="A502" s="56"/>
      <c r="B502" s="171"/>
      <c r="R502" s="56" t="s">
        <v>516</v>
      </c>
    </row>
    <row r="503">
      <c r="A503" s="56"/>
      <c r="B503" s="171"/>
      <c r="R503" s="56" t="s">
        <v>516</v>
      </c>
    </row>
    <row r="504">
      <c r="A504" s="56"/>
      <c r="B504" s="171"/>
      <c r="R504" s="56" t="s">
        <v>516</v>
      </c>
    </row>
    <row r="505">
      <c r="A505" s="56"/>
      <c r="B505" s="171"/>
      <c r="R505" s="56" t="s">
        <v>516</v>
      </c>
    </row>
    <row r="506">
      <c r="A506" s="56"/>
      <c r="B506" s="171"/>
      <c r="R506" s="56" t="s">
        <v>516</v>
      </c>
    </row>
    <row r="507">
      <c r="A507" s="56"/>
      <c r="B507" s="171"/>
      <c r="R507" s="56" t="s">
        <v>516</v>
      </c>
    </row>
    <row r="508">
      <c r="A508" s="56"/>
      <c r="B508" s="171"/>
      <c r="R508" s="56" t="s">
        <v>516</v>
      </c>
    </row>
    <row r="509">
      <c r="A509" s="56"/>
      <c r="B509" s="171"/>
      <c r="R509" s="56" t="s">
        <v>516</v>
      </c>
    </row>
    <row r="510">
      <c r="A510" s="56"/>
      <c r="B510" s="171"/>
      <c r="R510" s="56" t="s">
        <v>516</v>
      </c>
    </row>
    <row r="511">
      <c r="A511" s="56"/>
      <c r="B511" s="171"/>
      <c r="R511" s="56" t="s">
        <v>516</v>
      </c>
    </row>
    <row r="512">
      <c r="A512" s="56"/>
      <c r="B512" s="171"/>
      <c r="R512" s="56" t="s">
        <v>516</v>
      </c>
    </row>
    <row r="513">
      <c r="A513" s="56"/>
      <c r="B513" s="171"/>
      <c r="R513" s="56" t="s">
        <v>516</v>
      </c>
    </row>
    <row r="514">
      <c r="A514" s="56"/>
      <c r="B514" s="171"/>
      <c r="R514" s="56" t="s">
        <v>516</v>
      </c>
    </row>
    <row r="515">
      <c r="A515" s="56"/>
      <c r="B515" s="171"/>
      <c r="R515" s="56" t="s">
        <v>516</v>
      </c>
    </row>
    <row r="516">
      <c r="A516" s="56"/>
      <c r="B516" s="171"/>
      <c r="R516" s="56" t="s">
        <v>516</v>
      </c>
    </row>
    <row r="517">
      <c r="A517" s="56"/>
      <c r="B517" s="171"/>
      <c r="R517" s="56" t="s">
        <v>516</v>
      </c>
    </row>
    <row r="518">
      <c r="A518" s="56"/>
      <c r="B518" s="171"/>
      <c r="R518" s="56" t="s">
        <v>516</v>
      </c>
    </row>
    <row r="519">
      <c r="A519" s="56"/>
      <c r="B519" s="171"/>
      <c r="R519" s="56" t="s">
        <v>516</v>
      </c>
    </row>
    <row r="520">
      <c r="A520" s="56"/>
      <c r="B520" s="171"/>
      <c r="R520" s="56" t="s">
        <v>516</v>
      </c>
    </row>
    <row r="521">
      <c r="A521" s="56"/>
      <c r="B521" s="171"/>
      <c r="R521" s="56" t="s">
        <v>516</v>
      </c>
    </row>
    <row r="522">
      <c r="A522" s="56"/>
      <c r="B522" s="171"/>
      <c r="R522" s="56" t="s">
        <v>516</v>
      </c>
    </row>
    <row r="523">
      <c r="A523" s="56"/>
      <c r="B523" s="171"/>
      <c r="R523" s="56" t="s">
        <v>516</v>
      </c>
    </row>
    <row r="524">
      <c r="A524" s="56"/>
      <c r="B524" s="171"/>
      <c r="R524" s="56" t="s">
        <v>516</v>
      </c>
    </row>
    <row r="525">
      <c r="A525" s="56"/>
      <c r="B525" s="171"/>
      <c r="R525" s="56" t="s">
        <v>516</v>
      </c>
    </row>
    <row r="526">
      <c r="A526" s="56"/>
      <c r="B526" s="171"/>
      <c r="R526" s="56" t="s">
        <v>516</v>
      </c>
    </row>
    <row r="527">
      <c r="A527" s="56"/>
      <c r="B527" s="171"/>
      <c r="R527" s="56" t="s">
        <v>516</v>
      </c>
    </row>
    <row r="528">
      <c r="A528" s="56"/>
      <c r="B528" s="171"/>
      <c r="R528" s="56" t="s">
        <v>516</v>
      </c>
    </row>
    <row r="529">
      <c r="A529" s="56"/>
      <c r="B529" s="171"/>
      <c r="R529" s="56" t="s">
        <v>516</v>
      </c>
    </row>
    <row r="530">
      <c r="A530" s="56"/>
      <c r="B530" s="171"/>
      <c r="R530" s="56" t="s">
        <v>516</v>
      </c>
    </row>
    <row r="531">
      <c r="A531" s="56"/>
      <c r="B531" s="171"/>
      <c r="R531" s="56" t="s">
        <v>516</v>
      </c>
    </row>
    <row r="532">
      <c r="A532" s="56"/>
      <c r="B532" s="171"/>
      <c r="R532" s="56" t="s">
        <v>516</v>
      </c>
    </row>
    <row r="533">
      <c r="A533" s="56"/>
      <c r="B533" s="171"/>
      <c r="R533" s="56" t="s">
        <v>516</v>
      </c>
    </row>
    <row r="534">
      <c r="A534" s="56"/>
      <c r="B534" s="171"/>
      <c r="R534" s="56" t="s">
        <v>516</v>
      </c>
    </row>
    <row r="535">
      <c r="A535" s="56"/>
      <c r="B535" s="171"/>
      <c r="R535" s="56" t="s">
        <v>516</v>
      </c>
    </row>
    <row r="536">
      <c r="A536" s="56"/>
      <c r="B536" s="171"/>
      <c r="R536" s="56" t="s">
        <v>516</v>
      </c>
    </row>
    <row r="537">
      <c r="A537" s="56"/>
      <c r="B537" s="171"/>
      <c r="R537" s="56" t="s">
        <v>516</v>
      </c>
    </row>
    <row r="538">
      <c r="A538" s="56"/>
      <c r="B538" s="171"/>
      <c r="R538" s="56" t="s">
        <v>516</v>
      </c>
    </row>
    <row r="539">
      <c r="A539" s="56"/>
      <c r="B539" s="171"/>
      <c r="R539" s="56" t="s">
        <v>516</v>
      </c>
    </row>
    <row r="540">
      <c r="A540" s="56"/>
      <c r="B540" s="171"/>
      <c r="R540" s="56" t="s">
        <v>516</v>
      </c>
    </row>
    <row r="541">
      <c r="A541" s="56"/>
      <c r="B541" s="171"/>
      <c r="R541" s="56" t="s">
        <v>516</v>
      </c>
    </row>
    <row r="542">
      <c r="A542" s="56"/>
      <c r="B542" s="171"/>
      <c r="R542" s="56" t="s">
        <v>516</v>
      </c>
    </row>
    <row r="543">
      <c r="A543" s="56"/>
      <c r="B543" s="171"/>
      <c r="R543" s="56" t="s">
        <v>516</v>
      </c>
    </row>
    <row r="544">
      <c r="A544" s="56"/>
      <c r="B544" s="171"/>
      <c r="R544" s="56" t="s">
        <v>516</v>
      </c>
    </row>
    <row r="545">
      <c r="A545" s="56"/>
      <c r="B545" s="171"/>
      <c r="R545" s="56" t="s">
        <v>516</v>
      </c>
    </row>
    <row r="546">
      <c r="A546" s="56"/>
      <c r="B546" s="171"/>
      <c r="R546" s="56" t="s">
        <v>516</v>
      </c>
    </row>
    <row r="547">
      <c r="A547" s="56"/>
      <c r="B547" s="171"/>
      <c r="R547" s="56" t="s">
        <v>516</v>
      </c>
    </row>
    <row r="548">
      <c r="A548" s="56"/>
      <c r="B548" s="171"/>
      <c r="R548" s="56" t="s">
        <v>516</v>
      </c>
    </row>
    <row r="549">
      <c r="A549" s="56"/>
      <c r="B549" s="171"/>
      <c r="R549" s="56" t="s">
        <v>516</v>
      </c>
    </row>
    <row r="550">
      <c r="A550" s="56"/>
      <c r="B550" s="171"/>
      <c r="R550" s="56" t="s">
        <v>516</v>
      </c>
    </row>
    <row r="551">
      <c r="A551" s="56"/>
      <c r="B551" s="171"/>
      <c r="R551" s="56" t="s">
        <v>516</v>
      </c>
    </row>
    <row r="552">
      <c r="A552" s="56"/>
      <c r="B552" s="171"/>
      <c r="R552" s="56" t="s">
        <v>516</v>
      </c>
    </row>
    <row r="553">
      <c r="A553" s="56"/>
      <c r="B553" s="171"/>
      <c r="R553" s="56" t="s">
        <v>516</v>
      </c>
    </row>
    <row r="554">
      <c r="A554" s="56"/>
      <c r="B554" s="171"/>
      <c r="R554" s="56" t="s">
        <v>516</v>
      </c>
    </row>
    <row r="555">
      <c r="A555" s="56"/>
      <c r="B555" s="171"/>
      <c r="R555" s="56" t="s">
        <v>516</v>
      </c>
    </row>
    <row r="556">
      <c r="A556" s="56"/>
      <c r="B556" s="171"/>
      <c r="R556" s="56" t="s">
        <v>516</v>
      </c>
    </row>
    <row r="557">
      <c r="A557" s="56"/>
      <c r="B557" s="171"/>
      <c r="R557" s="56" t="s">
        <v>516</v>
      </c>
    </row>
    <row r="558">
      <c r="A558" s="56"/>
      <c r="B558" s="171"/>
      <c r="R558" s="56" t="s">
        <v>516</v>
      </c>
    </row>
    <row r="559">
      <c r="A559" s="56"/>
      <c r="B559" s="171"/>
      <c r="R559" s="56" t="s">
        <v>516</v>
      </c>
    </row>
    <row r="560">
      <c r="A560" s="56"/>
      <c r="B560" s="171"/>
      <c r="R560" s="56" t="s">
        <v>516</v>
      </c>
    </row>
    <row r="561">
      <c r="A561" s="56"/>
      <c r="B561" s="171"/>
      <c r="R561" s="56" t="s">
        <v>516</v>
      </c>
    </row>
    <row r="562">
      <c r="A562" s="56"/>
      <c r="B562" s="171"/>
      <c r="R562" s="56" t="s">
        <v>516</v>
      </c>
    </row>
    <row r="563">
      <c r="A563" s="56"/>
      <c r="B563" s="171"/>
      <c r="R563" s="56" t="s">
        <v>516</v>
      </c>
    </row>
    <row r="564">
      <c r="A564" s="56"/>
      <c r="B564" s="171"/>
      <c r="R564" s="56" t="s">
        <v>516</v>
      </c>
    </row>
    <row r="565">
      <c r="A565" s="56"/>
      <c r="B565" s="171"/>
      <c r="R565" s="56" t="s">
        <v>516</v>
      </c>
    </row>
    <row r="566">
      <c r="A566" s="56"/>
      <c r="B566" s="171"/>
      <c r="R566" s="56" t="s">
        <v>516</v>
      </c>
    </row>
    <row r="567">
      <c r="A567" s="56"/>
      <c r="B567" s="171"/>
      <c r="R567" s="56" t="s">
        <v>516</v>
      </c>
    </row>
    <row r="568">
      <c r="A568" s="56"/>
      <c r="B568" s="171"/>
      <c r="R568" s="56" t="s">
        <v>516</v>
      </c>
    </row>
    <row r="569">
      <c r="A569" s="56"/>
      <c r="B569" s="171"/>
      <c r="R569" s="56" t="s">
        <v>516</v>
      </c>
    </row>
    <row r="570">
      <c r="A570" s="56"/>
      <c r="B570" s="171"/>
      <c r="R570" s="56" t="s">
        <v>516</v>
      </c>
    </row>
    <row r="571">
      <c r="A571" s="56"/>
      <c r="B571" s="171"/>
      <c r="R571" s="56" t="s">
        <v>516</v>
      </c>
    </row>
    <row r="572">
      <c r="A572" s="56"/>
      <c r="B572" s="171"/>
      <c r="R572" s="56" t="s">
        <v>516</v>
      </c>
    </row>
    <row r="573">
      <c r="A573" s="56"/>
      <c r="B573" s="171"/>
      <c r="R573" s="56" t="s">
        <v>516</v>
      </c>
    </row>
    <row r="574">
      <c r="A574" s="56"/>
      <c r="B574" s="171"/>
      <c r="R574" s="56" t="s">
        <v>516</v>
      </c>
    </row>
    <row r="575">
      <c r="A575" s="56"/>
      <c r="B575" s="171"/>
      <c r="R575" s="56" t="s">
        <v>516</v>
      </c>
    </row>
    <row r="576">
      <c r="A576" s="56"/>
      <c r="B576" s="171"/>
      <c r="R576" s="56" t="s">
        <v>516</v>
      </c>
    </row>
    <row r="577">
      <c r="A577" s="56"/>
      <c r="B577" s="171"/>
      <c r="R577" s="56" t="s">
        <v>516</v>
      </c>
    </row>
    <row r="578">
      <c r="A578" s="56"/>
      <c r="B578" s="171"/>
      <c r="R578" s="56" t="s">
        <v>516</v>
      </c>
    </row>
    <row r="579">
      <c r="A579" s="56"/>
      <c r="B579" s="171"/>
      <c r="R579" s="56" t="s">
        <v>516</v>
      </c>
    </row>
    <row r="580">
      <c r="A580" s="56"/>
      <c r="B580" s="171"/>
      <c r="R580" s="56" t="s">
        <v>516</v>
      </c>
    </row>
    <row r="581">
      <c r="A581" s="56"/>
      <c r="B581" s="171"/>
      <c r="R581" s="56" t="s">
        <v>516</v>
      </c>
    </row>
    <row r="582">
      <c r="A582" s="56"/>
      <c r="B582" s="171"/>
      <c r="R582" s="56" t="s">
        <v>516</v>
      </c>
    </row>
    <row r="583">
      <c r="A583" s="56"/>
      <c r="B583" s="171"/>
      <c r="R583" s="56" t="s">
        <v>516</v>
      </c>
    </row>
    <row r="584">
      <c r="A584" s="56"/>
      <c r="B584" s="171"/>
      <c r="R584" s="56" t="s">
        <v>516</v>
      </c>
    </row>
    <row r="585">
      <c r="A585" s="56"/>
      <c r="B585" s="171"/>
      <c r="R585" s="56" t="s">
        <v>516</v>
      </c>
    </row>
    <row r="586">
      <c r="A586" s="56"/>
      <c r="B586" s="171"/>
      <c r="R586" s="56" t="s">
        <v>516</v>
      </c>
    </row>
    <row r="587">
      <c r="A587" s="56"/>
      <c r="B587" s="171"/>
      <c r="R587" s="56" t="s">
        <v>516</v>
      </c>
    </row>
    <row r="588">
      <c r="A588" s="56"/>
      <c r="B588" s="171"/>
      <c r="R588" s="56" t="s">
        <v>516</v>
      </c>
    </row>
    <row r="589">
      <c r="A589" s="56"/>
      <c r="B589" s="171"/>
      <c r="R589" s="56" t="s">
        <v>516</v>
      </c>
    </row>
    <row r="590">
      <c r="A590" s="56"/>
      <c r="B590" s="171"/>
      <c r="R590" s="56" t="s">
        <v>516</v>
      </c>
    </row>
    <row r="591">
      <c r="A591" s="56"/>
      <c r="B591" s="171"/>
      <c r="R591" s="56" t="s">
        <v>516</v>
      </c>
    </row>
    <row r="592">
      <c r="A592" s="56"/>
      <c r="B592" s="171"/>
      <c r="R592" s="56" t="s">
        <v>516</v>
      </c>
    </row>
    <row r="593">
      <c r="A593" s="56"/>
      <c r="B593" s="171"/>
      <c r="R593" s="56" t="s">
        <v>516</v>
      </c>
    </row>
    <row r="594">
      <c r="A594" s="56"/>
      <c r="B594" s="171"/>
      <c r="R594" s="56" t="s">
        <v>516</v>
      </c>
    </row>
    <row r="595">
      <c r="A595" s="56"/>
      <c r="B595" s="171"/>
      <c r="R595" s="56" t="s">
        <v>516</v>
      </c>
    </row>
    <row r="596">
      <c r="A596" s="56"/>
      <c r="B596" s="171"/>
      <c r="R596" s="56" t="s">
        <v>516</v>
      </c>
    </row>
    <row r="597">
      <c r="A597" s="56"/>
      <c r="B597" s="171"/>
      <c r="R597" s="56" t="s">
        <v>516</v>
      </c>
    </row>
    <row r="598">
      <c r="A598" s="56"/>
      <c r="B598" s="171"/>
      <c r="R598" s="56" t="s">
        <v>516</v>
      </c>
    </row>
    <row r="599">
      <c r="A599" s="56"/>
      <c r="B599" s="171"/>
      <c r="R599" s="56" t="s">
        <v>516</v>
      </c>
    </row>
    <row r="600">
      <c r="A600" s="56"/>
      <c r="B600" s="171"/>
      <c r="R600" s="56" t="s">
        <v>516</v>
      </c>
    </row>
    <row r="601">
      <c r="A601" s="56"/>
      <c r="B601" s="171"/>
      <c r="R601" s="56" t="s">
        <v>516</v>
      </c>
    </row>
    <row r="602">
      <c r="A602" s="56"/>
      <c r="B602" s="171"/>
      <c r="R602" s="56" t="s">
        <v>516</v>
      </c>
    </row>
    <row r="603">
      <c r="A603" s="56"/>
      <c r="B603" s="171"/>
      <c r="R603" s="56" t="s">
        <v>516</v>
      </c>
    </row>
    <row r="604">
      <c r="A604" s="56"/>
      <c r="B604" s="171"/>
      <c r="R604" s="56" t="s">
        <v>516</v>
      </c>
    </row>
    <row r="605">
      <c r="A605" s="56"/>
      <c r="B605" s="171"/>
      <c r="R605" s="56" t="s">
        <v>516</v>
      </c>
    </row>
    <row r="606">
      <c r="A606" s="56"/>
      <c r="B606" s="171"/>
      <c r="R606" s="56" t="s">
        <v>516</v>
      </c>
    </row>
    <row r="607">
      <c r="A607" s="56"/>
      <c r="B607" s="171"/>
      <c r="R607" s="56" t="s">
        <v>516</v>
      </c>
    </row>
    <row r="608">
      <c r="A608" s="56"/>
      <c r="B608" s="171"/>
      <c r="R608" s="56" t="s">
        <v>516</v>
      </c>
    </row>
    <row r="609">
      <c r="A609" s="56"/>
      <c r="B609" s="171"/>
      <c r="R609" s="56" t="s">
        <v>516</v>
      </c>
    </row>
    <row r="610">
      <c r="A610" s="56"/>
      <c r="B610" s="171"/>
      <c r="R610" s="56" t="s">
        <v>516</v>
      </c>
    </row>
    <row r="611">
      <c r="A611" s="56"/>
      <c r="B611" s="171"/>
      <c r="R611" s="56" t="s">
        <v>516</v>
      </c>
    </row>
    <row r="612">
      <c r="A612" s="56"/>
      <c r="B612" s="171"/>
      <c r="R612" s="56" t="s">
        <v>516</v>
      </c>
    </row>
    <row r="613">
      <c r="A613" s="56"/>
      <c r="B613" s="171"/>
      <c r="R613" s="56" t="s">
        <v>516</v>
      </c>
    </row>
    <row r="614">
      <c r="A614" s="56"/>
      <c r="B614" s="171"/>
      <c r="R614" s="56" t="s">
        <v>516</v>
      </c>
    </row>
    <row r="615">
      <c r="A615" s="56"/>
      <c r="B615" s="171"/>
      <c r="R615" s="56" t="s">
        <v>516</v>
      </c>
    </row>
    <row r="616">
      <c r="A616" s="56"/>
      <c r="B616" s="171"/>
      <c r="R616" s="56" t="s">
        <v>516</v>
      </c>
    </row>
    <row r="617">
      <c r="A617" s="56"/>
      <c r="B617" s="171"/>
      <c r="R617" s="56" t="s">
        <v>516</v>
      </c>
    </row>
    <row r="618">
      <c r="A618" s="56"/>
      <c r="B618" s="171"/>
      <c r="R618" s="56" t="s">
        <v>516</v>
      </c>
    </row>
    <row r="619">
      <c r="A619" s="56"/>
      <c r="B619" s="171"/>
      <c r="R619" s="56" t="s">
        <v>516</v>
      </c>
    </row>
    <row r="620">
      <c r="A620" s="56"/>
      <c r="B620" s="171"/>
      <c r="R620" s="56" t="s">
        <v>516</v>
      </c>
    </row>
    <row r="621">
      <c r="A621" s="56"/>
      <c r="B621" s="171"/>
      <c r="R621" s="56" t="s">
        <v>516</v>
      </c>
    </row>
    <row r="622">
      <c r="A622" s="56"/>
      <c r="B622" s="171"/>
      <c r="R622" s="56" t="s">
        <v>516</v>
      </c>
    </row>
    <row r="623">
      <c r="A623" s="56"/>
      <c r="B623" s="171"/>
      <c r="R623" s="56" t="s">
        <v>516</v>
      </c>
    </row>
    <row r="624">
      <c r="A624" s="56"/>
      <c r="B624" s="171"/>
      <c r="R624" s="56" t="s">
        <v>516</v>
      </c>
    </row>
    <row r="625">
      <c r="A625" s="56"/>
      <c r="B625" s="171"/>
      <c r="R625" s="56" t="s">
        <v>516</v>
      </c>
    </row>
    <row r="626">
      <c r="A626" s="56"/>
      <c r="B626" s="171"/>
      <c r="R626" s="56" t="s">
        <v>516</v>
      </c>
    </row>
    <row r="627">
      <c r="A627" s="56"/>
      <c r="B627" s="171"/>
      <c r="R627" s="56" t="s">
        <v>516</v>
      </c>
    </row>
    <row r="628">
      <c r="A628" s="56"/>
      <c r="B628" s="171"/>
      <c r="R628" s="56" t="s">
        <v>516</v>
      </c>
    </row>
    <row r="629">
      <c r="A629" s="56"/>
      <c r="B629" s="171"/>
      <c r="R629" s="56" t="s">
        <v>516</v>
      </c>
    </row>
    <row r="630">
      <c r="A630" s="56"/>
      <c r="B630" s="171"/>
      <c r="R630" s="56" t="s">
        <v>516</v>
      </c>
    </row>
    <row r="631">
      <c r="A631" s="56"/>
      <c r="B631" s="171"/>
      <c r="R631" s="56" t="s">
        <v>516</v>
      </c>
    </row>
    <row r="632">
      <c r="A632" s="56"/>
      <c r="B632" s="171"/>
      <c r="R632" s="56" t="s">
        <v>516</v>
      </c>
    </row>
    <row r="633">
      <c r="A633" s="56"/>
      <c r="B633" s="171"/>
      <c r="R633" s="56" t="s">
        <v>516</v>
      </c>
    </row>
    <row r="634">
      <c r="A634" s="56"/>
      <c r="B634" s="171"/>
      <c r="R634" s="56" t="s">
        <v>516</v>
      </c>
    </row>
    <row r="635">
      <c r="A635" s="56"/>
      <c r="B635" s="171"/>
      <c r="R635" s="56" t="s">
        <v>516</v>
      </c>
    </row>
    <row r="636">
      <c r="A636" s="56"/>
      <c r="B636" s="171"/>
      <c r="R636" s="56" t="s">
        <v>516</v>
      </c>
    </row>
    <row r="637">
      <c r="A637" s="56"/>
      <c r="B637" s="171"/>
      <c r="R637" s="56" t="s">
        <v>516</v>
      </c>
    </row>
    <row r="638">
      <c r="A638" s="56"/>
      <c r="B638" s="171"/>
      <c r="R638" s="56" t="s">
        <v>516</v>
      </c>
    </row>
    <row r="639">
      <c r="A639" s="56"/>
      <c r="B639" s="171"/>
      <c r="R639" s="56" t="s">
        <v>516</v>
      </c>
    </row>
    <row r="640">
      <c r="A640" s="56"/>
      <c r="B640" s="171"/>
      <c r="R640" s="56" t="s">
        <v>516</v>
      </c>
    </row>
    <row r="641">
      <c r="A641" s="56"/>
      <c r="B641" s="171"/>
      <c r="R641" s="56" t="s">
        <v>516</v>
      </c>
    </row>
    <row r="642">
      <c r="A642" s="56"/>
      <c r="B642" s="171"/>
      <c r="R642" s="56" t="s">
        <v>516</v>
      </c>
    </row>
    <row r="643">
      <c r="A643" s="56"/>
      <c r="B643" s="171"/>
      <c r="R643" s="56" t="s">
        <v>516</v>
      </c>
    </row>
    <row r="644">
      <c r="A644" s="56"/>
      <c r="B644" s="171"/>
      <c r="R644" s="56" t="s">
        <v>516</v>
      </c>
    </row>
    <row r="645">
      <c r="A645" s="56"/>
      <c r="B645" s="171"/>
      <c r="R645" s="56" t="s">
        <v>516</v>
      </c>
    </row>
    <row r="646">
      <c r="A646" s="56"/>
      <c r="B646" s="171"/>
      <c r="R646" s="56" t="s">
        <v>516</v>
      </c>
    </row>
    <row r="647">
      <c r="A647" s="56"/>
      <c r="B647" s="171"/>
      <c r="R647" s="56" t="s">
        <v>516</v>
      </c>
    </row>
    <row r="648">
      <c r="A648" s="56"/>
      <c r="B648" s="171"/>
      <c r="R648" s="56" t="s">
        <v>516</v>
      </c>
    </row>
    <row r="649">
      <c r="A649" s="56"/>
      <c r="B649" s="171"/>
      <c r="R649" s="56" t="s">
        <v>516</v>
      </c>
    </row>
    <row r="650">
      <c r="A650" s="56"/>
      <c r="B650" s="171"/>
      <c r="R650" s="56" t="s">
        <v>516</v>
      </c>
    </row>
    <row r="651">
      <c r="A651" s="56"/>
      <c r="B651" s="171"/>
      <c r="R651" s="56" t="s">
        <v>516</v>
      </c>
    </row>
    <row r="652">
      <c r="A652" s="56"/>
      <c r="B652" s="171"/>
      <c r="R652" s="56" t="s">
        <v>516</v>
      </c>
    </row>
    <row r="653">
      <c r="A653" s="56"/>
      <c r="B653" s="171"/>
      <c r="R653" s="56" t="s">
        <v>516</v>
      </c>
    </row>
    <row r="654">
      <c r="A654" s="56"/>
      <c r="B654" s="171"/>
      <c r="R654" s="56" t="s">
        <v>516</v>
      </c>
    </row>
    <row r="655">
      <c r="A655" s="56"/>
      <c r="B655" s="171"/>
      <c r="R655" s="56" t="s">
        <v>516</v>
      </c>
    </row>
    <row r="656">
      <c r="A656" s="56"/>
      <c r="B656" s="171"/>
      <c r="R656" s="56" t="s">
        <v>516</v>
      </c>
    </row>
    <row r="657">
      <c r="A657" s="56"/>
      <c r="B657" s="171"/>
      <c r="R657" s="56" t="s">
        <v>516</v>
      </c>
    </row>
    <row r="658">
      <c r="A658" s="56"/>
      <c r="B658" s="171"/>
      <c r="R658" s="56" t="s">
        <v>516</v>
      </c>
    </row>
    <row r="659">
      <c r="A659" s="56"/>
      <c r="B659" s="171"/>
      <c r="R659" s="56" t="s">
        <v>516</v>
      </c>
    </row>
    <row r="660">
      <c r="A660" s="56"/>
      <c r="B660" s="171"/>
      <c r="R660" s="56" t="s">
        <v>516</v>
      </c>
    </row>
    <row r="661">
      <c r="A661" s="56"/>
      <c r="B661" s="171"/>
      <c r="R661" s="56" t="s">
        <v>516</v>
      </c>
    </row>
    <row r="662">
      <c r="A662" s="56"/>
      <c r="B662" s="171"/>
      <c r="R662" s="56" t="s">
        <v>516</v>
      </c>
    </row>
    <row r="663">
      <c r="A663" s="56"/>
      <c r="B663" s="171"/>
      <c r="R663" s="56" t="s">
        <v>516</v>
      </c>
    </row>
    <row r="664">
      <c r="A664" s="56"/>
      <c r="B664" s="171"/>
      <c r="R664" s="56" t="s">
        <v>516</v>
      </c>
    </row>
    <row r="665">
      <c r="A665" s="56"/>
      <c r="B665" s="171"/>
      <c r="R665" s="56" t="s">
        <v>516</v>
      </c>
    </row>
    <row r="666">
      <c r="A666" s="56"/>
      <c r="B666" s="171"/>
      <c r="R666" s="56" t="s">
        <v>516</v>
      </c>
    </row>
    <row r="667">
      <c r="A667" s="56"/>
      <c r="B667" s="171"/>
      <c r="R667" s="56" t="s">
        <v>516</v>
      </c>
    </row>
    <row r="668">
      <c r="A668" s="56"/>
      <c r="B668" s="171"/>
      <c r="R668" s="56" t="s">
        <v>516</v>
      </c>
    </row>
    <row r="669">
      <c r="A669" s="56"/>
      <c r="B669" s="171"/>
      <c r="R669" s="56" t="s">
        <v>516</v>
      </c>
    </row>
    <row r="670">
      <c r="A670" s="56"/>
      <c r="B670" s="171"/>
      <c r="R670" s="56" t="s">
        <v>516</v>
      </c>
    </row>
    <row r="671">
      <c r="A671" s="56"/>
      <c r="B671" s="171"/>
      <c r="R671" s="56" t="s">
        <v>516</v>
      </c>
    </row>
    <row r="672">
      <c r="A672" s="56"/>
      <c r="B672" s="171"/>
      <c r="R672" s="56" t="s">
        <v>516</v>
      </c>
    </row>
    <row r="673">
      <c r="A673" s="56"/>
      <c r="B673" s="171"/>
      <c r="R673" s="56" t="s">
        <v>516</v>
      </c>
    </row>
    <row r="674">
      <c r="A674" s="56"/>
      <c r="B674" s="171"/>
      <c r="R674" s="56" t="s">
        <v>516</v>
      </c>
    </row>
    <row r="675">
      <c r="A675" s="56"/>
      <c r="B675" s="171"/>
      <c r="R675" s="56" t="s">
        <v>516</v>
      </c>
    </row>
    <row r="676">
      <c r="A676" s="56"/>
      <c r="B676" s="171"/>
      <c r="R676" s="56" t="s">
        <v>516</v>
      </c>
    </row>
    <row r="677">
      <c r="A677" s="56"/>
      <c r="B677" s="171"/>
      <c r="R677" s="56" t="s">
        <v>516</v>
      </c>
    </row>
    <row r="678">
      <c r="A678" s="56"/>
      <c r="B678" s="171"/>
      <c r="R678" s="56" t="s">
        <v>516</v>
      </c>
    </row>
    <row r="679">
      <c r="A679" s="56"/>
      <c r="B679" s="171"/>
      <c r="R679" s="56" t="s">
        <v>516</v>
      </c>
    </row>
    <row r="680">
      <c r="A680" s="56"/>
      <c r="B680" s="171"/>
      <c r="R680" s="56" t="s">
        <v>516</v>
      </c>
    </row>
    <row r="681">
      <c r="A681" s="56"/>
      <c r="B681" s="171"/>
      <c r="R681" s="56" t="s">
        <v>516</v>
      </c>
    </row>
    <row r="682">
      <c r="A682" s="56"/>
      <c r="B682" s="171"/>
      <c r="R682" s="56" t="s">
        <v>516</v>
      </c>
    </row>
    <row r="683">
      <c r="A683" s="56"/>
      <c r="B683" s="171"/>
      <c r="R683" s="56" t="s">
        <v>516</v>
      </c>
    </row>
    <row r="684">
      <c r="A684" s="56"/>
      <c r="B684" s="171"/>
      <c r="R684" s="56" t="s">
        <v>516</v>
      </c>
    </row>
    <row r="685">
      <c r="A685" s="56"/>
      <c r="B685" s="171"/>
      <c r="R685" s="56" t="s">
        <v>516</v>
      </c>
    </row>
    <row r="686">
      <c r="A686" s="56"/>
      <c r="B686" s="171"/>
      <c r="R686" s="56" t="s">
        <v>516</v>
      </c>
    </row>
    <row r="687">
      <c r="A687" s="56"/>
      <c r="B687" s="171"/>
      <c r="R687" s="56" t="s">
        <v>516</v>
      </c>
    </row>
    <row r="688">
      <c r="A688" s="56"/>
      <c r="B688" s="171"/>
      <c r="R688" s="56" t="s">
        <v>516</v>
      </c>
    </row>
    <row r="689">
      <c r="A689" s="56"/>
      <c r="B689" s="171"/>
      <c r="R689" s="56" t="s">
        <v>516</v>
      </c>
    </row>
    <row r="690">
      <c r="A690" s="56"/>
      <c r="B690" s="171"/>
      <c r="R690" s="56" t="s">
        <v>516</v>
      </c>
    </row>
    <row r="691">
      <c r="A691" s="56"/>
      <c r="B691" s="171"/>
      <c r="R691" s="56" t="s">
        <v>516</v>
      </c>
    </row>
    <row r="692">
      <c r="A692" s="56"/>
      <c r="B692" s="171"/>
      <c r="R692" s="56" t="s">
        <v>516</v>
      </c>
    </row>
    <row r="693">
      <c r="A693" s="56"/>
      <c r="B693" s="171"/>
      <c r="R693" s="56" t="s">
        <v>516</v>
      </c>
    </row>
    <row r="694">
      <c r="A694" s="56"/>
      <c r="B694" s="171"/>
      <c r="R694" s="56" t="s">
        <v>516</v>
      </c>
    </row>
    <row r="695">
      <c r="A695" s="56"/>
      <c r="B695" s="171"/>
      <c r="R695" s="56" t="s">
        <v>516</v>
      </c>
    </row>
    <row r="696">
      <c r="A696" s="56"/>
      <c r="B696" s="171"/>
      <c r="R696" s="56" t="s">
        <v>516</v>
      </c>
    </row>
    <row r="697">
      <c r="A697" s="56"/>
      <c r="B697" s="171"/>
      <c r="R697" s="56" t="s">
        <v>516</v>
      </c>
    </row>
    <row r="698">
      <c r="A698" s="56"/>
      <c r="B698" s="171"/>
      <c r="R698" s="56" t="s">
        <v>516</v>
      </c>
    </row>
    <row r="699">
      <c r="A699" s="56"/>
      <c r="B699" s="171"/>
      <c r="R699" s="56" t="s">
        <v>516</v>
      </c>
    </row>
    <row r="700">
      <c r="A700" s="56"/>
      <c r="B700" s="171"/>
      <c r="R700" s="56" t="s">
        <v>516</v>
      </c>
    </row>
    <row r="701">
      <c r="A701" s="56"/>
      <c r="B701" s="171"/>
      <c r="R701" s="56" t="s">
        <v>516</v>
      </c>
    </row>
    <row r="702">
      <c r="A702" s="56"/>
      <c r="B702" s="171"/>
      <c r="R702" s="56" t="s">
        <v>516</v>
      </c>
    </row>
    <row r="703">
      <c r="A703" s="56"/>
      <c r="B703" s="171"/>
      <c r="R703" s="56" t="s">
        <v>516</v>
      </c>
    </row>
    <row r="704">
      <c r="A704" s="56"/>
      <c r="B704" s="171"/>
      <c r="R704" s="56" t="s">
        <v>516</v>
      </c>
    </row>
    <row r="705">
      <c r="A705" s="56"/>
      <c r="B705" s="171"/>
      <c r="R705" s="56" t="s">
        <v>516</v>
      </c>
    </row>
    <row r="706">
      <c r="A706" s="56"/>
      <c r="B706" s="171"/>
      <c r="R706" s="56" t="s">
        <v>516</v>
      </c>
    </row>
    <row r="707">
      <c r="A707" s="56"/>
      <c r="B707" s="171"/>
      <c r="R707" s="56" t="s">
        <v>516</v>
      </c>
    </row>
    <row r="708">
      <c r="A708" s="56"/>
      <c r="B708" s="171"/>
      <c r="R708" s="56" t="s">
        <v>516</v>
      </c>
    </row>
    <row r="709">
      <c r="A709" s="56"/>
      <c r="B709" s="171"/>
      <c r="R709" s="56" t="s">
        <v>516</v>
      </c>
    </row>
    <row r="710">
      <c r="A710" s="56"/>
      <c r="B710" s="171"/>
      <c r="R710" s="56" t="s">
        <v>516</v>
      </c>
    </row>
    <row r="711">
      <c r="A711" s="56"/>
      <c r="B711" s="171"/>
      <c r="R711" s="56" t="s">
        <v>516</v>
      </c>
    </row>
    <row r="712">
      <c r="A712" s="56"/>
      <c r="B712" s="171"/>
      <c r="R712" s="56" t="s">
        <v>516</v>
      </c>
    </row>
    <row r="713">
      <c r="A713" s="56"/>
      <c r="B713" s="171"/>
      <c r="R713" s="56" t="s">
        <v>516</v>
      </c>
    </row>
    <row r="714">
      <c r="A714" s="56"/>
      <c r="B714" s="171"/>
      <c r="R714" s="56" t="s">
        <v>516</v>
      </c>
    </row>
    <row r="715">
      <c r="A715" s="56"/>
      <c r="B715" s="171"/>
      <c r="R715" s="56" t="s">
        <v>516</v>
      </c>
    </row>
    <row r="716">
      <c r="A716" s="56"/>
      <c r="B716" s="171"/>
      <c r="R716" s="56" t="s">
        <v>516</v>
      </c>
    </row>
    <row r="717">
      <c r="A717" s="56"/>
      <c r="B717" s="171"/>
      <c r="R717" s="56" t="s">
        <v>516</v>
      </c>
    </row>
    <row r="718">
      <c r="A718" s="56"/>
      <c r="B718" s="171"/>
      <c r="R718" s="56" t="s">
        <v>516</v>
      </c>
    </row>
    <row r="719">
      <c r="A719" s="56"/>
      <c r="B719" s="171"/>
      <c r="R719" s="56" t="s">
        <v>516</v>
      </c>
    </row>
    <row r="720">
      <c r="A720" s="56"/>
      <c r="B720" s="171"/>
      <c r="R720" s="56" t="s">
        <v>516</v>
      </c>
    </row>
    <row r="721">
      <c r="A721" s="56"/>
      <c r="B721" s="171"/>
      <c r="R721" s="56" t="s">
        <v>516</v>
      </c>
    </row>
    <row r="722">
      <c r="A722" s="56"/>
      <c r="B722" s="171"/>
      <c r="R722" s="56" t="s">
        <v>516</v>
      </c>
    </row>
    <row r="723">
      <c r="A723" s="56"/>
      <c r="B723" s="171"/>
      <c r="R723" s="56" t="s">
        <v>516</v>
      </c>
    </row>
    <row r="724">
      <c r="A724" s="56"/>
      <c r="B724" s="171"/>
      <c r="R724" s="56" t="s">
        <v>516</v>
      </c>
    </row>
    <row r="725">
      <c r="A725" s="56"/>
      <c r="B725" s="171"/>
      <c r="R725" s="56" t="s">
        <v>516</v>
      </c>
    </row>
    <row r="726">
      <c r="A726" s="56"/>
      <c r="B726" s="171"/>
      <c r="R726" s="56" t="s">
        <v>516</v>
      </c>
    </row>
    <row r="727">
      <c r="A727" s="56"/>
      <c r="B727" s="171"/>
      <c r="R727" s="56" t="s">
        <v>516</v>
      </c>
    </row>
    <row r="728">
      <c r="A728" s="56"/>
      <c r="B728" s="171"/>
      <c r="R728" s="56" t="s">
        <v>516</v>
      </c>
    </row>
    <row r="729">
      <c r="A729" s="56"/>
      <c r="B729" s="171"/>
      <c r="R729" s="56" t="s">
        <v>516</v>
      </c>
    </row>
    <row r="730">
      <c r="A730" s="56"/>
      <c r="B730" s="171"/>
      <c r="R730" s="56" t="s">
        <v>516</v>
      </c>
    </row>
    <row r="731">
      <c r="A731" s="56"/>
      <c r="B731" s="171"/>
      <c r="R731" s="56" t="s">
        <v>516</v>
      </c>
    </row>
    <row r="732">
      <c r="A732" s="56"/>
      <c r="B732" s="171"/>
      <c r="R732" s="56" t="s">
        <v>516</v>
      </c>
    </row>
    <row r="733">
      <c r="A733" s="56"/>
      <c r="B733" s="171"/>
      <c r="R733" s="56" t="s">
        <v>516</v>
      </c>
    </row>
    <row r="734">
      <c r="A734" s="56"/>
      <c r="B734" s="171"/>
      <c r="R734" s="56" t="s">
        <v>516</v>
      </c>
    </row>
    <row r="735">
      <c r="A735" s="56"/>
      <c r="B735" s="171"/>
      <c r="R735" s="56" t="s">
        <v>516</v>
      </c>
    </row>
    <row r="736">
      <c r="A736" s="56"/>
      <c r="B736" s="171"/>
      <c r="R736" s="56" t="s">
        <v>516</v>
      </c>
    </row>
    <row r="737">
      <c r="A737" s="56"/>
      <c r="B737" s="171"/>
      <c r="R737" s="56" t="s">
        <v>516</v>
      </c>
    </row>
    <row r="738">
      <c r="A738" s="56"/>
      <c r="B738" s="171"/>
      <c r="R738" s="56" t="s">
        <v>516</v>
      </c>
    </row>
    <row r="739">
      <c r="A739" s="56"/>
      <c r="B739" s="171"/>
      <c r="R739" s="56" t="s">
        <v>516</v>
      </c>
    </row>
    <row r="740">
      <c r="A740" s="56"/>
      <c r="B740" s="171"/>
      <c r="R740" s="56" t="s">
        <v>516</v>
      </c>
    </row>
    <row r="741">
      <c r="A741" s="56"/>
      <c r="B741" s="171"/>
      <c r="R741" s="56" t="s">
        <v>516</v>
      </c>
    </row>
    <row r="742">
      <c r="A742" s="56"/>
      <c r="B742" s="171"/>
      <c r="R742" s="56" t="s">
        <v>516</v>
      </c>
    </row>
    <row r="743">
      <c r="A743" s="56"/>
      <c r="B743" s="171"/>
      <c r="R743" s="56" t="s">
        <v>516</v>
      </c>
    </row>
    <row r="744">
      <c r="A744" s="56"/>
      <c r="B744" s="171"/>
      <c r="R744" s="56" t="s">
        <v>516</v>
      </c>
    </row>
    <row r="745">
      <c r="A745" s="56"/>
      <c r="B745" s="171"/>
      <c r="R745" s="56" t="s">
        <v>516</v>
      </c>
    </row>
    <row r="746">
      <c r="A746" s="56"/>
      <c r="B746" s="171"/>
      <c r="R746" s="56" t="s">
        <v>516</v>
      </c>
    </row>
    <row r="747">
      <c r="A747" s="56"/>
      <c r="B747" s="171"/>
      <c r="R747" s="56" t="s">
        <v>516</v>
      </c>
    </row>
    <row r="748">
      <c r="A748" s="56"/>
      <c r="B748" s="171"/>
      <c r="R748" s="56" t="s">
        <v>516</v>
      </c>
    </row>
    <row r="749">
      <c r="A749" s="56"/>
      <c r="B749" s="171"/>
      <c r="R749" s="56" t="s">
        <v>516</v>
      </c>
    </row>
    <row r="750">
      <c r="A750" s="56"/>
      <c r="B750" s="171"/>
      <c r="R750" s="56" t="s">
        <v>516</v>
      </c>
    </row>
    <row r="751">
      <c r="A751" s="56"/>
      <c r="B751" s="171"/>
      <c r="R751" s="56" t="s">
        <v>516</v>
      </c>
    </row>
    <row r="752">
      <c r="A752" s="56"/>
      <c r="B752" s="171"/>
      <c r="R752" s="56" t="s">
        <v>516</v>
      </c>
    </row>
    <row r="753">
      <c r="A753" s="56"/>
      <c r="B753" s="171"/>
      <c r="R753" s="56" t="s">
        <v>516</v>
      </c>
    </row>
    <row r="754">
      <c r="A754" s="56"/>
      <c r="B754" s="171"/>
      <c r="R754" s="56" t="s">
        <v>516</v>
      </c>
    </row>
    <row r="755">
      <c r="A755" s="56"/>
      <c r="B755" s="171"/>
      <c r="R755" s="56" t="s">
        <v>516</v>
      </c>
    </row>
    <row r="756">
      <c r="A756" s="56"/>
      <c r="B756" s="171"/>
      <c r="R756" s="56" t="s">
        <v>516</v>
      </c>
    </row>
    <row r="757">
      <c r="A757" s="56"/>
      <c r="B757" s="171"/>
      <c r="R757" s="56" t="s">
        <v>516</v>
      </c>
    </row>
    <row r="758">
      <c r="A758" s="56"/>
      <c r="B758" s="171"/>
      <c r="R758" s="56" t="s">
        <v>516</v>
      </c>
    </row>
    <row r="759">
      <c r="A759" s="56"/>
      <c r="B759" s="171"/>
      <c r="R759" s="56" t="s">
        <v>516</v>
      </c>
    </row>
    <row r="760">
      <c r="A760" s="56"/>
      <c r="B760" s="171"/>
      <c r="R760" s="56" t="s">
        <v>516</v>
      </c>
    </row>
    <row r="761">
      <c r="A761" s="56"/>
      <c r="B761" s="171"/>
      <c r="R761" s="56" t="s">
        <v>516</v>
      </c>
    </row>
    <row r="762">
      <c r="A762" s="56"/>
      <c r="B762" s="171"/>
      <c r="R762" s="56" t="s">
        <v>516</v>
      </c>
    </row>
    <row r="763">
      <c r="A763" s="56"/>
      <c r="B763" s="171"/>
      <c r="R763" s="56" t="s">
        <v>516</v>
      </c>
    </row>
    <row r="764">
      <c r="A764" s="56"/>
      <c r="B764" s="171"/>
      <c r="R764" s="56" t="s">
        <v>516</v>
      </c>
    </row>
    <row r="765">
      <c r="A765" s="56"/>
      <c r="B765" s="171"/>
      <c r="R765" s="56" t="s">
        <v>516</v>
      </c>
    </row>
    <row r="766">
      <c r="A766" s="56"/>
      <c r="B766" s="171"/>
      <c r="R766" s="56" t="s">
        <v>516</v>
      </c>
    </row>
    <row r="767">
      <c r="A767" s="56"/>
      <c r="B767" s="171"/>
      <c r="R767" s="56" t="s">
        <v>516</v>
      </c>
    </row>
    <row r="768">
      <c r="A768" s="56"/>
      <c r="B768" s="171"/>
      <c r="R768" s="56" t="s">
        <v>516</v>
      </c>
    </row>
    <row r="769">
      <c r="A769" s="56"/>
      <c r="B769" s="171"/>
      <c r="R769" s="56" t="s">
        <v>516</v>
      </c>
    </row>
    <row r="770">
      <c r="A770" s="56"/>
      <c r="B770" s="171"/>
      <c r="R770" s="56" t="s">
        <v>516</v>
      </c>
    </row>
    <row r="771">
      <c r="A771" s="56"/>
      <c r="B771" s="171"/>
      <c r="R771" s="56" t="s">
        <v>516</v>
      </c>
    </row>
    <row r="772">
      <c r="A772" s="56"/>
      <c r="B772" s="171"/>
      <c r="R772" s="56" t="s">
        <v>516</v>
      </c>
    </row>
    <row r="773">
      <c r="A773" s="56"/>
      <c r="B773" s="171"/>
      <c r="R773" s="56" t="s">
        <v>516</v>
      </c>
    </row>
    <row r="774">
      <c r="A774" s="56"/>
      <c r="B774" s="171"/>
      <c r="R774" s="56" t="s">
        <v>516</v>
      </c>
    </row>
    <row r="775">
      <c r="A775" s="56"/>
      <c r="B775" s="171"/>
      <c r="R775" s="56" t="s">
        <v>516</v>
      </c>
    </row>
    <row r="776">
      <c r="A776" s="56"/>
      <c r="B776" s="171"/>
      <c r="R776" s="56" t="s">
        <v>516</v>
      </c>
    </row>
    <row r="777">
      <c r="A777" s="56"/>
      <c r="B777" s="171"/>
      <c r="R777" s="56" t="s">
        <v>516</v>
      </c>
    </row>
    <row r="778">
      <c r="A778" s="56"/>
      <c r="B778" s="171"/>
      <c r="R778" s="56" t="s">
        <v>516</v>
      </c>
    </row>
    <row r="779">
      <c r="A779" s="56"/>
      <c r="B779" s="171"/>
      <c r="R779" s="56" t="s">
        <v>516</v>
      </c>
    </row>
    <row r="780">
      <c r="A780" s="56"/>
      <c r="B780" s="171"/>
      <c r="R780" s="56" t="s">
        <v>516</v>
      </c>
    </row>
    <row r="781">
      <c r="A781" s="56"/>
      <c r="B781" s="171"/>
      <c r="R781" s="56" t="s">
        <v>516</v>
      </c>
    </row>
    <row r="782">
      <c r="A782" s="56"/>
      <c r="B782" s="171"/>
      <c r="R782" s="56" t="s">
        <v>516</v>
      </c>
    </row>
    <row r="783">
      <c r="A783" s="56"/>
      <c r="B783" s="171"/>
      <c r="R783" s="56" t="s">
        <v>516</v>
      </c>
    </row>
    <row r="784">
      <c r="A784" s="56"/>
      <c r="B784" s="171"/>
      <c r="R784" s="56" t="s">
        <v>516</v>
      </c>
    </row>
    <row r="785">
      <c r="A785" s="56"/>
      <c r="B785" s="171"/>
      <c r="R785" s="56" t="s">
        <v>516</v>
      </c>
    </row>
    <row r="786">
      <c r="A786" s="56"/>
      <c r="B786" s="171"/>
      <c r="R786" s="56" t="s">
        <v>516</v>
      </c>
    </row>
    <row r="787">
      <c r="A787" s="56"/>
      <c r="B787" s="171"/>
      <c r="R787" s="56" t="s">
        <v>516</v>
      </c>
    </row>
    <row r="788">
      <c r="A788" s="56"/>
      <c r="B788" s="171"/>
      <c r="R788" s="56" t="s">
        <v>516</v>
      </c>
    </row>
    <row r="789">
      <c r="A789" s="56"/>
      <c r="B789" s="171"/>
      <c r="R789" s="56" t="s">
        <v>516</v>
      </c>
    </row>
    <row r="790">
      <c r="A790" s="56"/>
      <c r="B790" s="171"/>
      <c r="R790" s="56" t="s">
        <v>516</v>
      </c>
    </row>
    <row r="791">
      <c r="A791" s="56"/>
      <c r="B791" s="171"/>
      <c r="R791" s="56" t="s">
        <v>516</v>
      </c>
    </row>
    <row r="792">
      <c r="A792" s="56"/>
      <c r="B792" s="171"/>
      <c r="R792" s="56" t="s">
        <v>516</v>
      </c>
    </row>
    <row r="793">
      <c r="A793" s="56"/>
      <c r="B793" s="171"/>
      <c r="R793" s="56" t="s">
        <v>516</v>
      </c>
    </row>
    <row r="794">
      <c r="A794" s="56"/>
      <c r="B794" s="171"/>
      <c r="R794" s="56" t="s">
        <v>516</v>
      </c>
    </row>
    <row r="795">
      <c r="A795" s="56"/>
      <c r="B795" s="171"/>
      <c r="R795" s="56" t="s">
        <v>516</v>
      </c>
    </row>
    <row r="796">
      <c r="A796" s="56"/>
      <c r="B796" s="171"/>
      <c r="R796" s="56" t="s">
        <v>516</v>
      </c>
    </row>
    <row r="797">
      <c r="A797" s="56"/>
      <c r="B797" s="171"/>
      <c r="R797" s="56" t="s">
        <v>516</v>
      </c>
    </row>
    <row r="798">
      <c r="A798" s="56"/>
      <c r="B798" s="171"/>
      <c r="R798" s="56" t="s">
        <v>516</v>
      </c>
    </row>
    <row r="799">
      <c r="A799" s="56"/>
      <c r="B799" s="171"/>
      <c r="R799" s="56" t="s">
        <v>516</v>
      </c>
    </row>
    <row r="800">
      <c r="A800" s="56"/>
      <c r="B800" s="171"/>
      <c r="R800" s="56" t="s">
        <v>516</v>
      </c>
    </row>
    <row r="801">
      <c r="A801" s="56"/>
      <c r="B801" s="171"/>
      <c r="R801" s="56" t="s">
        <v>516</v>
      </c>
    </row>
    <row r="802">
      <c r="A802" s="56"/>
      <c r="B802" s="171"/>
      <c r="R802" s="56" t="s">
        <v>516</v>
      </c>
    </row>
    <row r="803">
      <c r="A803" s="56"/>
      <c r="B803" s="171"/>
      <c r="R803" s="56" t="s">
        <v>516</v>
      </c>
    </row>
    <row r="804">
      <c r="A804" s="56"/>
      <c r="B804" s="171"/>
      <c r="R804" s="56" t="s">
        <v>516</v>
      </c>
    </row>
    <row r="805">
      <c r="A805" s="56"/>
      <c r="B805" s="171"/>
      <c r="R805" s="56" t="s">
        <v>516</v>
      </c>
    </row>
    <row r="806">
      <c r="A806" s="56"/>
      <c r="B806" s="171"/>
      <c r="R806" s="56" t="s">
        <v>516</v>
      </c>
    </row>
    <row r="807">
      <c r="A807" s="56"/>
      <c r="B807" s="171"/>
      <c r="R807" s="56" t="s">
        <v>516</v>
      </c>
    </row>
    <row r="808">
      <c r="A808" s="56"/>
      <c r="B808" s="171"/>
      <c r="R808" s="56" t="s">
        <v>516</v>
      </c>
    </row>
    <row r="809">
      <c r="A809" s="56"/>
      <c r="B809" s="171"/>
      <c r="R809" s="56" t="s">
        <v>516</v>
      </c>
    </row>
    <row r="810">
      <c r="A810" s="56"/>
      <c r="B810" s="171"/>
      <c r="R810" s="56" t="s">
        <v>516</v>
      </c>
    </row>
    <row r="811">
      <c r="A811" s="56"/>
      <c r="B811" s="171"/>
      <c r="R811" s="56" t="s">
        <v>516</v>
      </c>
    </row>
    <row r="812">
      <c r="A812" s="56"/>
      <c r="B812" s="171"/>
      <c r="R812" s="56" t="s">
        <v>516</v>
      </c>
    </row>
    <row r="813">
      <c r="A813" s="56"/>
      <c r="B813" s="171"/>
      <c r="R813" s="56" t="s">
        <v>516</v>
      </c>
    </row>
    <row r="814">
      <c r="A814" s="56"/>
      <c r="B814" s="171"/>
      <c r="R814" s="56" t="s">
        <v>516</v>
      </c>
    </row>
    <row r="815">
      <c r="A815" s="56"/>
      <c r="B815" s="171"/>
      <c r="R815" s="56" t="s">
        <v>516</v>
      </c>
    </row>
    <row r="816">
      <c r="A816" s="56"/>
      <c r="B816" s="171"/>
      <c r="R816" s="56" t="s">
        <v>516</v>
      </c>
    </row>
    <row r="817">
      <c r="A817" s="56"/>
      <c r="B817" s="171"/>
      <c r="R817" s="56" t="s">
        <v>516</v>
      </c>
    </row>
    <row r="818">
      <c r="A818" s="56"/>
      <c r="B818" s="171"/>
      <c r="R818" s="56" t="s">
        <v>516</v>
      </c>
    </row>
    <row r="819">
      <c r="A819" s="56"/>
      <c r="B819" s="171"/>
      <c r="R819" s="56" t="s">
        <v>516</v>
      </c>
    </row>
    <row r="820">
      <c r="A820" s="56"/>
      <c r="B820" s="171"/>
      <c r="R820" s="56" t="s">
        <v>516</v>
      </c>
    </row>
    <row r="821">
      <c r="A821" s="56"/>
      <c r="B821" s="171"/>
      <c r="R821" s="56" t="s">
        <v>516</v>
      </c>
    </row>
    <row r="822">
      <c r="A822" s="56"/>
      <c r="B822" s="171"/>
      <c r="R822" s="56" t="s">
        <v>516</v>
      </c>
    </row>
    <row r="823">
      <c r="A823" s="56"/>
      <c r="B823" s="171"/>
      <c r="R823" s="56" t="s">
        <v>516</v>
      </c>
    </row>
    <row r="824">
      <c r="A824" s="56"/>
      <c r="B824" s="171"/>
      <c r="R824" s="56" t="s">
        <v>516</v>
      </c>
    </row>
    <row r="825">
      <c r="A825" s="56"/>
      <c r="B825" s="171"/>
      <c r="R825" s="56" t="s">
        <v>516</v>
      </c>
    </row>
    <row r="826">
      <c r="A826" s="56"/>
      <c r="B826" s="171"/>
      <c r="R826" s="56" t="s">
        <v>516</v>
      </c>
    </row>
    <row r="827">
      <c r="A827" s="56"/>
      <c r="B827" s="171"/>
      <c r="R827" s="56" t="s">
        <v>516</v>
      </c>
    </row>
    <row r="828">
      <c r="A828" s="56"/>
      <c r="B828" s="171"/>
      <c r="R828" s="56" t="s">
        <v>516</v>
      </c>
    </row>
    <row r="829">
      <c r="A829" s="56"/>
      <c r="B829" s="171"/>
      <c r="R829" s="56" t="s">
        <v>516</v>
      </c>
    </row>
    <row r="830">
      <c r="A830" s="56"/>
      <c r="B830" s="171"/>
      <c r="R830" s="56" t="s">
        <v>516</v>
      </c>
    </row>
    <row r="831">
      <c r="A831" s="56"/>
      <c r="B831" s="171"/>
      <c r="R831" s="56" t="s">
        <v>516</v>
      </c>
    </row>
    <row r="832">
      <c r="A832" s="56"/>
      <c r="B832" s="171"/>
      <c r="R832" s="56" t="s">
        <v>516</v>
      </c>
    </row>
    <row r="833">
      <c r="A833" s="56"/>
      <c r="B833" s="171"/>
      <c r="R833" s="56" t="s">
        <v>516</v>
      </c>
    </row>
    <row r="834">
      <c r="A834" s="56"/>
      <c r="B834" s="171"/>
      <c r="R834" s="56" t="s">
        <v>516</v>
      </c>
    </row>
    <row r="835">
      <c r="A835" s="56"/>
      <c r="B835" s="171"/>
      <c r="R835" s="56" t="s">
        <v>516</v>
      </c>
    </row>
    <row r="836">
      <c r="A836" s="56"/>
      <c r="B836" s="171"/>
      <c r="R836" s="56" t="s">
        <v>516</v>
      </c>
    </row>
    <row r="837">
      <c r="A837" s="56"/>
      <c r="B837" s="171"/>
      <c r="R837" s="56" t="s">
        <v>516</v>
      </c>
    </row>
    <row r="838">
      <c r="A838" s="56"/>
      <c r="B838" s="171"/>
      <c r="R838" s="56" t="s">
        <v>516</v>
      </c>
    </row>
    <row r="839">
      <c r="A839" s="56"/>
      <c r="B839" s="171"/>
      <c r="R839" s="56" t="s">
        <v>516</v>
      </c>
    </row>
    <row r="840">
      <c r="A840" s="56"/>
      <c r="B840" s="171"/>
      <c r="R840" s="56" t="s">
        <v>516</v>
      </c>
    </row>
    <row r="841">
      <c r="A841" s="56"/>
      <c r="B841" s="171"/>
      <c r="R841" s="56" t="s">
        <v>516</v>
      </c>
    </row>
    <row r="842">
      <c r="A842" s="56"/>
      <c r="B842" s="171"/>
      <c r="R842" s="56" t="s">
        <v>516</v>
      </c>
    </row>
    <row r="843">
      <c r="A843" s="56"/>
      <c r="B843" s="171"/>
      <c r="R843" s="56" t="s">
        <v>516</v>
      </c>
    </row>
    <row r="844">
      <c r="A844" s="56"/>
      <c r="B844" s="171"/>
      <c r="R844" s="56" t="s">
        <v>516</v>
      </c>
    </row>
    <row r="845">
      <c r="A845" s="56"/>
      <c r="B845" s="171"/>
      <c r="R845" s="56" t="s">
        <v>516</v>
      </c>
    </row>
    <row r="846">
      <c r="A846" s="56"/>
      <c r="B846" s="171"/>
      <c r="R846" s="56" t="s">
        <v>516</v>
      </c>
    </row>
    <row r="847">
      <c r="A847" s="56"/>
      <c r="B847" s="171"/>
      <c r="R847" s="56" t="s">
        <v>516</v>
      </c>
    </row>
    <row r="848">
      <c r="A848" s="56"/>
      <c r="B848" s="171"/>
      <c r="R848" s="56" t="s">
        <v>516</v>
      </c>
    </row>
    <row r="849">
      <c r="A849" s="56"/>
      <c r="B849" s="171"/>
      <c r="R849" s="56" t="s">
        <v>516</v>
      </c>
    </row>
    <row r="850">
      <c r="A850" s="56"/>
      <c r="B850" s="171"/>
      <c r="R850" s="56" t="s">
        <v>516</v>
      </c>
    </row>
    <row r="851">
      <c r="A851" s="56"/>
      <c r="B851" s="171"/>
      <c r="R851" s="56" t="s">
        <v>516</v>
      </c>
    </row>
    <row r="852">
      <c r="A852" s="56"/>
      <c r="B852" s="171"/>
      <c r="R852" s="56" t="s">
        <v>516</v>
      </c>
    </row>
    <row r="853">
      <c r="A853" s="56"/>
      <c r="B853" s="171"/>
      <c r="R853" s="56" t="s">
        <v>516</v>
      </c>
    </row>
    <row r="854">
      <c r="A854" s="56"/>
      <c r="B854" s="171"/>
      <c r="R854" s="56" t="s">
        <v>516</v>
      </c>
    </row>
    <row r="855">
      <c r="A855" s="56"/>
      <c r="B855" s="171"/>
      <c r="R855" s="56" t="s">
        <v>516</v>
      </c>
    </row>
    <row r="856">
      <c r="A856" s="56"/>
      <c r="B856" s="171"/>
      <c r="R856" s="56" t="s">
        <v>516</v>
      </c>
    </row>
    <row r="857">
      <c r="A857" s="56"/>
      <c r="B857" s="171"/>
      <c r="R857" s="56" t="s">
        <v>516</v>
      </c>
    </row>
    <row r="858">
      <c r="A858" s="56"/>
      <c r="B858" s="171"/>
      <c r="R858" s="56" t="s">
        <v>516</v>
      </c>
    </row>
    <row r="859">
      <c r="A859" s="56"/>
      <c r="B859" s="171"/>
      <c r="R859" s="56" t="s">
        <v>516</v>
      </c>
    </row>
    <row r="860">
      <c r="A860" s="56"/>
      <c r="B860" s="171"/>
      <c r="R860" s="56" t="s">
        <v>516</v>
      </c>
    </row>
    <row r="861">
      <c r="A861" s="56"/>
      <c r="B861" s="171"/>
      <c r="R861" s="56" t="s">
        <v>516</v>
      </c>
    </row>
    <row r="862">
      <c r="A862" s="56"/>
      <c r="B862" s="171"/>
      <c r="R862" s="56" t="s">
        <v>516</v>
      </c>
    </row>
    <row r="863">
      <c r="A863" s="56"/>
      <c r="B863" s="171"/>
      <c r="R863" s="56" t="s">
        <v>516</v>
      </c>
    </row>
    <row r="864">
      <c r="A864" s="56"/>
      <c r="B864" s="171"/>
      <c r="R864" s="56" t="s">
        <v>516</v>
      </c>
    </row>
    <row r="865">
      <c r="A865" s="56"/>
      <c r="B865" s="171"/>
      <c r="R865" s="56" t="s">
        <v>516</v>
      </c>
    </row>
    <row r="866">
      <c r="A866" s="56"/>
      <c r="B866" s="171"/>
      <c r="R866" s="56" t="s">
        <v>516</v>
      </c>
    </row>
    <row r="867">
      <c r="A867" s="56"/>
      <c r="B867" s="171"/>
      <c r="R867" s="56" t="s">
        <v>516</v>
      </c>
    </row>
    <row r="868">
      <c r="A868" s="56"/>
      <c r="B868" s="171"/>
      <c r="R868" s="56" t="s">
        <v>516</v>
      </c>
    </row>
    <row r="869">
      <c r="A869" s="56"/>
      <c r="B869" s="171"/>
      <c r="R869" s="56" t="s">
        <v>516</v>
      </c>
    </row>
    <row r="870">
      <c r="A870" s="56"/>
      <c r="B870" s="171"/>
      <c r="R870" s="56" t="s">
        <v>516</v>
      </c>
    </row>
    <row r="871">
      <c r="A871" s="56"/>
      <c r="B871" s="171"/>
      <c r="R871" s="56" t="s">
        <v>516</v>
      </c>
    </row>
    <row r="872">
      <c r="A872" s="56"/>
      <c r="B872" s="171"/>
      <c r="R872" s="56" t="s">
        <v>516</v>
      </c>
    </row>
    <row r="873">
      <c r="A873" s="56"/>
      <c r="B873" s="171"/>
      <c r="R873" s="56" t="s">
        <v>516</v>
      </c>
    </row>
    <row r="874">
      <c r="A874" s="56"/>
      <c r="B874" s="171"/>
      <c r="R874" s="56" t="s">
        <v>516</v>
      </c>
    </row>
    <row r="875">
      <c r="A875" s="56"/>
      <c r="B875" s="171"/>
      <c r="R875" s="56" t="s">
        <v>516</v>
      </c>
    </row>
    <row r="876">
      <c r="A876" s="56"/>
      <c r="B876" s="171"/>
      <c r="R876" s="56" t="s">
        <v>516</v>
      </c>
    </row>
    <row r="877">
      <c r="A877" s="56"/>
      <c r="B877" s="171"/>
      <c r="R877" s="56" t="s">
        <v>516</v>
      </c>
    </row>
    <row r="878">
      <c r="A878" s="56"/>
      <c r="B878" s="171"/>
      <c r="R878" s="56" t="s">
        <v>516</v>
      </c>
    </row>
    <row r="879">
      <c r="A879" s="56"/>
      <c r="B879" s="171"/>
      <c r="R879" s="56" t="s">
        <v>516</v>
      </c>
    </row>
    <row r="880">
      <c r="A880" s="56"/>
      <c r="B880" s="171"/>
      <c r="R880" s="56" t="s">
        <v>516</v>
      </c>
    </row>
    <row r="881">
      <c r="A881" s="56"/>
      <c r="B881" s="171"/>
      <c r="R881" s="56" t="s">
        <v>516</v>
      </c>
    </row>
    <row r="882">
      <c r="A882" s="56"/>
      <c r="B882" s="171"/>
      <c r="R882" s="56" t="s">
        <v>516</v>
      </c>
    </row>
    <row r="883">
      <c r="A883" s="56"/>
      <c r="B883" s="171"/>
      <c r="R883" s="56" t="s">
        <v>516</v>
      </c>
    </row>
    <row r="884">
      <c r="A884" s="56"/>
      <c r="B884" s="171"/>
      <c r="R884" s="56" t="s">
        <v>516</v>
      </c>
    </row>
    <row r="885">
      <c r="A885" s="56"/>
      <c r="B885" s="171"/>
      <c r="R885" s="56" t="s">
        <v>516</v>
      </c>
    </row>
    <row r="886">
      <c r="A886" s="56"/>
      <c r="B886" s="171"/>
      <c r="R886" s="56" t="s">
        <v>516</v>
      </c>
    </row>
    <row r="887">
      <c r="A887" s="56"/>
      <c r="B887" s="171"/>
      <c r="R887" s="56" t="s">
        <v>516</v>
      </c>
    </row>
    <row r="888">
      <c r="A888" s="56"/>
      <c r="B888" s="171"/>
      <c r="R888" s="56" t="s">
        <v>516</v>
      </c>
    </row>
    <row r="889">
      <c r="A889" s="56"/>
      <c r="B889" s="171"/>
      <c r="R889" s="56" t="s">
        <v>516</v>
      </c>
    </row>
    <row r="890">
      <c r="A890" s="56"/>
      <c r="B890" s="171"/>
      <c r="R890" s="56" t="s">
        <v>516</v>
      </c>
    </row>
    <row r="891">
      <c r="A891" s="56"/>
      <c r="B891" s="171"/>
      <c r="R891" s="56" t="s">
        <v>516</v>
      </c>
    </row>
    <row r="892">
      <c r="A892" s="56"/>
      <c r="B892" s="171"/>
      <c r="R892" s="56" t="s">
        <v>516</v>
      </c>
    </row>
    <row r="893">
      <c r="A893" s="56"/>
      <c r="B893" s="171"/>
      <c r="R893" s="56" t="s">
        <v>516</v>
      </c>
    </row>
    <row r="894">
      <c r="A894" s="56"/>
      <c r="B894" s="171"/>
      <c r="R894" s="56" t="s">
        <v>516</v>
      </c>
    </row>
    <row r="895">
      <c r="A895" s="56"/>
      <c r="B895" s="171"/>
      <c r="R895" s="56" t="s">
        <v>516</v>
      </c>
    </row>
    <row r="896">
      <c r="A896" s="56"/>
      <c r="B896" s="171"/>
      <c r="R896" s="56" t="s">
        <v>516</v>
      </c>
    </row>
    <row r="897">
      <c r="A897" s="56"/>
      <c r="B897" s="171"/>
      <c r="R897" s="56" t="s">
        <v>516</v>
      </c>
    </row>
    <row r="898">
      <c r="A898" s="56"/>
      <c r="B898" s="171"/>
      <c r="R898" s="56" t="s">
        <v>516</v>
      </c>
    </row>
    <row r="899">
      <c r="A899" s="56"/>
      <c r="B899" s="171"/>
      <c r="R899" s="56" t="s">
        <v>516</v>
      </c>
    </row>
    <row r="900">
      <c r="A900" s="56"/>
      <c r="B900" s="171"/>
      <c r="R900" s="56" t="s">
        <v>516</v>
      </c>
    </row>
    <row r="901">
      <c r="A901" s="56"/>
      <c r="B901" s="171"/>
      <c r="R901" s="56" t="s">
        <v>516</v>
      </c>
    </row>
    <row r="902">
      <c r="A902" s="56"/>
      <c r="B902" s="171"/>
      <c r="R902" s="56" t="s">
        <v>516</v>
      </c>
    </row>
    <row r="903">
      <c r="A903" s="56"/>
      <c r="B903" s="171"/>
      <c r="R903" s="56" t="s">
        <v>516</v>
      </c>
    </row>
    <row r="904">
      <c r="A904" s="56"/>
      <c r="B904" s="171"/>
      <c r="R904" s="56" t="s">
        <v>516</v>
      </c>
    </row>
    <row r="905">
      <c r="A905" s="56"/>
      <c r="B905" s="171"/>
      <c r="R905" s="56" t="s">
        <v>516</v>
      </c>
    </row>
    <row r="906">
      <c r="A906" s="56"/>
      <c r="B906" s="171"/>
      <c r="R906" s="56" t="s">
        <v>516</v>
      </c>
    </row>
    <row r="907">
      <c r="A907" s="56"/>
      <c r="B907" s="171"/>
      <c r="R907" s="56" t="s">
        <v>516</v>
      </c>
    </row>
    <row r="908">
      <c r="A908" s="56"/>
      <c r="B908" s="171"/>
      <c r="R908" s="56" t="s">
        <v>516</v>
      </c>
    </row>
    <row r="909">
      <c r="A909" s="56"/>
      <c r="B909" s="171"/>
      <c r="R909" s="56" t="s">
        <v>516</v>
      </c>
    </row>
    <row r="910">
      <c r="A910" s="56"/>
      <c r="B910" s="171"/>
      <c r="R910" s="56" t="s">
        <v>516</v>
      </c>
    </row>
    <row r="911">
      <c r="A911" s="56"/>
      <c r="B911" s="171"/>
      <c r="R911" s="56" t="s">
        <v>516</v>
      </c>
    </row>
    <row r="912">
      <c r="A912" s="56"/>
      <c r="B912" s="171"/>
      <c r="R912" s="56" t="s">
        <v>516</v>
      </c>
    </row>
    <row r="913">
      <c r="A913" s="56"/>
      <c r="B913" s="171"/>
      <c r="R913" s="56" t="s">
        <v>516</v>
      </c>
    </row>
    <row r="914">
      <c r="A914" s="56"/>
      <c r="B914" s="171"/>
      <c r="R914" s="56" t="s">
        <v>516</v>
      </c>
    </row>
    <row r="915">
      <c r="A915" s="56"/>
      <c r="B915" s="171"/>
      <c r="R915" s="56" t="s">
        <v>516</v>
      </c>
    </row>
    <row r="916">
      <c r="A916" s="56"/>
      <c r="B916" s="171"/>
      <c r="R916" s="56" t="s">
        <v>516</v>
      </c>
    </row>
    <row r="917">
      <c r="A917" s="56"/>
      <c r="B917" s="171"/>
      <c r="R917" s="56" t="s">
        <v>516</v>
      </c>
    </row>
    <row r="918">
      <c r="A918" s="56"/>
      <c r="B918" s="171"/>
      <c r="R918" s="56" t="s">
        <v>516</v>
      </c>
    </row>
    <row r="919">
      <c r="A919" s="56"/>
      <c r="B919" s="171"/>
      <c r="R919" s="56" t="s">
        <v>516</v>
      </c>
    </row>
    <row r="920">
      <c r="A920" s="56"/>
      <c r="B920" s="171"/>
      <c r="R920" s="56" t="s">
        <v>516</v>
      </c>
    </row>
    <row r="921">
      <c r="A921" s="56"/>
      <c r="B921" s="171"/>
      <c r="R921" s="56" t="s">
        <v>516</v>
      </c>
    </row>
    <row r="922">
      <c r="A922" s="56"/>
      <c r="B922" s="171"/>
      <c r="R922" s="56" t="s">
        <v>516</v>
      </c>
    </row>
    <row r="923">
      <c r="A923" s="56"/>
      <c r="B923" s="171"/>
      <c r="R923" s="56" t="s">
        <v>516</v>
      </c>
    </row>
    <row r="924">
      <c r="A924" s="56"/>
      <c r="B924" s="171"/>
      <c r="R924" s="56" t="s">
        <v>516</v>
      </c>
    </row>
    <row r="925">
      <c r="A925" s="56"/>
      <c r="B925" s="171"/>
      <c r="R925" s="56" t="s">
        <v>516</v>
      </c>
    </row>
    <row r="926">
      <c r="A926" s="56"/>
      <c r="B926" s="171"/>
      <c r="R926" s="56" t="s">
        <v>516</v>
      </c>
    </row>
    <row r="927">
      <c r="A927" s="56"/>
      <c r="B927" s="171"/>
      <c r="R927" s="56" t="s">
        <v>516</v>
      </c>
    </row>
    <row r="928">
      <c r="A928" s="56"/>
      <c r="B928" s="171"/>
      <c r="R928" s="56" t="s">
        <v>516</v>
      </c>
    </row>
    <row r="929">
      <c r="A929" s="56"/>
      <c r="B929" s="171"/>
      <c r="R929" s="56" t="s">
        <v>516</v>
      </c>
    </row>
    <row r="930">
      <c r="A930" s="56"/>
      <c r="B930" s="171"/>
      <c r="R930" s="56" t="s">
        <v>516</v>
      </c>
    </row>
    <row r="931">
      <c r="A931" s="56"/>
      <c r="B931" s="171"/>
      <c r="R931" s="56" t="s">
        <v>516</v>
      </c>
    </row>
    <row r="932">
      <c r="A932" s="56"/>
      <c r="B932" s="171"/>
      <c r="R932" s="56" t="s">
        <v>516</v>
      </c>
    </row>
    <row r="933">
      <c r="A933" s="56"/>
      <c r="B933" s="171"/>
      <c r="R933" s="56" t="s">
        <v>516</v>
      </c>
    </row>
    <row r="934">
      <c r="A934" s="56"/>
      <c r="B934" s="171"/>
      <c r="R934" s="56" t="s">
        <v>516</v>
      </c>
    </row>
    <row r="935">
      <c r="A935" s="56"/>
      <c r="B935" s="171"/>
      <c r="R935" s="56" t="s">
        <v>516</v>
      </c>
    </row>
    <row r="936">
      <c r="A936" s="56"/>
      <c r="B936" s="171"/>
      <c r="R936" s="56" t="s">
        <v>516</v>
      </c>
    </row>
    <row r="937">
      <c r="A937" s="56"/>
      <c r="B937" s="171"/>
      <c r="R937" s="56" t="s">
        <v>516</v>
      </c>
    </row>
    <row r="938">
      <c r="A938" s="56"/>
      <c r="B938" s="171"/>
      <c r="R938" s="56" t="s">
        <v>516</v>
      </c>
    </row>
    <row r="939">
      <c r="A939" s="56"/>
      <c r="B939" s="171"/>
      <c r="R939" s="56" t="s">
        <v>516</v>
      </c>
    </row>
    <row r="940">
      <c r="A940" s="56"/>
      <c r="B940" s="171"/>
      <c r="R940" s="56" t="s">
        <v>516</v>
      </c>
    </row>
    <row r="941">
      <c r="A941" s="56"/>
      <c r="B941" s="171"/>
      <c r="R941" s="56" t="s">
        <v>516</v>
      </c>
    </row>
    <row r="942">
      <c r="A942" s="56"/>
      <c r="B942" s="171"/>
      <c r="R942" s="56" t="s">
        <v>516</v>
      </c>
    </row>
    <row r="943">
      <c r="A943" s="56"/>
      <c r="B943" s="171"/>
      <c r="R943" s="56" t="s">
        <v>516</v>
      </c>
    </row>
    <row r="944">
      <c r="A944" s="56"/>
      <c r="B944" s="171"/>
      <c r="R944" s="56" t="s">
        <v>516</v>
      </c>
    </row>
    <row r="945">
      <c r="A945" s="56"/>
      <c r="B945" s="171"/>
      <c r="R945" s="56" t="s">
        <v>516</v>
      </c>
    </row>
    <row r="946">
      <c r="A946" s="56"/>
      <c r="B946" s="171"/>
      <c r="R946" s="56" t="s">
        <v>516</v>
      </c>
    </row>
    <row r="947">
      <c r="A947" s="56"/>
      <c r="B947" s="171"/>
      <c r="R947" s="56" t="s">
        <v>516</v>
      </c>
    </row>
    <row r="948">
      <c r="A948" s="56"/>
      <c r="B948" s="171"/>
      <c r="R948" s="56" t="s">
        <v>516</v>
      </c>
    </row>
    <row r="949">
      <c r="A949" s="56"/>
      <c r="B949" s="171"/>
      <c r="R949" s="56" t="s">
        <v>516</v>
      </c>
    </row>
    <row r="950">
      <c r="A950" s="56"/>
      <c r="B950" s="171"/>
      <c r="R950" s="56" t="s">
        <v>516</v>
      </c>
    </row>
    <row r="951">
      <c r="A951" s="56"/>
      <c r="B951" s="171"/>
      <c r="R951" s="56" t="s">
        <v>516</v>
      </c>
    </row>
    <row r="952">
      <c r="A952" s="56"/>
      <c r="B952" s="171"/>
      <c r="R952" s="56" t="s">
        <v>516</v>
      </c>
    </row>
    <row r="953">
      <c r="A953" s="56"/>
      <c r="B953" s="171"/>
      <c r="R953" s="56" t="s">
        <v>516</v>
      </c>
    </row>
    <row r="954">
      <c r="A954" s="56"/>
      <c r="B954" s="171"/>
      <c r="R954" s="56" t="s">
        <v>516</v>
      </c>
    </row>
    <row r="955">
      <c r="A955" s="56"/>
      <c r="B955" s="171"/>
      <c r="R955" s="56" t="s">
        <v>516</v>
      </c>
    </row>
    <row r="956">
      <c r="A956" s="56"/>
      <c r="B956" s="171"/>
      <c r="R956" s="56" t="s">
        <v>516</v>
      </c>
    </row>
    <row r="957">
      <c r="A957" s="56"/>
      <c r="B957" s="171"/>
      <c r="R957" s="56" t="s">
        <v>516</v>
      </c>
    </row>
    <row r="958">
      <c r="A958" s="56"/>
      <c r="B958" s="171"/>
      <c r="R958" s="56" t="s">
        <v>516</v>
      </c>
    </row>
    <row r="959">
      <c r="A959" s="56"/>
      <c r="B959" s="171"/>
      <c r="R959" s="56" t="s">
        <v>516</v>
      </c>
    </row>
    <row r="960">
      <c r="A960" s="56"/>
      <c r="B960" s="171"/>
      <c r="R960" s="56" t="s">
        <v>516</v>
      </c>
    </row>
    <row r="961">
      <c r="A961" s="56"/>
      <c r="B961" s="171"/>
      <c r="R961" s="56" t="s">
        <v>516</v>
      </c>
    </row>
    <row r="962">
      <c r="A962" s="56"/>
      <c r="B962" s="171"/>
      <c r="R962" s="56" t="s">
        <v>516</v>
      </c>
    </row>
    <row r="963">
      <c r="A963" s="56"/>
      <c r="B963" s="171"/>
      <c r="R963" s="56" t="s">
        <v>516</v>
      </c>
    </row>
    <row r="964">
      <c r="A964" s="56"/>
      <c r="B964" s="171"/>
      <c r="R964" s="56" t="s">
        <v>516</v>
      </c>
    </row>
    <row r="965">
      <c r="A965" s="56"/>
      <c r="B965" s="171"/>
      <c r="R965" s="56" t="s">
        <v>516</v>
      </c>
    </row>
    <row r="966">
      <c r="A966" s="56"/>
      <c r="B966" s="171"/>
      <c r="R966" s="56" t="s">
        <v>516</v>
      </c>
    </row>
    <row r="967">
      <c r="A967" s="56"/>
      <c r="B967" s="171"/>
      <c r="R967" s="56" t="s">
        <v>516</v>
      </c>
    </row>
    <row r="968">
      <c r="A968" s="56"/>
      <c r="B968" s="171"/>
      <c r="R968" s="56" t="s">
        <v>516</v>
      </c>
    </row>
    <row r="969">
      <c r="A969" s="56"/>
      <c r="B969" s="171"/>
      <c r="R969" s="56" t="s">
        <v>516</v>
      </c>
    </row>
    <row r="970">
      <c r="A970" s="56"/>
      <c r="B970" s="171"/>
      <c r="R970" s="56" t="s">
        <v>516</v>
      </c>
    </row>
    <row r="971">
      <c r="A971" s="56"/>
      <c r="B971" s="171"/>
      <c r="R971" s="56" t="s">
        <v>516</v>
      </c>
    </row>
    <row r="972">
      <c r="A972" s="56"/>
      <c r="B972" s="171"/>
      <c r="R972" s="56" t="s">
        <v>516</v>
      </c>
    </row>
    <row r="973">
      <c r="A973" s="56"/>
      <c r="B973" s="171"/>
      <c r="R973" s="56" t="s">
        <v>516</v>
      </c>
    </row>
    <row r="974">
      <c r="A974" s="56"/>
      <c r="B974" s="171"/>
      <c r="R974" s="56" t="s">
        <v>516</v>
      </c>
    </row>
    <row r="975">
      <c r="R975" s="56" t="s">
        <v>516</v>
      </c>
    </row>
    <row r="976">
      <c r="R976" s="56" t="s">
        <v>516</v>
      </c>
    </row>
    <row r="977">
      <c r="R977" s="56" t="s">
        <v>516</v>
      </c>
    </row>
    <row r="978">
      <c r="R978" s="56" t="s">
        <v>516</v>
      </c>
    </row>
    <row r="979">
      <c r="R979" s="56" t="s">
        <v>516</v>
      </c>
    </row>
    <row r="980">
      <c r="R980" s="56" t="s">
        <v>516</v>
      </c>
    </row>
    <row r="981">
      <c r="R981" s="56" t="s">
        <v>516</v>
      </c>
    </row>
    <row r="982">
      <c r="R982" s="56" t="s">
        <v>516</v>
      </c>
    </row>
    <row r="983">
      <c r="R983" s="56" t="s">
        <v>516</v>
      </c>
    </row>
    <row r="984">
      <c r="R984" s="56" t="s">
        <v>516</v>
      </c>
    </row>
    <row r="985">
      <c r="R985" s="56" t="s">
        <v>516</v>
      </c>
    </row>
    <row r="986">
      <c r="R986" s="56" t="s">
        <v>516</v>
      </c>
    </row>
    <row r="987">
      <c r="R987" s="56" t="s">
        <v>516</v>
      </c>
    </row>
    <row r="988">
      <c r="R988" s="56" t="s">
        <v>516</v>
      </c>
    </row>
    <row r="989">
      <c r="R989" s="56" t="s">
        <v>516</v>
      </c>
    </row>
    <row r="990">
      <c r="R990" s="56" t="s">
        <v>516</v>
      </c>
    </row>
    <row r="991">
      <c r="R991" s="56" t="s">
        <v>516</v>
      </c>
    </row>
    <row r="992">
      <c r="R992" s="56" t="s">
        <v>516</v>
      </c>
    </row>
    <row r="993">
      <c r="R993" s="56" t="s">
        <v>516</v>
      </c>
    </row>
    <row r="994">
      <c r="R994" s="56" t="s">
        <v>516</v>
      </c>
    </row>
    <row r="995">
      <c r="R995" s="56" t="s">
        <v>516</v>
      </c>
    </row>
    <row r="996">
      <c r="R996" s="56" t="s">
        <v>516</v>
      </c>
    </row>
    <row r="997">
      <c r="R997" s="56" t="s">
        <v>516</v>
      </c>
    </row>
    <row r="998">
      <c r="R998" s="56" t="s">
        <v>516</v>
      </c>
    </row>
    <row r="999">
      <c r="R999" s="56" t="s">
        <v>516</v>
      </c>
    </row>
    <row r="1000">
      <c r="R1000" s="56" t="s">
        <v>516</v>
      </c>
    </row>
  </sheetData>
  <dataValidations>
    <dataValidation type="list" allowBlank="1" showErrorMessage="1" sqref="B2">
      <formula1>TradeLog!$AE$2:$AE1000</formula1>
    </dataValidation>
    <dataValidation type="list" allowBlank="1" showErrorMessage="1" sqref="B1">
      <formula1>Table3[Budgets]</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 t="s">
        <v>694</v>
      </c>
      <c r="B1" s="52" t="s">
        <v>448</v>
      </c>
      <c r="C1" s="52" t="s">
        <v>428</v>
      </c>
      <c r="D1" s="52" t="s">
        <v>695</v>
      </c>
      <c r="E1" s="52" t="s">
        <v>696</v>
      </c>
      <c r="F1" s="52" t="s">
        <v>697</v>
      </c>
      <c r="G1" s="52" t="s">
        <v>698</v>
      </c>
      <c r="H1" s="52" t="s">
        <v>699</v>
      </c>
    </row>
    <row r="2">
      <c r="D2" s="56">
        <f>sqrt(C2/365)*B2*A2</f>
        <v>0</v>
      </c>
      <c r="E2" s="56">
        <f>B2-2*D2</f>
        <v>0</v>
      </c>
      <c r="F2" s="56">
        <f>B2-D2</f>
        <v>0</v>
      </c>
      <c r="G2" s="56">
        <f>B2+D2</f>
        <v>0</v>
      </c>
      <c r="H2" s="56">
        <f>B2+2*D2</f>
        <v>0</v>
      </c>
    </row>
  </sheetData>
  <drawing r:id="rId1"/>
</worksheet>
</file>