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detroia/Downloads/"/>
    </mc:Choice>
  </mc:AlternateContent>
  <xr:revisionPtr revIDLastSave="0" documentId="13_ncr:1_{A0B736D5-A592-0A40-B570-84AEC0E8639F}" xr6:coauthVersionLast="47" xr6:coauthVersionMax="47" xr10:uidLastSave="{00000000-0000-0000-0000-000000000000}"/>
  <bookViews>
    <workbookView xWindow="0" yWindow="880" windowWidth="36000" windowHeight="21320" activeTab="1" xr2:uid="{051B9469-5F67-CD4A-B32E-412EAF780798}"/>
  </bookViews>
  <sheets>
    <sheet name="Q1" sheetId="1" r:id="rId1"/>
    <sheet name="Q2" sheetId="2" r:id="rId2"/>
    <sheet name="Q3" sheetId="3" r:id="rId3"/>
    <sheet name="Q4" sheetId="7" r:id="rId4"/>
    <sheet name="Q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E22" i="1"/>
  <c r="K12" i="1"/>
  <c r="K15" i="1"/>
  <c r="K14" i="1"/>
  <c r="K13" i="1"/>
  <c r="J12" i="1"/>
  <c r="K18" i="1"/>
  <c r="F28" i="1"/>
  <c r="J18" i="1"/>
  <c r="D28" i="1"/>
  <c r="J15" i="1"/>
  <c r="J14" i="1"/>
  <c r="J13" i="1"/>
  <c r="D23" i="1"/>
  <c r="D24" i="1"/>
  <c r="D25" i="1"/>
  <c r="D22" i="1"/>
  <c r="E23" i="1"/>
  <c r="F22" i="1"/>
  <c r="D36" i="1"/>
  <c r="D35" i="1"/>
  <c r="D40" i="1" l="1"/>
  <c r="E36" i="1" s="1"/>
  <c r="F36" i="1" s="1"/>
  <c r="D42" i="1" l="1"/>
  <c r="E41" i="1" s="1"/>
  <c r="E35" i="1"/>
  <c r="F35" i="1" s="1"/>
  <c r="F40" i="1"/>
  <c r="E40" i="1" l="1"/>
  <c r="E42" i="1" l="1"/>
  <c r="F42" i="1"/>
  <c r="C15" i="7"/>
  <c r="C16" i="7" s="1"/>
  <c r="C23" i="7" s="1"/>
  <c r="C17" i="7" l="1"/>
  <c r="C24" i="7" s="1"/>
  <c r="C22" i="7"/>
  <c r="C20" i="2"/>
  <c r="C18" i="2"/>
  <c r="C19" i="2"/>
  <c r="C27" i="2" s="1"/>
  <c r="C25" i="2"/>
  <c r="D44" i="3"/>
  <c r="D45" i="3"/>
  <c r="C20" i="3"/>
  <c r="C19" i="3"/>
  <c r="C29" i="3" s="1"/>
  <c r="C26" i="2" l="1"/>
  <c r="C28" i="2"/>
  <c r="F23" i="1"/>
  <c r="F24" i="1"/>
  <c r="E24" i="1"/>
  <c r="E25" i="1"/>
  <c r="F25" i="1"/>
  <c r="C49" i="3"/>
  <c r="C50" i="3" s="1"/>
  <c r="C47" i="3"/>
  <c r="C21" i="3"/>
  <c r="E28" i="1" l="1"/>
  <c r="C38" i="3"/>
  <c r="C23" i="3"/>
  <c r="C28" i="3"/>
  <c r="C31" i="3" s="1"/>
</calcChain>
</file>

<file path=xl/sharedStrings.xml><?xml version="1.0" encoding="utf-8"?>
<sst xmlns="http://schemas.openxmlformats.org/spreadsheetml/2006/main" count="133" uniqueCount="96">
  <si>
    <t>MSE Practice Questions (Additional &amp; Selected)</t>
  </si>
  <si>
    <t>Question 1: Duration &amp; Convexity</t>
  </si>
  <si>
    <t>Maturity T</t>
  </si>
  <si>
    <t>Yield r_1(0, T)</t>
  </si>
  <si>
    <t>a)</t>
  </si>
  <si>
    <t>What is the no-arbitrage forward rate f_1(0, 1, 2)?</t>
  </si>
  <si>
    <t xml:space="preserve">b) </t>
  </si>
  <si>
    <t xml:space="preserve">N = </t>
  </si>
  <si>
    <t>c)</t>
  </si>
  <si>
    <t>d)</t>
  </si>
  <si>
    <t>Analysis:</t>
  </si>
  <si>
    <t>What is time 0 forward price for delivery at time 1 of a fixed coupon bond security with maturity 2, 4% coupon rate (paid once per period), and face value of 100?</t>
  </si>
  <si>
    <t>We set up a forward contract at t = 0. The contract specifies that we need to buy a fixed coupon bond at t = 1. The bond matures at t = 2. The coupon payment is once per period.</t>
  </si>
  <si>
    <t>P_fwd(0, 1, 2) =</t>
  </si>
  <si>
    <t>P_z(τ, T)</t>
  </si>
  <si>
    <t>Z(τ, T)</t>
  </si>
  <si>
    <t>P_fwd(τ, 1, 2) =</t>
  </si>
  <si>
    <t>Suppose now we are at t = τ, and 0 &lt; τ &lt; 1. We observe the following prices of zero coupon bonds: P_z(τ, 1) = 99, P_z(τ, 2) = 98. These bonds have face values 100. What is the time τ value of the above FRA? What is the time τ forward price of the above forward contract?</t>
  </si>
  <si>
    <t xml:space="preserve">Z(0, 1) = </t>
  </si>
  <si>
    <t xml:space="preserve">Z(0, 2) = </t>
  </si>
  <si>
    <t xml:space="preserve">F(0, 1, 2) = </t>
  </si>
  <si>
    <t xml:space="preserve">f_1(0, 1, 2) = </t>
  </si>
  <si>
    <t xml:space="preserve">V0_fix = </t>
  </si>
  <si>
    <t xml:space="preserve">V0_float = </t>
  </si>
  <si>
    <t xml:space="preserve">V0_FRA = </t>
  </si>
  <si>
    <t xml:space="preserve">Vτ_FRA = </t>
  </si>
  <si>
    <t xml:space="preserve">F(τ, 1, 2) = </t>
  </si>
  <si>
    <t>Question 3: Forward Rate, FRA, Forward Contract</t>
  </si>
  <si>
    <t>Term Structure</t>
  </si>
  <si>
    <t>FRA: A contract that exchanges the rate between the forward rate f_1(0, 1, 2) and the future market floating rate r_1(1, 2). The notional amount N is 100m.</t>
  </si>
  <si>
    <t>What are the values of the fixed and floating legs of the FRA at t = 0? What is the value of the FRA at t = 0?</t>
  </si>
  <si>
    <t>Zero Coupon Bond Prices</t>
  </si>
  <si>
    <t>P_z(0, T)</t>
  </si>
  <si>
    <t>What are the discount factors Z(0, 0.25), Z(0, 0.5), Z(0, 0.75), Z(0, 1)?</t>
  </si>
  <si>
    <t xml:space="preserve">Z(0, 0.25) = </t>
  </si>
  <si>
    <t xml:space="preserve">Z(0, 0.50) = </t>
  </si>
  <si>
    <t xml:space="preserve">Z(0, 0.75) = </t>
  </si>
  <si>
    <t xml:space="preserve">Z(0, 1.00) = </t>
  </si>
  <si>
    <t>What are the swap rates c(0.25), c(0.5), c(0.75), c(1), i.e. for swap contracts with maturities at 0.25, 0.5, 0.75, 1?</t>
  </si>
  <si>
    <t xml:space="preserve">c(0.25) = </t>
  </si>
  <si>
    <t xml:space="preserve">c(0.50) = </t>
  </si>
  <si>
    <t xml:space="preserve">c(0.75) = </t>
  </si>
  <si>
    <t xml:space="preserve">c(1.00) = </t>
  </si>
  <si>
    <t>What are the time 0 values of the above swap contracts?</t>
  </si>
  <si>
    <t xml:space="preserve">V0_swap(0.25) = </t>
  </si>
  <si>
    <t xml:space="preserve">V0_swap(0.50) = </t>
  </si>
  <si>
    <t xml:space="preserve">V0_swap(0.75) = </t>
  </si>
  <si>
    <t xml:space="preserve">V0_swap(1.00) = </t>
  </si>
  <si>
    <t>V0_fix = V0_float → V0_swap = 0</t>
  </si>
  <si>
    <t>Question 2: Swap Rate</t>
  </si>
  <si>
    <t>What are the main risks of investing in debt securities?</t>
  </si>
  <si>
    <t>interest rate risk; credit risk; liquidity risk; contractual risk (callable bonds &amp; MBS); inflation risk (TIPS); event risk; tax risk; FX risk.</t>
  </si>
  <si>
    <t>Key Words:</t>
  </si>
  <si>
    <t>Question 5: Essays</t>
  </si>
  <si>
    <t>Question 4: Bootstrapping</t>
  </si>
  <si>
    <t>At t = 0, we observe the following 3 bonds:</t>
  </si>
  <si>
    <t>1.</t>
  </si>
  <si>
    <t>2.</t>
  </si>
  <si>
    <t>3.</t>
  </si>
  <si>
    <t>A zero coupon bond with maturity T = 1, price P_z(0, 1), and yield to maturity 5%. The yield to maturity is compounded once per period.</t>
  </si>
  <si>
    <t>A coupon paying bond with maturity T = 2, price P_c(0, 2) = 100, and coupon rate 5%. The coupon is paid once per period.</t>
  </si>
  <si>
    <t>A coupon paying bond with maturity T = 3, price P_c(0, 3) = 91.83025591, and coupon rate 2%. The coupon is paid once per period.</t>
  </si>
  <si>
    <t>What are the discount factors Z(0, 1), Z(0, 2), Z(0, 3)?</t>
  </si>
  <si>
    <t xml:space="preserve">Z(0, 3) = </t>
  </si>
  <si>
    <t>What are the spot interest rates r_1(0, 1), r_1(0, 2), r_1(0, 3), assuming the rates are compounded once per period?</t>
  </si>
  <si>
    <t xml:space="preserve">r_1(0, 1) = </t>
  </si>
  <si>
    <t xml:space="preserve">r_1(0, 2) = </t>
  </si>
  <si>
    <t xml:space="preserve">r_1(0, 3) = </t>
  </si>
  <si>
    <t>The term structure of spot interest rate is flat at 5%.</t>
  </si>
  <si>
    <t>[Note: All bonds have face values of 100.]</t>
  </si>
  <si>
    <t>[Note: yield is discretely compounded once per period.]</t>
  </si>
  <si>
    <t>[Note: All ZCBs have face values of 100.]</t>
  </si>
  <si>
    <t>What are factor duration and factor neutrality? Explain the concept, rationale, and implementation.</t>
  </si>
  <si>
    <t>3 factors (level, slope, curvature); factor duration formula; factor loading; factor neutrality formula.</t>
  </si>
  <si>
    <t>At time 0, we observe the prices of two zero coupon bonds: P_z(0, 1) and P_z(0, 2). The maturity is 1 year and 2 years, respectively. Both zero coupon bonds have face values of 100 and P_z(0, 1) &lt; P_z(0, 2). Is there an arbitrage opportunity on the market?</t>
  </si>
  <si>
    <t>P_z(0, 1) &lt; P_z(0, 2) → Z(0, 1) &lt; Z(0, 2) → F(0, 1, 2) &gt; 1 → f(0, 1, 2) &lt; 0; Arbitrage: sell P_z(0, 2), buy P_z(0, 1), and store 100 receive at t = 1 as cash; Profit: P_z(0, 2) - P_z(0, 1).</t>
  </si>
  <si>
    <t>Discount Factors</t>
  </si>
  <si>
    <t>Z(0, T)</t>
  </si>
  <si>
    <t>CF</t>
  </si>
  <si>
    <t>DCF</t>
  </si>
  <si>
    <t>Convexity</t>
  </si>
  <si>
    <t>T</t>
  </si>
  <si>
    <t>Price</t>
  </si>
  <si>
    <t>w * T</t>
  </si>
  <si>
    <t>w * T^2</t>
  </si>
  <si>
    <t>Duration</t>
  </si>
  <si>
    <t>What is the duration and convexity of a 2-year fixed coupon bond paying 5% semi-annually?</t>
  </si>
  <si>
    <t>What is the duration of a 1-year floating rate bond paying r_2(T_i - 0.5, T_i) + 4% semi-annually?</t>
  </si>
  <si>
    <t>Spread</t>
  </si>
  <si>
    <t>w</t>
  </si>
  <si>
    <t>Floating Rate Bond with Spread</t>
  </si>
  <si>
    <t>FRB w/o. S</t>
  </si>
  <si>
    <t>FRB w. S</t>
  </si>
  <si>
    <t>Z(0,T)</t>
  </si>
  <si>
    <t>DCF (P*Z(0,T)</t>
  </si>
  <si>
    <t>w*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</si>
</sst>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%"/>
    <numFmt numFmtId="166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Dashed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2" fillId="0" borderId="3" xfId="1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2" fontId="2" fillId="0" borderId="3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0" borderId="3" xfId="1" applyNumberFormat="1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2" fontId="2" fillId="0" borderId="0" xfId="1" applyNumberFormat="1" applyFont="1" applyBorder="1" applyAlignment="1">
      <alignment horizontal="left" vertical="center" wrapText="1"/>
    </xf>
    <xf numFmtId="165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928A-9CE4-A44E-BCBB-1A4E5B8A622A}">
  <dimension ref="A1:K42"/>
  <sheetViews>
    <sheetView topLeftCell="A36" zoomScale="164" zoomScaleNormal="160" workbookViewId="0">
      <selection activeCell="E22" sqref="E22"/>
    </sheetView>
  </sheetViews>
  <sheetFormatPr baseColWidth="10" defaultRowHeight="16" x14ac:dyDescent="0.2"/>
  <cols>
    <col min="1" max="16384" width="10.83203125" style="1"/>
  </cols>
  <sheetData>
    <row r="1" spans="1:11" ht="19" thickTop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11" x14ac:dyDescent="0.2">
      <c r="A2" s="39"/>
      <c r="B2" s="39"/>
      <c r="C2" s="39"/>
      <c r="D2" s="39"/>
      <c r="E2" s="39"/>
      <c r="F2" s="39"/>
      <c r="G2" s="39"/>
      <c r="H2" s="39"/>
      <c r="I2" s="39"/>
    </row>
    <row r="3" spans="1:11" ht="17" thickBot="1" x14ac:dyDescent="0.25">
      <c r="A3" s="41" t="s">
        <v>1</v>
      </c>
      <c r="B3" s="41"/>
      <c r="C3" s="41"/>
      <c r="D3" s="41"/>
      <c r="E3" s="41"/>
      <c r="F3" s="41"/>
      <c r="G3" s="41"/>
      <c r="H3" s="41"/>
      <c r="I3" s="41"/>
    </row>
    <row r="5" spans="1:11" ht="17" thickBot="1" x14ac:dyDescent="0.25">
      <c r="B5" s="42" t="s">
        <v>76</v>
      </c>
      <c r="C5" s="42"/>
      <c r="D5" s="6"/>
      <c r="E5" s="6"/>
      <c r="F5" s="6"/>
      <c r="G5" s="6"/>
      <c r="H5" s="6" t="s">
        <v>2</v>
      </c>
      <c r="I5" s="6" t="s">
        <v>93</v>
      </c>
    </row>
    <row r="6" spans="1:11" ht="17" x14ac:dyDescent="0.2">
      <c r="B6" s="13" t="s">
        <v>2</v>
      </c>
      <c r="C6" s="13" t="s">
        <v>77</v>
      </c>
      <c r="D6" s="6"/>
      <c r="E6" s="6"/>
      <c r="F6" s="6"/>
      <c r="G6" s="6"/>
      <c r="H6" s="6">
        <v>0.5</v>
      </c>
      <c r="I6" s="6">
        <v>0.96799999999999997</v>
      </c>
    </row>
    <row r="7" spans="1:11" x14ac:dyDescent="0.2">
      <c r="B7" s="20">
        <v>0.25</v>
      </c>
      <c r="C7" s="26">
        <v>0.98399999999999999</v>
      </c>
      <c r="D7" s="6"/>
      <c r="E7" s="6"/>
      <c r="F7" s="6"/>
      <c r="G7" s="6"/>
      <c r="H7" s="6">
        <v>1</v>
      </c>
      <c r="I7" s="6">
        <v>0.93600000000000005</v>
      </c>
    </row>
    <row r="8" spans="1:11" x14ac:dyDescent="0.2">
      <c r="B8" s="20">
        <v>0.5</v>
      </c>
      <c r="C8" s="26">
        <v>0.96799999999999997</v>
      </c>
      <c r="D8" s="6"/>
      <c r="E8" s="6"/>
      <c r="F8" s="6"/>
      <c r="G8" s="6"/>
      <c r="H8" s="6">
        <v>1.5</v>
      </c>
      <c r="I8" s="6">
        <v>0.90400000000000003</v>
      </c>
    </row>
    <row r="9" spans="1:11" x14ac:dyDescent="0.2">
      <c r="B9" s="20">
        <v>0.75</v>
      </c>
      <c r="C9" s="26">
        <v>0.95199999999999996</v>
      </c>
      <c r="D9" s="6"/>
      <c r="E9" s="6"/>
      <c r="F9" s="6"/>
      <c r="G9" s="6"/>
      <c r="H9" s="6">
        <v>2</v>
      </c>
      <c r="I9" s="6">
        <v>0.873</v>
      </c>
    </row>
    <row r="10" spans="1:11" x14ac:dyDescent="0.2">
      <c r="B10" s="20">
        <v>1</v>
      </c>
      <c r="C10" s="26">
        <v>0.93600000000000005</v>
      </c>
      <c r="D10" s="6"/>
      <c r="E10" s="6"/>
      <c r="F10" s="6"/>
      <c r="G10" s="6"/>
      <c r="H10" s="6"/>
      <c r="I10" s="6"/>
    </row>
    <row r="11" spans="1:11" x14ac:dyDescent="0.2">
      <c r="B11" s="20">
        <v>1.25</v>
      </c>
      <c r="C11" s="26">
        <v>0.91900000000000004</v>
      </c>
      <c r="D11" s="6"/>
      <c r="E11" s="6"/>
      <c r="F11" s="6"/>
      <c r="G11" s="6"/>
      <c r="H11" s="6" t="s">
        <v>2</v>
      </c>
      <c r="I11" s="6" t="s">
        <v>78</v>
      </c>
      <c r="J11" s="1" t="s">
        <v>94</v>
      </c>
      <c r="K11" s="1" t="s">
        <v>95</v>
      </c>
    </row>
    <row r="12" spans="1:11" x14ac:dyDescent="0.2">
      <c r="B12" s="20">
        <v>1.5</v>
      </c>
      <c r="C12" s="26">
        <v>0.90400000000000003</v>
      </c>
      <c r="D12" s="6"/>
      <c r="E12" s="6"/>
      <c r="F12" s="6"/>
      <c r="G12" s="6"/>
      <c r="H12" s="6">
        <v>0.5</v>
      </c>
      <c r="I12" s="6">
        <v>2.5</v>
      </c>
      <c r="J12" s="1">
        <f>I12*I6</f>
        <v>2.42</v>
      </c>
      <c r="K12" s="1">
        <f>(J12/$J$18)*H12</f>
        <v>1.2538535271106967E-2</v>
      </c>
    </row>
    <row r="13" spans="1:11" x14ac:dyDescent="0.2">
      <c r="B13" s="20">
        <v>1.75</v>
      </c>
      <c r="C13" s="26">
        <v>0.88800000000000001</v>
      </c>
      <c r="D13" s="6"/>
      <c r="E13" s="6"/>
      <c r="F13" s="6"/>
      <c r="G13" s="6"/>
      <c r="H13" s="6">
        <v>1</v>
      </c>
      <c r="I13" s="6">
        <v>2.5</v>
      </c>
      <c r="J13" s="1">
        <f>I13*I7</f>
        <v>2.3400000000000003</v>
      </c>
      <c r="K13" s="1">
        <f>(J13/$J$18)*H13</f>
        <v>2.4248076474702732E-2</v>
      </c>
    </row>
    <row r="14" spans="1:11" ht="17" thickBot="1" x14ac:dyDescent="0.25">
      <c r="B14" s="21">
        <v>2</v>
      </c>
      <c r="C14" s="27">
        <v>0.873</v>
      </c>
      <c r="D14" s="6"/>
      <c r="E14" s="6"/>
      <c r="F14" s="6"/>
      <c r="G14" s="6"/>
      <c r="H14" s="6">
        <v>1.5</v>
      </c>
      <c r="I14" s="6">
        <v>2.5</v>
      </c>
      <c r="J14" s="1">
        <f>I8*I14</f>
        <v>2.2600000000000002</v>
      </c>
      <c r="K14" s="1">
        <f>J14/$J$18*H14</f>
        <v>3.5128623610787293E-2</v>
      </c>
    </row>
    <row r="15" spans="1:11" x14ac:dyDescent="0.2">
      <c r="B15" s="6"/>
      <c r="C15" s="6"/>
      <c r="D15" s="6"/>
      <c r="E15" s="6"/>
      <c r="F15" s="6"/>
      <c r="G15" s="6"/>
      <c r="H15" s="6">
        <v>2</v>
      </c>
      <c r="I15" s="6">
        <v>102.5</v>
      </c>
      <c r="J15" s="1">
        <f>I15*I9</f>
        <v>89.482500000000002</v>
      </c>
      <c r="K15" s="1">
        <f>J15/$J$18*H15</f>
        <v>1.8545115411517836</v>
      </c>
    </row>
    <row r="16" spans="1:11" x14ac:dyDescent="0.2">
      <c r="B16" s="43" t="s">
        <v>69</v>
      </c>
      <c r="C16" s="43"/>
      <c r="D16" s="43"/>
      <c r="E16" s="43"/>
      <c r="F16" s="43"/>
      <c r="G16" s="43"/>
      <c r="H16" s="43"/>
      <c r="I16" s="43"/>
    </row>
    <row r="17" spans="1:11" x14ac:dyDescent="0.2">
      <c r="J17" s="1" t="s">
        <v>82</v>
      </c>
      <c r="K17" s="1" t="s">
        <v>85</v>
      </c>
    </row>
    <row r="18" spans="1:11" x14ac:dyDescent="0.2">
      <c r="J18" s="1">
        <f>SUM(J12:J15)</f>
        <v>96.502499999999998</v>
      </c>
      <c r="K18" s="1">
        <f>SUM(K12:K15)</f>
        <v>1.9264267765083807</v>
      </c>
    </row>
    <row r="19" spans="1:11" x14ac:dyDescent="0.2">
      <c r="A19" s="36" t="s">
        <v>4</v>
      </c>
      <c r="B19" s="37" t="s">
        <v>86</v>
      </c>
      <c r="C19" s="37"/>
      <c r="D19" s="37"/>
      <c r="E19" s="37"/>
      <c r="F19" s="37"/>
      <c r="G19" s="37"/>
      <c r="H19" s="37"/>
      <c r="I19" s="37"/>
    </row>
    <row r="20" spans="1:11" ht="17" thickBot="1" x14ac:dyDescent="0.25"/>
    <row r="21" spans="1:11" x14ac:dyDescent="0.2">
      <c r="B21" s="33" t="s">
        <v>81</v>
      </c>
      <c r="C21" s="33" t="s">
        <v>78</v>
      </c>
      <c r="D21" s="33" t="s">
        <v>79</v>
      </c>
      <c r="E21" s="33" t="s">
        <v>83</v>
      </c>
      <c r="F21" s="33" t="s">
        <v>84</v>
      </c>
    </row>
    <row r="22" spans="1:11" x14ac:dyDescent="0.2">
      <c r="B22" s="28">
        <v>0.5</v>
      </c>
      <c r="C22" s="28">
        <v>2.5</v>
      </c>
      <c r="D22" s="5">
        <f>C22*C8</f>
        <v>2.42</v>
      </c>
      <c r="E22" s="5">
        <f xml:space="preserve"> D22/$D$28 * B22</f>
        <v>1.2538535271106967E-2</v>
      </c>
      <c r="F22" s="5">
        <f xml:space="preserve"> D22/$D$28 * B22^2</f>
        <v>6.2692676355534833E-3</v>
      </c>
    </row>
    <row r="23" spans="1:11" x14ac:dyDescent="0.2">
      <c r="B23" s="28">
        <v>1</v>
      </c>
      <c r="C23" s="28">
        <v>2.5</v>
      </c>
      <c r="D23" s="5">
        <f>C23*C10</f>
        <v>2.3400000000000003</v>
      </c>
      <c r="E23" s="5">
        <f xml:space="preserve"> D23/$D$28 * B23</f>
        <v>2.4248076474702732E-2</v>
      </c>
      <c r="F23" s="5">
        <f t="shared" ref="F23:F24" si="0" xml:space="preserve"> D23/$D$28 * B23^2</f>
        <v>2.4248076474702732E-2</v>
      </c>
    </row>
    <row r="24" spans="1:11" x14ac:dyDescent="0.2">
      <c r="B24" s="28">
        <v>1.5</v>
      </c>
      <c r="C24" s="28">
        <v>2.5</v>
      </c>
      <c r="D24" s="5">
        <f>C24*C12</f>
        <v>2.2600000000000002</v>
      </c>
      <c r="E24" s="5">
        <f xml:space="preserve"> D24/$D$28 * B24</f>
        <v>3.5128623610787293E-2</v>
      </c>
      <c r="F24" s="5">
        <f t="shared" si="0"/>
        <v>5.269293541618094E-2</v>
      </c>
    </row>
    <row r="25" spans="1:11" ht="17" thickBot="1" x14ac:dyDescent="0.25">
      <c r="B25" s="29">
        <v>2</v>
      </c>
      <c r="C25" s="29">
        <v>102.5</v>
      </c>
      <c r="D25" s="30">
        <f>C25*C14</f>
        <v>89.482500000000002</v>
      </c>
      <c r="E25" s="30">
        <f xml:space="preserve"> D25/$D$28 * B25</f>
        <v>1.8545115411517836</v>
      </c>
      <c r="F25" s="30">
        <f xml:space="preserve"> D25/$D$28 * B25^2</f>
        <v>3.7090230823035673</v>
      </c>
    </row>
    <row r="26" spans="1:11" ht="17" thickBot="1" x14ac:dyDescent="0.25">
      <c r="B26" s="2"/>
      <c r="C26" s="2"/>
      <c r="D26" s="5"/>
      <c r="E26" s="5"/>
      <c r="F26" s="5"/>
    </row>
    <row r="27" spans="1:11" x14ac:dyDescent="0.2">
      <c r="B27" s="2"/>
      <c r="C27" s="2"/>
      <c r="D27" s="31" t="s">
        <v>82</v>
      </c>
      <c r="E27" s="31" t="s">
        <v>85</v>
      </c>
      <c r="F27" s="31" t="s">
        <v>80</v>
      </c>
    </row>
    <row r="28" spans="1:11" ht="17" thickBot="1" x14ac:dyDescent="0.25">
      <c r="B28" s="2"/>
      <c r="C28" s="2"/>
      <c r="D28" s="32">
        <f>SUM(D22:D25)</f>
        <v>96.502499999999998</v>
      </c>
      <c r="E28" s="32">
        <f>SUM(E22:E25)</f>
        <v>1.9264267765083807</v>
      </c>
      <c r="F28" s="32">
        <f>SUM(F22:F25)</f>
        <v>3.7922333618300046</v>
      </c>
    </row>
    <row r="29" spans="1:11" x14ac:dyDescent="0.2">
      <c r="B29" s="2"/>
      <c r="C29" s="2"/>
      <c r="D29" s="5"/>
      <c r="E29" s="5"/>
      <c r="F29" s="5"/>
    </row>
    <row r="31" spans="1:11" x14ac:dyDescent="0.2">
      <c r="A31" s="36" t="s">
        <v>6</v>
      </c>
      <c r="B31" s="37" t="s">
        <v>87</v>
      </c>
      <c r="C31" s="37"/>
      <c r="D31" s="37"/>
      <c r="E31" s="37"/>
      <c r="F31" s="37"/>
      <c r="G31" s="37"/>
      <c r="H31" s="37"/>
      <c r="I31" s="37"/>
    </row>
    <row r="33" spans="2:6" ht="17" thickBot="1" x14ac:dyDescent="0.25">
      <c r="B33" s="38" t="s">
        <v>88</v>
      </c>
      <c r="C33" s="38"/>
      <c r="D33" s="38"/>
      <c r="E33" s="38"/>
      <c r="F33" s="38"/>
    </row>
    <row r="34" spans="2:6" x14ac:dyDescent="0.2">
      <c r="B34" s="33" t="s">
        <v>81</v>
      </c>
      <c r="C34" s="33" t="s">
        <v>78</v>
      </c>
      <c r="D34" s="33" t="s">
        <v>79</v>
      </c>
      <c r="E34" s="33" t="s">
        <v>89</v>
      </c>
      <c r="F34" s="33" t="s">
        <v>83</v>
      </c>
    </row>
    <row r="35" spans="2:6" x14ac:dyDescent="0.2">
      <c r="B35" s="28">
        <v>0.5</v>
      </c>
      <c r="C35" s="28">
        <v>2</v>
      </c>
      <c r="D35" s="5">
        <f>C35*C8</f>
        <v>1.9359999999999999</v>
      </c>
      <c r="E35" s="34">
        <f xml:space="preserve"> D35/$D$40</f>
        <v>0.50840336134453779</v>
      </c>
      <c r="F35" s="5">
        <f>E35 * B35</f>
        <v>0.25420168067226889</v>
      </c>
    </row>
    <row r="36" spans="2:6" ht="17" thickBot="1" x14ac:dyDescent="0.25">
      <c r="B36" s="29">
        <v>1</v>
      </c>
      <c r="C36" s="29">
        <v>2</v>
      </c>
      <c r="D36" s="30">
        <f>C36*C10</f>
        <v>1.8720000000000001</v>
      </c>
      <c r="E36" s="35">
        <f xml:space="preserve"> D36/$D$40</f>
        <v>0.49159663865546221</v>
      </c>
      <c r="F36" s="30">
        <f>E36 * B36</f>
        <v>0.49159663865546221</v>
      </c>
    </row>
    <row r="37" spans="2:6" x14ac:dyDescent="0.2">
      <c r="B37" s="28"/>
      <c r="C37" s="28"/>
      <c r="D37" s="5"/>
      <c r="E37" s="5"/>
      <c r="F37" s="5"/>
    </row>
    <row r="38" spans="2:6" ht="17" thickBot="1" x14ac:dyDescent="0.25">
      <c r="B38" s="39" t="s">
        <v>90</v>
      </c>
      <c r="C38" s="39"/>
      <c r="D38" s="39"/>
      <c r="E38" s="39"/>
      <c r="F38" s="39"/>
    </row>
    <row r="39" spans="2:6" x14ac:dyDescent="0.2">
      <c r="B39" s="2"/>
      <c r="C39" s="31"/>
      <c r="D39" s="31" t="s">
        <v>82</v>
      </c>
      <c r="E39" s="31" t="s">
        <v>89</v>
      </c>
      <c r="F39" s="31" t="s">
        <v>85</v>
      </c>
    </row>
    <row r="40" spans="2:6" x14ac:dyDescent="0.2">
      <c r="B40" s="2"/>
      <c r="C40" s="5" t="s">
        <v>88</v>
      </c>
      <c r="D40" s="5">
        <f>SUM(D35:D36)</f>
        <v>3.8079999999999998</v>
      </c>
      <c r="E40" s="34">
        <f>D40/$D$42</f>
        <v>3.6683107274969172E-2</v>
      </c>
      <c r="F40" s="5">
        <f>SUM(F35:F36)</f>
        <v>0.74579831932773111</v>
      </c>
    </row>
    <row r="41" spans="2:6" x14ac:dyDescent="0.2">
      <c r="B41" s="2"/>
      <c r="C41" s="5" t="s">
        <v>91</v>
      </c>
      <c r="D41" s="5">
        <v>100</v>
      </c>
      <c r="E41" s="34">
        <f>D41/$D$42</f>
        <v>0.96331689272503085</v>
      </c>
      <c r="F41" s="5">
        <v>0.5</v>
      </c>
    </row>
    <row r="42" spans="2:6" ht="17" thickBot="1" x14ac:dyDescent="0.25">
      <c r="B42" s="2"/>
      <c r="C42" s="32" t="s">
        <v>92</v>
      </c>
      <c r="D42" s="32">
        <f>SUM(D40:D41)</f>
        <v>103.80799999999999</v>
      </c>
      <c r="E42" s="32">
        <f t="shared" ref="E42" si="1">SUM(E40:E41)</f>
        <v>1</v>
      </c>
      <c r="F42" s="32">
        <f>E40 * F40 + E41 * F41</f>
        <v>0.50901664611590625</v>
      </c>
    </row>
  </sheetData>
  <mergeCells count="9">
    <mergeCell ref="B31:I31"/>
    <mergeCell ref="B33:F33"/>
    <mergeCell ref="B38:F38"/>
    <mergeCell ref="A1:I1"/>
    <mergeCell ref="A3:I3"/>
    <mergeCell ref="A2:I2"/>
    <mergeCell ref="B5:C5"/>
    <mergeCell ref="B16:I16"/>
    <mergeCell ref="B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0A2F-E25F-014A-AF7E-F1B8CF4C0E1D}">
  <dimension ref="A1:I38"/>
  <sheetViews>
    <sheetView tabSelected="1" zoomScale="160" zoomScaleNormal="160" workbookViewId="0">
      <selection activeCell="C17" sqref="C17"/>
    </sheetView>
  </sheetViews>
  <sheetFormatPr baseColWidth="10" defaultRowHeight="16" x14ac:dyDescent="0.2"/>
  <cols>
    <col min="1" max="1" width="10.83203125" style="6"/>
    <col min="2" max="2" width="16" style="6" customWidth="1"/>
    <col min="3" max="3" width="12.83203125" style="6" customWidth="1"/>
    <col min="4" max="16384" width="10.83203125" style="6"/>
  </cols>
  <sheetData>
    <row r="1" spans="1:9" ht="19" thickTop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8"/>
      <c r="B2" s="48"/>
      <c r="C2" s="48"/>
      <c r="D2" s="48"/>
      <c r="E2" s="48"/>
      <c r="F2" s="48"/>
      <c r="G2" s="48"/>
      <c r="H2" s="48"/>
      <c r="I2" s="48"/>
    </row>
    <row r="3" spans="1:9" ht="17" thickBot="1" x14ac:dyDescent="0.25">
      <c r="A3" s="47" t="s">
        <v>49</v>
      </c>
      <c r="B3" s="47"/>
      <c r="C3" s="47"/>
      <c r="D3" s="47"/>
      <c r="E3" s="47"/>
      <c r="F3" s="47"/>
      <c r="G3" s="47"/>
      <c r="H3" s="47"/>
      <c r="I3" s="47"/>
    </row>
    <row r="5" spans="1:9" ht="17" thickBot="1" x14ac:dyDescent="0.25">
      <c r="B5" s="42" t="s">
        <v>31</v>
      </c>
      <c r="C5" s="42"/>
    </row>
    <row r="6" spans="1:9" ht="17" x14ac:dyDescent="0.2">
      <c r="B6" s="13" t="s">
        <v>2</v>
      </c>
      <c r="C6" s="13" t="s">
        <v>32</v>
      </c>
    </row>
    <row r="7" spans="1:9" x14ac:dyDescent="0.2">
      <c r="B7" s="20">
        <v>0.25</v>
      </c>
      <c r="C7" s="22">
        <v>99</v>
      </c>
    </row>
    <row r="8" spans="1:9" x14ac:dyDescent="0.2">
      <c r="B8" s="20">
        <v>0.5</v>
      </c>
      <c r="C8" s="22">
        <v>98.5</v>
      </c>
    </row>
    <row r="9" spans="1:9" x14ac:dyDescent="0.2">
      <c r="B9" s="20">
        <v>0.75</v>
      </c>
      <c r="C9" s="22">
        <v>98.25</v>
      </c>
    </row>
    <row r="10" spans="1:9" ht="17" thickBot="1" x14ac:dyDescent="0.25">
      <c r="B10" s="21">
        <v>1</v>
      </c>
      <c r="C10" s="23">
        <v>98</v>
      </c>
    </row>
    <row r="12" spans="1:9" x14ac:dyDescent="0.2">
      <c r="B12" s="43" t="s">
        <v>71</v>
      </c>
      <c r="C12" s="43"/>
      <c r="D12" s="43"/>
      <c r="E12" s="43"/>
      <c r="F12" s="43"/>
      <c r="G12" s="43"/>
      <c r="H12" s="43"/>
      <c r="I12" s="43"/>
    </row>
    <row r="15" spans="1:9" x14ac:dyDescent="0.2">
      <c r="A15" s="9" t="s">
        <v>4</v>
      </c>
      <c r="B15" s="44" t="s">
        <v>33</v>
      </c>
      <c r="C15" s="44"/>
      <c r="D15" s="44"/>
      <c r="E15" s="44"/>
      <c r="F15" s="44"/>
      <c r="G15" s="44"/>
      <c r="H15" s="44"/>
      <c r="I15" s="44"/>
    </row>
    <row r="17" spans="1:9" x14ac:dyDescent="0.2">
      <c r="B17" s="3" t="s">
        <v>34</v>
      </c>
      <c r="C17" s="8">
        <f xml:space="preserve"> C7 / 100</f>
        <v>0.99</v>
      </c>
    </row>
    <row r="18" spans="1:9" x14ac:dyDescent="0.2">
      <c r="B18" s="3" t="s">
        <v>35</v>
      </c>
      <c r="C18" s="8">
        <f t="shared" ref="C18:C19" si="0" xml:space="preserve"> C8 / 100</f>
        <v>0.98499999999999999</v>
      </c>
    </row>
    <row r="19" spans="1:9" x14ac:dyDescent="0.2">
      <c r="B19" s="3" t="s">
        <v>36</v>
      </c>
      <c r="C19" s="8">
        <f t="shared" si="0"/>
        <v>0.98250000000000004</v>
      </c>
    </row>
    <row r="20" spans="1:9" x14ac:dyDescent="0.2">
      <c r="B20" s="3" t="s">
        <v>37</v>
      </c>
      <c r="C20" s="8">
        <f xml:space="preserve"> C10 / 100</f>
        <v>0.98</v>
      </c>
    </row>
    <row r="23" spans="1:9" x14ac:dyDescent="0.2">
      <c r="A23" s="9" t="s">
        <v>6</v>
      </c>
      <c r="B23" s="44" t="s">
        <v>38</v>
      </c>
      <c r="C23" s="44"/>
      <c r="D23" s="44"/>
      <c r="E23" s="44"/>
      <c r="F23" s="44"/>
      <c r="G23" s="44"/>
      <c r="H23" s="44"/>
      <c r="I23" s="44"/>
    </row>
    <row r="25" spans="1:9" x14ac:dyDescent="0.2">
      <c r="B25" s="3" t="s">
        <v>39</v>
      </c>
      <c r="C25" s="4">
        <f xml:space="preserve"> 4 * (1 - C17) / C17</f>
        <v>4.0404040404040442E-2</v>
      </c>
    </row>
    <row r="26" spans="1:9" x14ac:dyDescent="0.2">
      <c r="B26" s="3" t="s">
        <v>40</v>
      </c>
      <c r="C26" s="4">
        <f xml:space="preserve"> 4 * (1 - C18) / (C17 + C18)</f>
        <v>3.0379746835443065E-2</v>
      </c>
    </row>
    <row r="27" spans="1:9" x14ac:dyDescent="0.2">
      <c r="B27" s="3" t="s">
        <v>41</v>
      </c>
      <c r="C27" s="4">
        <f xml:space="preserve"> 4 * (1 - C19) / (C17 + C18 + C19)</f>
        <v>2.3668639053254385E-2</v>
      </c>
    </row>
    <row r="28" spans="1:9" x14ac:dyDescent="0.2">
      <c r="B28" s="3" t="s">
        <v>42</v>
      </c>
      <c r="C28" s="4">
        <f xml:space="preserve"> 4 * (1 - C20) / (C17 + C18 + C19 + C20)</f>
        <v>2.0317460317460335E-2</v>
      </c>
    </row>
    <row r="31" spans="1:9" x14ac:dyDescent="0.2">
      <c r="A31" s="9" t="s">
        <v>8</v>
      </c>
      <c r="B31" s="44" t="s">
        <v>43</v>
      </c>
      <c r="C31" s="44"/>
      <c r="D31" s="44"/>
      <c r="E31" s="44"/>
      <c r="F31" s="44"/>
      <c r="G31" s="44"/>
      <c r="H31" s="44"/>
      <c r="I31" s="44"/>
    </row>
    <row r="33" spans="2:9" x14ac:dyDescent="0.2">
      <c r="B33" s="3" t="s">
        <v>44</v>
      </c>
      <c r="C33" s="8">
        <v>0</v>
      </c>
    </row>
    <row r="34" spans="2:9" x14ac:dyDescent="0.2">
      <c r="B34" s="3" t="s">
        <v>45</v>
      </c>
      <c r="C34" s="8">
        <v>0</v>
      </c>
    </row>
    <row r="35" spans="2:9" x14ac:dyDescent="0.2">
      <c r="B35" s="3" t="s">
        <v>46</v>
      </c>
      <c r="C35" s="8">
        <v>0</v>
      </c>
    </row>
    <row r="36" spans="2:9" x14ac:dyDescent="0.2">
      <c r="B36" s="3" t="s">
        <v>47</v>
      </c>
      <c r="C36" s="8">
        <v>0</v>
      </c>
    </row>
    <row r="38" spans="2:9" x14ac:dyDescent="0.2">
      <c r="B38" s="3" t="s">
        <v>10</v>
      </c>
      <c r="C38" s="45" t="s">
        <v>48</v>
      </c>
      <c r="D38" s="45"/>
      <c r="E38" s="45"/>
      <c r="F38" s="45"/>
      <c r="G38" s="45"/>
      <c r="H38" s="45"/>
      <c r="I38" s="45"/>
    </row>
  </sheetData>
  <mergeCells count="9">
    <mergeCell ref="B23:I23"/>
    <mergeCell ref="B31:I31"/>
    <mergeCell ref="C38:I38"/>
    <mergeCell ref="B12:I12"/>
    <mergeCell ref="A1:I1"/>
    <mergeCell ref="A3:I3"/>
    <mergeCell ref="A2:I2"/>
    <mergeCell ref="B5:C5"/>
    <mergeCell ref="B15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100E-0BCC-AF4A-B301-C27762137524}">
  <dimension ref="A1:I51"/>
  <sheetViews>
    <sheetView zoomScale="160" zoomScaleNormal="160" workbookViewId="0">
      <selection activeCell="G13" sqref="G13"/>
    </sheetView>
  </sheetViews>
  <sheetFormatPr baseColWidth="10" defaultRowHeight="16" x14ac:dyDescent="0.2"/>
  <cols>
    <col min="1" max="1" width="10.83203125" style="7"/>
    <col min="2" max="2" width="15.83203125" style="7" customWidth="1"/>
    <col min="3" max="3" width="15" style="7" customWidth="1"/>
    <col min="4" max="8" width="10.83203125" style="7"/>
    <col min="9" max="9" width="10.83203125" style="7" customWidth="1"/>
    <col min="10" max="16384" width="10.83203125" style="7"/>
  </cols>
  <sheetData>
    <row r="1" spans="1:9" s="11" customFormat="1" ht="19" thickTop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 x14ac:dyDescent="0.2">
      <c r="A2" s="53"/>
      <c r="B2" s="53"/>
      <c r="C2" s="53"/>
      <c r="D2" s="53"/>
      <c r="E2" s="53"/>
      <c r="F2" s="53"/>
      <c r="G2" s="53"/>
      <c r="H2" s="53"/>
      <c r="I2" s="53"/>
    </row>
    <row r="3" spans="1:9" ht="17" thickBot="1" x14ac:dyDescent="0.25">
      <c r="A3" s="52" t="s">
        <v>27</v>
      </c>
      <c r="B3" s="52"/>
      <c r="C3" s="52"/>
      <c r="D3" s="52"/>
      <c r="E3" s="52"/>
      <c r="F3" s="52"/>
      <c r="G3" s="52"/>
      <c r="H3" s="52"/>
      <c r="I3" s="52"/>
    </row>
    <row r="5" spans="1:9" ht="17" thickBot="1" x14ac:dyDescent="0.25">
      <c r="B5" s="53" t="s">
        <v>28</v>
      </c>
      <c r="C5" s="53"/>
    </row>
    <row r="6" spans="1:9" ht="17" x14ac:dyDescent="0.2">
      <c r="B6" s="13" t="s">
        <v>2</v>
      </c>
      <c r="C6" s="13" t="s">
        <v>3</v>
      </c>
    </row>
    <row r="7" spans="1:9" x14ac:dyDescent="0.2">
      <c r="B7" s="12">
        <v>1</v>
      </c>
      <c r="C7" s="14">
        <v>0.05</v>
      </c>
    </row>
    <row r="8" spans="1:9" ht="17" thickBot="1" x14ac:dyDescent="0.25">
      <c r="B8" s="15">
        <v>2</v>
      </c>
      <c r="C8" s="16">
        <v>0.03</v>
      </c>
    </row>
    <row r="10" spans="1:9" ht="16" customHeight="1" x14ac:dyDescent="0.2">
      <c r="B10" s="50" t="s">
        <v>70</v>
      </c>
      <c r="C10" s="50"/>
      <c r="D10" s="50"/>
      <c r="E10" s="50"/>
      <c r="F10" s="50"/>
      <c r="G10" s="50"/>
      <c r="H10" s="50"/>
      <c r="I10" s="50"/>
    </row>
    <row r="12" spans="1:9" ht="34" customHeight="1" x14ac:dyDescent="0.2">
      <c r="B12" s="50" t="s">
        <v>29</v>
      </c>
      <c r="C12" s="50"/>
      <c r="D12" s="50"/>
      <c r="E12" s="50"/>
      <c r="F12" s="50"/>
      <c r="G12" s="50"/>
      <c r="H12" s="50"/>
      <c r="I12" s="50"/>
    </row>
    <row r="14" spans="1:9" ht="17" x14ac:dyDescent="0.2">
      <c r="B14" s="12" t="s">
        <v>7</v>
      </c>
      <c r="C14" s="12">
        <v>100</v>
      </c>
    </row>
    <row r="17" spans="1:9" ht="17" x14ac:dyDescent="0.2">
      <c r="A17" s="10" t="s">
        <v>4</v>
      </c>
      <c r="B17" s="49" t="s">
        <v>5</v>
      </c>
      <c r="C17" s="49"/>
      <c r="D17" s="49"/>
      <c r="E17" s="49"/>
      <c r="F17" s="49"/>
      <c r="G17" s="49"/>
      <c r="H17" s="49"/>
      <c r="I17" s="49"/>
    </row>
    <row r="19" spans="1:9" ht="17" x14ac:dyDescent="0.2">
      <c r="B19" s="12" t="s">
        <v>18</v>
      </c>
      <c r="C19" s="17">
        <f xml:space="preserve"> 1 / (1 + C7/1)^(1*1)</f>
        <v>0.95238095238095233</v>
      </c>
    </row>
    <row r="20" spans="1:9" ht="17" x14ac:dyDescent="0.2">
      <c r="B20" s="12" t="s">
        <v>19</v>
      </c>
      <c r="C20" s="17">
        <f xml:space="preserve"> 1 / (1 + C8/1)^(1*2)</f>
        <v>0.94259590913375435</v>
      </c>
    </row>
    <row r="21" spans="1:9" ht="17" x14ac:dyDescent="0.2">
      <c r="B21" s="12" t="s">
        <v>20</v>
      </c>
      <c r="C21" s="17">
        <f>C20/C19</f>
        <v>0.98972570459044207</v>
      </c>
    </row>
    <row r="22" spans="1:9" x14ac:dyDescent="0.2">
      <c r="B22" s="12"/>
      <c r="C22" s="12"/>
    </row>
    <row r="23" spans="1:9" ht="17" x14ac:dyDescent="0.2">
      <c r="B23" s="12" t="s">
        <v>21</v>
      </c>
      <c r="C23" s="18">
        <f xml:space="preserve"> 1 * (1 / C21^(1 / (1*(2-1))) - 1)</f>
        <v>1.038095238095238E-2</v>
      </c>
    </row>
    <row r="26" spans="1:9" ht="17" x14ac:dyDescent="0.2">
      <c r="A26" s="10" t="s">
        <v>6</v>
      </c>
      <c r="B26" s="49" t="s">
        <v>30</v>
      </c>
      <c r="C26" s="49"/>
      <c r="D26" s="49"/>
      <c r="E26" s="49"/>
      <c r="F26" s="49"/>
      <c r="G26" s="49"/>
      <c r="H26" s="49"/>
      <c r="I26" s="49"/>
    </row>
    <row r="28" spans="1:9" ht="17" x14ac:dyDescent="0.2">
      <c r="B28" s="12" t="s">
        <v>22</v>
      </c>
      <c r="C28" s="17">
        <f xml:space="preserve"> C20 * C14 * (1 + C23/1)</f>
        <v>95.238095238095241</v>
      </c>
    </row>
    <row r="29" spans="1:9" ht="17" x14ac:dyDescent="0.2">
      <c r="B29" s="12" t="s">
        <v>23</v>
      </c>
      <c r="C29" s="17">
        <f xml:space="preserve"> C19 * C14</f>
        <v>95.238095238095227</v>
      </c>
    </row>
    <row r="30" spans="1:9" x14ac:dyDescent="0.2">
      <c r="B30" s="12"/>
      <c r="C30" s="12"/>
    </row>
    <row r="31" spans="1:9" ht="17" x14ac:dyDescent="0.2">
      <c r="B31" s="12" t="s">
        <v>24</v>
      </c>
      <c r="C31" s="17">
        <f xml:space="preserve"> C28 - C29</f>
        <v>0</v>
      </c>
    </row>
    <row r="34" spans="1:9" ht="36" customHeight="1" x14ac:dyDescent="0.2">
      <c r="A34" s="10" t="s">
        <v>8</v>
      </c>
      <c r="B34" s="49" t="s">
        <v>11</v>
      </c>
      <c r="C34" s="49"/>
      <c r="D34" s="49"/>
      <c r="E34" s="49"/>
      <c r="F34" s="49"/>
      <c r="G34" s="49"/>
      <c r="H34" s="49"/>
      <c r="I34" s="49"/>
    </row>
    <row r="36" spans="1:9" ht="36" customHeight="1" x14ac:dyDescent="0.2">
      <c r="B36" s="12" t="s">
        <v>10</v>
      </c>
      <c r="C36" s="50" t="s">
        <v>12</v>
      </c>
      <c r="D36" s="50"/>
      <c r="E36" s="50"/>
      <c r="F36" s="50"/>
      <c r="G36" s="50"/>
      <c r="H36" s="50"/>
      <c r="I36" s="50"/>
    </row>
    <row r="38" spans="1:9" ht="17" x14ac:dyDescent="0.2">
      <c r="B38" s="12" t="s">
        <v>13</v>
      </c>
      <c r="C38" s="17">
        <f xml:space="preserve"> (100 + 4) * C21</f>
        <v>102.93147327740597</v>
      </c>
    </row>
    <row r="41" spans="1:9" ht="57" customHeight="1" x14ac:dyDescent="0.2">
      <c r="A41" s="10" t="s">
        <v>9</v>
      </c>
      <c r="B41" s="49" t="s">
        <v>17</v>
      </c>
      <c r="C41" s="49"/>
      <c r="D41" s="49"/>
      <c r="E41" s="49"/>
      <c r="F41" s="49"/>
      <c r="G41" s="49"/>
      <c r="H41" s="49"/>
      <c r="I41" s="49"/>
    </row>
    <row r="42" spans="1:9" ht="17" thickBot="1" x14ac:dyDescent="0.25"/>
    <row r="43" spans="1:9" ht="17" x14ac:dyDescent="0.2">
      <c r="B43" s="13" t="s">
        <v>2</v>
      </c>
      <c r="C43" s="13" t="s">
        <v>14</v>
      </c>
      <c r="D43" s="13" t="s">
        <v>15</v>
      </c>
    </row>
    <row r="44" spans="1:9" x14ac:dyDescent="0.2">
      <c r="B44" s="12">
        <v>1</v>
      </c>
      <c r="C44" s="17">
        <v>99</v>
      </c>
      <c r="D44" s="17">
        <f>C44/100</f>
        <v>0.99</v>
      </c>
    </row>
    <row r="45" spans="1:9" ht="17" thickBot="1" x14ac:dyDescent="0.25">
      <c r="B45" s="15">
        <v>2</v>
      </c>
      <c r="C45" s="19">
        <v>98</v>
      </c>
      <c r="D45" s="19">
        <f>C45/100</f>
        <v>0.98</v>
      </c>
    </row>
    <row r="46" spans="1:9" x14ac:dyDescent="0.2">
      <c r="B46" s="12"/>
      <c r="C46" s="12"/>
      <c r="D46" s="12"/>
    </row>
    <row r="47" spans="1:9" ht="17" x14ac:dyDescent="0.2">
      <c r="B47" s="12" t="s">
        <v>25</v>
      </c>
      <c r="C47" s="17">
        <f xml:space="preserve"> C14 * ( C19/C20 * D45 - D44)</f>
        <v>1.7333333333335865E-2</v>
      </c>
      <c r="D47" s="12"/>
    </row>
    <row r="48" spans="1:9" x14ac:dyDescent="0.2">
      <c r="B48" s="12"/>
      <c r="C48" s="17"/>
      <c r="D48" s="12"/>
    </row>
    <row r="49" spans="2:4" ht="17" x14ac:dyDescent="0.2">
      <c r="B49" s="12" t="s">
        <v>26</v>
      </c>
      <c r="C49" s="17">
        <f>D45/D44</f>
        <v>0.98989898989898994</v>
      </c>
      <c r="D49" s="12"/>
    </row>
    <row r="50" spans="2:4" ht="17" x14ac:dyDescent="0.2">
      <c r="B50" s="12" t="s">
        <v>16</v>
      </c>
      <c r="C50" s="17">
        <f xml:space="preserve"> (100 + 4) * C49</f>
        <v>102.94949494949495</v>
      </c>
      <c r="D50" s="12"/>
    </row>
    <row r="51" spans="2:4" x14ac:dyDescent="0.2">
      <c r="B51" s="12"/>
      <c r="C51" s="12"/>
      <c r="D51" s="12"/>
    </row>
  </sheetData>
  <mergeCells count="11">
    <mergeCell ref="A1:I1"/>
    <mergeCell ref="A3:I3"/>
    <mergeCell ref="A2:I2"/>
    <mergeCell ref="B5:C5"/>
    <mergeCell ref="B12:I12"/>
    <mergeCell ref="B41:I41"/>
    <mergeCell ref="B10:I10"/>
    <mergeCell ref="B26:I26"/>
    <mergeCell ref="B17:I17"/>
    <mergeCell ref="B34:I34"/>
    <mergeCell ref="C36:I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32F3-CF0B-1A46-B1B5-832D4EAAF277}">
  <dimension ref="A1:I26"/>
  <sheetViews>
    <sheetView zoomScale="160" zoomScaleNormal="160" workbookViewId="0">
      <selection activeCell="C39" sqref="C39"/>
    </sheetView>
  </sheetViews>
  <sheetFormatPr baseColWidth="10" defaultRowHeight="16" x14ac:dyDescent="0.2"/>
  <cols>
    <col min="1" max="1" width="10.83203125" style="6"/>
    <col min="2" max="2" width="13.33203125" style="6" customWidth="1"/>
    <col min="3" max="3" width="12.83203125" style="6" customWidth="1"/>
    <col min="4" max="8" width="10.83203125" style="6"/>
    <col min="9" max="9" width="12.83203125" style="6" customWidth="1"/>
    <col min="10" max="16384" width="10.83203125" style="6"/>
  </cols>
  <sheetData>
    <row r="1" spans="1:9" ht="19" thickTop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8"/>
      <c r="B2" s="48"/>
      <c r="C2" s="48"/>
      <c r="D2" s="48"/>
      <c r="E2" s="48"/>
      <c r="F2" s="48"/>
      <c r="G2" s="48"/>
      <c r="H2" s="48"/>
      <c r="I2" s="48"/>
    </row>
    <row r="3" spans="1:9" ht="17" thickBot="1" x14ac:dyDescent="0.25">
      <c r="A3" s="47" t="s">
        <v>54</v>
      </c>
      <c r="B3" s="47"/>
      <c r="C3" s="47"/>
      <c r="D3" s="47"/>
      <c r="E3" s="47"/>
      <c r="F3" s="47"/>
      <c r="G3" s="47"/>
      <c r="H3" s="47"/>
      <c r="I3" s="47"/>
    </row>
    <row r="5" spans="1:9" x14ac:dyDescent="0.2">
      <c r="B5" s="24" t="s">
        <v>55</v>
      </c>
      <c r="C5" s="3"/>
    </row>
    <row r="6" spans="1:9" ht="37" customHeight="1" x14ac:dyDescent="0.2">
      <c r="B6" s="25" t="s">
        <v>56</v>
      </c>
      <c r="C6" s="54" t="s">
        <v>59</v>
      </c>
      <c r="D6" s="54"/>
      <c r="E6" s="54"/>
      <c r="F6" s="54"/>
      <c r="G6" s="54"/>
      <c r="H6" s="54"/>
      <c r="I6" s="54"/>
    </row>
    <row r="7" spans="1:9" ht="36" customHeight="1" x14ac:dyDescent="0.2">
      <c r="B7" s="25" t="s">
        <v>57</v>
      </c>
      <c r="C7" s="55" t="s">
        <v>60</v>
      </c>
      <c r="D7" s="55"/>
      <c r="E7" s="55"/>
      <c r="F7" s="55"/>
      <c r="G7" s="55"/>
      <c r="H7" s="55"/>
      <c r="I7" s="55"/>
    </row>
    <row r="8" spans="1:9" ht="35" customHeight="1" x14ac:dyDescent="0.2">
      <c r="B8" s="25" t="s">
        <v>58</v>
      </c>
      <c r="C8" s="55" t="s">
        <v>61</v>
      </c>
      <c r="D8" s="55"/>
      <c r="E8" s="55"/>
      <c r="F8" s="55"/>
      <c r="G8" s="55"/>
      <c r="H8" s="55"/>
      <c r="I8" s="55"/>
    </row>
    <row r="10" spans="1:9" x14ac:dyDescent="0.2">
      <c r="B10" s="43" t="s">
        <v>69</v>
      </c>
      <c r="C10" s="43"/>
      <c r="D10" s="43"/>
      <c r="E10" s="43"/>
      <c r="F10" s="43"/>
      <c r="G10" s="43"/>
      <c r="H10" s="43"/>
      <c r="I10" s="43"/>
    </row>
    <row r="13" spans="1:9" x14ac:dyDescent="0.2">
      <c r="A13" s="9" t="s">
        <v>4</v>
      </c>
      <c r="B13" s="44" t="s">
        <v>62</v>
      </c>
      <c r="C13" s="44"/>
      <c r="D13" s="44"/>
      <c r="E13" s="44"/>
      <c r="F13" s="44"/>
      <c r="G13" s="44"/>
      <c r="H13" s="44"/>
      <c r="I13" s="44"/>
    </row>
    <row r="15" spans="1:9" x14ac:dyDescent="0.2">
      <c r="B15" s="3" t="s">
        <v>18</v>
      </c>
      <c r="C15" s="8">
        <f xml:space="preserve"> 1 / (1 + 0.05/1)^(1*1)</f>
        <v>0.95238095238095233</v>
      </c>
    </row>
    <row r="16" spans="1:9" x14ac:dyDescent="0.2">
      <c r="B16" s="3" t="s">
        <v>19</v>
      </c>
      <c r="C16" s="8">
        <f xml:space="preserve"> (100 - 5*C15) / (100 + 5)</f>
        <v>0.90702947845804993</v>
      </c>
    </row>
    <row r="17" spans="1:9" x14ac:dyDescent="0.2">
      <c r="B17" s="3" t="s">
        <v>63</v>
      </c>
      <c r="C17" s="8">
        <f xml:space="preserve"> (91.83025591 - 2*(C15 + C16)) / (100 + 2)</f>
        <v>0.86383759851296071</v>
      </c>
    </row>
    <row r="20" spans="1:9" x14ac:dyDescent="0.2">
      <c r="A20" s="9" t="s">
        <v>6</v>
      </c>
      <c r="B20" s="44" t="s">
        <v>64</v>
      </c>
      <c r="C20" s="44"/>
      <c r="D20" s="44"/>
      <c r="E20" s="44"/>
      <c r="F20" s="44"/>
      <c r="G20" s="44"/>
      <c r="H20" s="44"/>
      <c r="I20" s="44"/>
    </row>
    <row r="22" spans="1:9" x14ac:dyDescent="0.2">
      <c r="B22" s="3" t="s">
        <v>65</v>
      </c>
      <c r="C22" s="4">
        <f xml:space="preserve"> 1 * (1 / C15^(1 / (1*1)) - 1)</f>
        <v>5.0000000000000044E-2</v>
      </c>
    </row>
    <row r="23" spans="1:9" x14ac:dyDescent="0.2">
      <c r="B23" s="3" t="s">
        <v>66</v>
      </c>
      <c r="C23" s="4">
        <f xml:space="preserve"> 1 * (1 / C16^(1 / (1*2)) - 1)</f>
        <v>5.0000000000000044E-2</v>
      </c>
    </row>
    <row r="24" spans="1:9" x14ac:dyDescent="0.2">
      <c r="B24" s="3" t="s">
        <v>67</v>
      </c>
      <c r="C24" s="4">
        <f xml:space="preserve"> 1 * (1 / C17^(1 / (1*3)) - 1)</f>
        <v>5.0000000007501821E-2</v>
      </c>
    </row>
    <row r="25" spans="1:9" x14ac:dyDescent="0.2">
      <c r="B25" s="3"/>
      <c r="C25" s="4"/>
    </row>
    <row r="26" spans="1:9" x14ac:dyDescent="0.2">
      <c r="B26" s="3" t="s">
        <v>10</v>
      </c>
      <c r="C26" s="56" t="s">
        <v>68</v>
      </c>
      <c r="D26" s="56"/>
      <c r="E26" s="56"/>
      <c r="F26" s="56"/>
      <c r="G26" s="56"/>
      <c r="H26" s="56"/>
      <c r="I26" s="56"/>
    </row>
  </sheetData>
  <mergeCells count="10">
    <mergeCell ref="A1:I1"/>
    <mergeCell ref="A2:I2"/>
    <mergeCell ref="A3:I3"/>
    <mergeCell ref="B10:I10"/>
    <mergeCell ref="B13:I13"/>
    <mergeCell ref="B20:I20"/>
    <mergeCell ref="C6:I6"/>
    <mergeCell ref="C7:I7"/>
    <mergeCell ref="C8:I8"/>
    <mergeCell ref="C26:I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88A0-D576-794E-A856-EE0EE64BFD95}">
  <dimension ref="A1:I17"/>
  <sheetViews>
    <sheetView zoomScale="160" zoomScaleNormal="160" workbookViewId="0">
      <selection activeCell="E23" sqref="E23"/>
    </sheetView>
  </sheetViews>
  <sheetFormatPr baseColWidth="10" defaultRowHeight="16" x14ac:dyDescent="0.2"/>
  <cols>
    <col min="1" max="1" width="10.83203125" style="6"/>
    <col min="2" max="2" width="13" style="6" customWidth="1"/>
    <col min="3" max="16384" width="10.83203125" style="6"/>
  </cols>
  <sheetData>
    <row r="1" spans="1:9" ht="19" thickTop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8"/>
      <c r="B2" s="48"/>
      <c r="C2" s="48"/>
      <c r="D2" s="48"/>
      <c r="E2" s="48"/>
      <c r="F2" s="48"/>
      <c r="G2" s="48"/>
      <c r="H2" s="48"/>
      <c r="I2" s="48"/>
    </row>
    <row r="3" spans="1:9" ht="17" thickBot="1" x14ac:dyDescent="0.25">
      <c r="A3" s="47" t="s">
        <v>53</v>
      </c>
      <c r="B3" s="47"/>
      <c r="C3" s="47"/>
      <c r="D3" s="47"/>
      <c r="E3" s="47"/>
      <c r="F3" s="47"/>
      <c r="G3" s="47"/>
      <c r="H3" s="47"/>
      <c r="I3" s="47"/>
    </row>
    <row r="5" spans="1:9" x14ac:dyDescent="0.2">
      <c r="A5" s="9" t="s">
        <v>4</v>
      </c>
      <c r="B5" s="44" t="s">
        <v>50</v>
      </c>
      <c r="C5" s="44"/>
      <c r="D5" s="44"/>
      <c r="E5" s="44"/>
      <c r="F5" s="44"/>
      <c r="G5" s="44"/>
      <c r="H5" s="44"/>
      <c r="I5" s="44"/>
    </row>
    <row r="7" spans="1:9" ht="36" customHeight="1" x14ac:dyDescent="0.2">
      <c r="B7" s="3" t="s">
        <v>52</v>
      </c>
      <c r="C7" s="50" t="s">
        <v>51</v>
      </c>
      <c r="D7" s="50"/>
      <c r="E7" s="50"/>
      <c r="F7" s="50"/>
      <c r="G7" s="50"/>
      <c r="H7" s="50"/>
      <c r="I7" s="50"/>
    </row>
    <row r="10" spans="1:9" x14ac:dyDescent="0.2">
      <c r="A10" s="9" t="s">
        <v>6</v>
      </c>
      <c r="B10" s="44" t="s">
        <v>72</v>
      </c>
      <c r="C10" s="44"/>
      <c r="D10" s="44"/>
      <c r="E10" s="44"/>
      <c r="F10" s="44"/>
      <c r="G10" s="44"/>
      <c r="H10" s="44"/>
      <c r="I10" s="44"/>
    </row>
    <row r="12" spans="1:9" ht="37" customHeight="1" x14ac:dyDescent="0.2">
      <c r="B12" s="3" t="s">
        <v>52</v>
      </c>
      <c r="C12" s="50" t="s">
        <v>73</v>
      </c>
      <c r="D12" s="50"/>
      <c r="E12" s="50"/>
      <c r="F12" s="50"/>
      <c r="G12" s="50"/>
      <c r="H12" s="50"/>
      <c r="I12" s="50"/>
    </row>
    <row r="15" spans="1:9" ht="55" customHeight="1" x14ac:dyDescent="0.2">
      <c r="A15" s="9" t="s">
        <v>8</v>
      </c>
      <c r="B15" s="49" t="s">
        <v>74</v>
      </c>
      <c r="C15" s="49"/>
      <c r="D15" s="49"/>
      <c r="E15" s="49"/>
      <c r="F15" s="49"/>
      <c r="G15" s="49"/>
      <c r="H15" s="49"/>
      <c r="I15" s="49"/>
    </row>
    <row r="17" spans="2:9" ht="42" customHeight="1" x14ac:dyDescent="0.2">
      <c r="B17" s="3" t="s">
        <v>52</v>
      </c>
      <c r="C17" s="50" t="s">
        <v>75</v>
      </c>
      <c r="D17" s="50"/>
      <c r="E17" s="50"/>
      <c r="F17" s="50"/>
      <c r="G17" s="50"/>
      <c r="H17" s="50"/>
      <c r="I17" s="50"/>
    </row>
  </sheetData>
  <mergeCells count="9">
    <mergeCell ref="C12:I12"/>
    <mergeCell ref="B15:I15"/>
    <mergeCell ref="C17:I17"/>
    <mergeCell ref="A1:I1"/>
    <mergeCell ref="A3:I3"/>
    <mergeCell ref="A2:I2"/>
    <mergeCell ref="B5:I5"/>
    <mergeCell ref="C7:I7"/>
    <mergeCell ref="B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Ding</dc:creator>
  <cp:lastModifiedBy>Nic Detroia</cp:lastModifiedBy>
  <dcterms:created xsi:type="dcterms:W3CDTF">2025-07-20T14:18:54Z</dcterms:created>
  <dcterms:modified xsi:type="dcterms:W3CDTF">2025-07-22T14:48:30Z</dcterms:modified>
</cp:coreProperties>
</file>