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filterPrivacy="1" defaultThemeVersion="124226"/>
  <xr:revisionPtr revIDLastSave="0" documentId="13_ncr:1_{507C7269-3005-2A4A-9E70-4AEAEB87048F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1" i="1" l="1"/>
  <c r="C132" i="1"/>
  <c r="C130" i="1"/>
  <c r="D119" i="1"/>
  <c r="D121" i="1"/>
  <c r="C120" i="1"/>
  <c r="D123" i="1"/>
  <c r="C122" i="1"/>
  <c r="B121" i="1"/>
  <c r="H110" i="1"/>
  <c r="I110" i="1"/>
  <c r="C111" i="1"/>
  <c r="C113" i="1"/>
  <c r="B112" i="1"/>
  <c r="H109" i="1"/>
  <c r="I109" i="1"/>
  <c r="B105" i="1"/>
  <c r="H108" i="1"/>
  <c r="I108" i="1"/>
  <c r="B16" i="1"/>
  <c r="C17" i="1"/>
  <c r="C15" i="1"/>
  <c r="E29" i="1"/>
  <c r="B69" i="1"/>
  <c r="G69" i="1"/>
  <c r="E30" i="1"/>
  <c r="B71" i="1"/>
  <c r="G71" i="1"/>
  <c r="F70" i="1"/>
  <c r="B73" i="1"/>
  <c r="G73" i="1"/>
  <c r="F72" i="1"/>
  <c r="D81" i="1"/>
  <c r="D83" i="1"/>
  <c r="C82" i="1"/>
  <c r="D85" i="1"/>
  <c r="C84" i="1"/>
  <c r="K83" i="1"/>
  <c r="G83" i="1"/>
  <c r="L84" i="1"/>
  <c r="H84" i="1"/>
  <c r="L82" i="1"/>
  <c r="H82" i="1"/>
  <c r="B83" i="1"/>
  <c r="E71" i="1"/>
  <c r="B39" i="1"/>
  <c r="E39" i="1"/>
  <c r="D60" i="1"/>
  <c r="C60" i="1"/>
  <c r="B41" i="1"/>
  <c r="E41" i="1"/>
  <c r="D61" i="1"/>
  <c r="C61" i="1"/>
  <c r="H61" i="1"/>
  <c r="H60" i="1"/>
  <c r="M60" i="1"/>
  <c r="E53" i="1"/>
  <c r="E55" i="1"/>
  <c r="D54" i="1"/>
  <c r="E46" i="1"/>
  <c r="E48" i="1"/>
  <c r="D23" i="1"/>
  <c r="D24" i="1"/>
  <c r="D25" i="1"/>
  <c r="D26" i="1"/>
  <c r="D27" i="1"/>
  <c r="D47" i="1"/>
</calcChain>
</file>

<file path=xl/sharedStrings.xml><?xml version="1.0" encoding="utf-8"?>
<sst xmlns="http://schemas.openxmlformats.org/spreadsheetml/2006/main" count="100" uniqueCount="55">
  <si>
    <t>Exercise 11.1</t>
    <phoneticPr fontId="0" type="noConversion"/>
  </si>
  <si>
    <t>Interest Rate Tree</t>
  </si>
  <si>
    <t>i = 0</t>
  </si>
  <si>
    <t>i = 1</t>
  </si>
  <si>
    <t>i = 2</t>
  </si>
  <si>
    <t>Risk neutral probability</t>
  </si>
  <si>
    <t>Price of 1-year ZCB</t>
  </si>
  <si>
    <t>Price of 2-year ZCB</t>
  </si>
  <si>
    <t>i = 3</t>
  </si>
  <si>
    <t>(b) Price of security that pays 100 if r(2) = 7.23%</t>
  </si>
  <si>
    <t>Exercise 10.1</t>
    <phoneticPr fontId="0" type="noConversion"/>
  </si>
  <si>
    <t>(a) Price of 2-year ZCB</t>
  </si>
  <si>
    <t>Two year discount factor</t>
  </si>
  <si>
    <t xml:space="preserve">Z(0,2) = </t>
  </si>
  <si>
    <t>(b) Market Price of Risk</t>
  </si>
  <si>
    <t xml:space="preserve">Risk Premium = </t>
  </si>
  <si>
    <t>Risk Premium is difference of PV(E[p1]) and p0</t>
  </si>
  <si>
    <t>Risk =</t>
  </si>
  <si>
    <t>Risk = p1,u - p1,d</t>
  </si>
  <si>
    <t>Lambda =</t>
  </si>
  <si>
    <t>Market Price of Risk is defined as ratio of Risk Premium and Risk</t>
  </si>
  <si>
    <t xml:space="preserve">E(p1) = </t>
  </si>
  <si>
    <t xml:space="preserve"> i = 1</t>
  </si>
  <si>
    <t xml:space="preserve">K = </t>
  </si>
  <si>
    <t>Option Price</t>
  </si>
  <si>
    <t>p*</t>
  </si>
  <si>
    <t>Risk-neutral Pricing</t>
  </si>
  <si>
    <t>Replication Strategy</t>
  </si>
  <si>
    <t>1-year ZCB</t>
  </si>
  <si>
    <t>2-year ZCB</t>
  </si>
  <si>
    <t>Option</t>
  </si>
  <si>
    <t>N1</t>
  </si>
  <si>
    <t>N2</t>
  </si>
  <si>
    <t>i = 1,d</t>
  </si>
  <si>
    <t>Replicating Portfolio</t>
  </si>
  <si>
    <t>Value of Option:</t>
  </si>
  <si>
    <t>3-year ZCB</t>
  </si>
  <si>
    <t>Porftolio Weights 3-yr ZCB</t>
  </si>
  <si>
    <t>Porftolio Weights 1-yr ZCB</t>
  </si>
  <si>
    <t>PV(E[p1]) =</t>
  </si>
  <si>
    <t>1 - p*</t>
  </si>
  <si>
    <t>(c) 1-year call option on 1-year ZCB</t>
  </si>
  <si>
    <t xml:space="preserve">Risk-neutral Probability = </t>
  </si>
  <si>
    <t>Option Payoff</t>
  </si>
  <si>
    <t>Pricing using Market Price of Risk</t>
  </si>
  <si>
    <t>i = 1,u</t>
  </si>
  <si>
    <t>Value of Option is N1 * p0(1) + N2 * p0(2)</t>
  </si>
  <si>
    <t>(d) 2-year call option on 1-year ZCB</t>
  </si>
  <si>
    <t>(e) Dynamic replication</t>
  </si>
  <si>
    <t>Use short-term bond and 3-year ZCB to replicate option payoff.</t>
  </si>
  <si>
    <t>(a) Spot curve for maturities i = 1, 2, 3</t>
  </si>
  <si>
    <t>Price of 3-year ZCB</t>
  </si>
  <si>
    <t>T</t>
  </si>
  <si>
    <t>Z(0, T)</t>
  </si>
  <si>
    <t>Yield c.c.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</si>
</sst>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9C6500"/>
      <name val="Times New Roman"/>
      <family val="1"/>
    </font>
    <font>
      <sz val="11"/>
      <color rgb="FF006100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/>
      <bottom/>
      <diagonal/>
    </border>
    <border>
      <left/>
      <right style="medium">
        <color theme="9" tint="-0.24994659260841701"/>
      </right>
      <top style="medium">
        <color rgb="FF00B0F0"/>
      </top>
      <bottom style="medium">
        <color theme="9" tint="-0.24994659260841701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 style="medium">
        <color theme="9" tint="-0.24994659260841701"/>
      </left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 style="medium">
        <color theme="9" tint="-0.24994659260841701"/>
      </left>
      <right style="medium">
        <color rgb="FF92D050"/>
      </right>
      <top style="medium">
        <color rgb="FF00B0F0"/>
      </top>
      <bottom style="medium">
        <color theme="9" tint="-0.24994659260841701"/>
      </bottom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 style="medium">
        <color rgb="FF00B0F0"/>
      </left>
      <right style="medium">
        <color rgb="FF92D050"/>
      </right>
      <top/>
      <bottom style="medium">
        <color rgb="FF92D050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9" fontId="8" fillId="0" borderId="0" applyFont="0" applyFill="0" applyBorder="0" applyAlignment="0" applyProtection="0"/>
  </cellStyleXfs>
  <cellXfs count="34">
    <xf numFmtId="0" fontId="0" fillId="0" borderId="0" xfId="0"/>
    <xf numFmtId="0" fontId="4" fillId="4" borderId="0" xfId="3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0" fontId="5" fillId="0" borderId="0" xfId="0" applyNumberFormat="1" applyFont="1" applyAlignment="1">
      <alignment vertical="center"/>
    </xf>
    <xf numFmtId="10" fontId="6" fillId="3" borderId="0" xfId="2" applyNumberFormat="1" applyFont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2" fontId="6" fillId="3" borderId="0" xfId="2" applyNumberFormat="1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vertical="center"/>
    </xf>
    <xf numFmtId="0" fontId="7" fillId="2" borderId="0" xfId="1" applyFont="1" applyAlignment="1">
      <alignment vertical="center"/>
    </xf>
    <xf numFmtId="10" fontId="5" fillId="0" borderId="0" xfId="4" applyNumberFormat="1" applyFont="1" applyAlignment="1">
      <alignment horizontal="center" vertical="center"/>
    </xf>
    <xf numFmtId="2" fontId="6" fillId="0" borderId="0" xfId="2" applyNumberFormat="1" applyFont="1" applyFill="1" applyAlignment="1">
      <alignment horizontal="center" vertical="center"/>
    </xf>
    <xf numFmtId="0" fontId="5" fillId="0" borderId="6" xfId="0" applyFont="1" applyBorder="1" applyAlignment="1">
      <alignment vertical="center"/>
    </xf>
    <xf numFmtId="2" fontId="6" fillId="3" borderId="7" xfId="2" applyNumberFormat="1" applyFont="1" applyBorder="1" applyAlignment="1">
      <alignment horizontal="center" vertical="center"/>
    </xf>
    <xf numFmtId="2" fontId="5" fillId="0" borderId="11" xfId="0" applyNumberFormat="1" applyFont="1" applyBorder="1" applyAlignment="1">
      <alignment horizontal="center" vertical="center"/>
    </xf>
    <xf numFmtId="2" fontId="6" fillId="3" borderId="12" xfId="2" applyNumberFormat="1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2" fontId="6" fillId="3" borderId="13" xfId="2" applyNumberFormat="1" applyFont="1" applyBorder="1" applyAlignment="1">
      <alignment horizontal="center" vertical="center"/>
    </xf>
    <xf numFmtId="2" fontId="5" fillId="0" borderId="14" xfId="0" applyNumberFormat="1" applyFont="1" applyBorder="1" applyAlignment="1">
      <alignment vertical="center"/>
    </xf>
    <xf numFmtId="2" fontId="6" fillId="3" borderId="9" xfId="2" applyNumberFormat="1" applyFont="1" applyBorder="1" applyAlignment="1">
      <alignment horizontal="center" vertical="center"/>
    </xf>
    <xf numFmtId="2" fontId="5" fillId="0" borderId="15" xfId="0" applyNumberFormat="1" applyFont="1" applyBorder="1" applyAlignment="1">
      <alignment horizontal="center" vertical="center"/>
    </xf>
    <xf numFmtId="2" fontId="6" fillId="3" borderId="16" xfId="2" applyNumberFormat="1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2" fontId="6" fillId="3" borderId="4" xfId="2" applyNumberFormat="1" applyFont="1" applyBorder="1" applyAlignment="1">
      <alignment horizontal="center" vertical="center"/>
    </xf>
    <xf numFmtId="2" fontId="6" fillId="3" borderId="5" xfId="2" applyNumberFormat="1" applyFont="1" applyBorder="1" applyAlignment="1">
      <alignment horizontal="center" vertical="center"/>
    </xf>
    <xf numFmtId="2" fontId="6" fillId="3" borderId="10" xfId="2" applyNumberFormat="1" applyFont="1" applyBorder="1" applyAlignment="1">
      <alignment horizontal="center" vertical="center"/>
    </xf>
    <xf numFmtId="2" fontId="6" fillId="3" borderId="1" xfId="2" applyNumberFormat="1" applyFont="1" applyBorder="1" applyAlignment="1">
      <alignment horizontal="center" vertical="center"/>
    </xf>
    <xf numFmtId="9" fontId="5" fillId="0" borderId="0" xfId="4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7" fillId="2" borderId="0" xfId="1" applyFont="1" applyAlignment="1">
      <alignment horizontal="center" vertical="center"/>
    </xf>
  </cellXfs>
  <cellStyles count="5">
    <cellStyle name="Good" xfId="1" builtinId="26"/>
    <cellStyle name="Neutral" xfId="2" builtinId="28"/>
    <cellStyle name="Normal" xfId="0" builtinId="0"/>
    <cellStyle name="Normal 3" xfId="3" xr:uid="{00000000-0005-0000-0000-000000000000}"/>
    <cellStyle name="Percent" xfId="4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"/>
  <sheetViews>
    <sheetView tabSelected="1" zoomScale="162" workbookViewId="0">
      <selection activeCell="D23" sqref="D23"/>
    </sheetView>
  </sheetViews>
  <sheetFormatPr baseColWidth="10" defaultColWidth="10.5" defaultRowHeight="14" x14ac:dyDescent="0.2"/>
  <cols>
    <col min="1" max="1" width="10.5" style="2"/>
    <col min="2" max="2" width="11.33203125" style="2" customWidth="1"/>
    <col min="3" max="3" width="11.1640625" style="2" customWidth="1"/>
    <col min="4" max="4" width="10.5" style="2"/>
    <col min="5" max="5" width="11.1640625" style="2" customWidth="1"/>
    <col min="6" max="6" width="10.5" style="2"/>
    <col min="7" max="7" width="11.6640625" style="2" customWidth="1"/>
    <col min="8" max="8" width="12.83203125" style="2" customWidth="1"/>
    <col min="9" max="10" width="10.5" style="2"/>
    <col min="11" max="12" width="12" style="2" customWidth="1"/>
    <col min="13" max="16384" width="10.5" style="2"/>
  </cols>
  <sheetData>
    <row r="1" spans="1:9" ht="16" x14ac:dyDescent="0.2">
      <c r="A1" s="1" t="s">
        <v>10</v>
      </c>
      <c r="B1" s="1"/>
    </row>
    <row r="3" spans="1:9" x14ac:dyDescent="0.2">
      <c r="B3" s="31" t="s">
        <v>1</v>
      </c>
      <c r="C3" s="31"/>
      <c r="D3" s="31"/>
    </row>
    <row r="4" spans="1:9" x14ac:dyDescent="0.2">
      <c r="B4" s="3" t="s">
        <v>2</v>
      </c>
      <c r="C4" s="3" t="s">
        <v>3</v>
      </c>
      <c r="D4" s="3" t="s">
        <v>4</v>
      </c>
    </row>
    <row r="5" spans="1:9" x14ac:dyDescent="0.2">
      <c r="A5" s="3"/>
      <c r="B5" s="4"/>
      <c r="C5" s="4"/>
      <c r="D5" s="5">
        <v>0.1</v>
      </c>
    </row>
    <row r="6" spans="1:9" x14ac:dyDescent="0.2">
      <c r="B6" s="6"/>
      <c r="C6" s="5">
        <v>7.0000000000000007E-2</v>
      </c>
      <c r="D6" s="4"/>
    </row>
    <row r="7" spans="1:9" x14ac:dyDescent="0.2">
      <c r="B7" s="5">
        <v>0.04</v>
      </c>
      <c r="C7" s="4"/>
      <c r="D7" s="5">
        <v>0.05</v>
      </c>
    </row>
    <row r="8" spans="1:9" x14ac:dyDescent="0.2">
      <c r="B8" s="6"/>
      <c r="C8" s="5">
        <v>0.03</v>
      </c>
      <c r="D8" s="4"/>
    </row>
    <row r="9" spans="1:9" x14ac:dyDescent="0.2">
      <c r="B9" s="4"/>
      <c r="C9" s="4"/>
      <c r="D9" s="5">
        <v>0.02</v>
      </c>
    </row>
    <row r="11" spans="1:9" x14ac:dyDescent="0.2">
      <c r="A11" s="2" t="s">
        <v>11</v>
      </c>
    </row>
    <row r="12" spans="1:9" x14ac:dyDescent="0.2">
      <c r="F12" s="31" t="s">
        <v>12</v>
      </c>
      <c r="G12" s="31"/>
      <c r="H12" s="3" t="s">
        <v>13</v>
      </c>
      <c r="I12" s="7">
        <v>0.9</v>
      </c>
    </row>
    <row r="13" spans="1:9" x14ac:dyDescent="0.2">
      <c r="B13" s="3" t="s">
        <v>2</v>
      </c>
      <c r="C13" s="3" t="s">
        <v>3</v>
      </c>
      <c r="D13" s="3" t="s">
        <v>4</v>
      </c>
    </row>
    <row r="14" spans="1:9" x14ac:dyDescent="0.2">
      <c r="D14" s="8">
        <v>100</v>
      </c>
    </row>
    <row r="15" spans="1:9" x14ac:dyDescent="0.2">
      <c r="B15" s="9"/>
      <c r="C15" s="8">
        <f xml:space="preserve"> 100 * EXP(-C6 * 1)</f>
        <v>93.239381990594822</v>
      </c>
    </row>
    <row r="16" spans="1:9" x14ac:dyDescent="0.2">
      <c r="B16" s="8">
        <f xml:space="preserve"> 100 * I12</f>
        <v>90</v>
      </c>
      <c r="C16" s="10"/>
      <c r="D16" s="8">
        <v>100</v>
      </c>
    </row>
    <row r="17" spans="1:11" x14ac:dyDescent="0.2">
      <c r="B17" s="9"/>
      <c r="C17" s="8">
        <f xml:space="preserve"> 100 * EXP(-C8 * 1)</f>
        <v>97.044553354850819</v>
      </c>
    </row>
    <row r="18" spans="1:11" x14ac:dyDescent="0.2">
      <c r="D18" s="8">
        <v>100</v>
      </c>
    </row>
    <row r="21" spans="1:11" x14ac:dyDescent="0.2">
      <c r="A21" s="2" t="s">
        <v>14</v>
      </c>
    </row>
    <row r="23" spans="1:11" x14ac:dyDescent="0.2">
      <c r="B23" s="31" t="s">
        <v>21</v>
      </c>
      <c r="C23" s="31"/>
      <c r="D23" s="7">
        <f xml:space="preserve"> 0.5 * C15 + 0.5 * C17</f>
        <v>95.141967672722814</v>
      </c>
    </row>
    <row r="24" spans="1:11" x14ac:dyDescent="0.2">
      <c r="B24" s="31" t="s">
        <v>39</v>
      </c>
      <c r="C24" s="31"/>
      <c r="D24" s="7">
        <f xml:space="preserve"> D23 * EXP(-B7 * 1)</f>
        <v>91.411397760123819</v>
      </c>
    </row>
    <row r="25" spans="1:11" x14ac:dyDescent="0.2">
      <c r="B25" s="31" t="s">
        <v>15</v>
      </c>
      <c r="C25" s="31"/>
      <c r="D25" s="7">
        <f xml:space="preserve"> D24 - B16</f>
        <v>1.411397760123819</v>
      </c>
      <c r="F25" s="11" t="s">
        <v>16</v>
      </c>
      <c r="G25" s="11"/>
      <c r="H25" s="11"/>
      <c r="I25" s="11"/>
      <c r="J25" s="11"/>
      <c r="K25" s="11"/>
    </row>
    <row r="26" spans="1:11" x14ac:dyDescent="0.2">
      <c r="B26" s="31" t="s">
        <v>17</v>
      </c>
      <c r="C26" s="31"/>
      <c r="D26" s="7">
        <f xml:space="preserve"> C15 - C17</f>
        <v>-3.8051713642559974</v>
      </c>
      <c r="F26" s="11" t="s">
        <v>18</v>
      </c>
      <c r="G26" s="11"/>
      <c r="H26" s="11"/>
      <c r="I26" s="11"/>
      <c r="J26" s="11"/>
      <c r="K26" s="11"/>
    </row>
    <row r="27" spans="1:11" x14ac:dyDescent="0.2">
      <c r="B27" s="31" t="s">
        <v>19</v>
      </c>
      <c r="C27" s="31"/>
      <c r="D27" s="7">
        <f xml:space="preserve"> D25 / D26</f>
        <v>-0.3709156894698174</v>
      </c>
      <c r="F27" s="11" t="s">
        <v>20</v>
      </c>
      <c r="G27" s="11"/>
      <c r="H27" s="11"/>
      <c r="I27" s="11"/>
      <c r="J27" s="11"/>
      <c r="K27" s="11"/>
    </row>
    <row r="29" spans="1:11" x14ac:dyDescent="0.2">
      <c r="B29" s="31" t="s">
        <v>42</v>
      </c>
      <c r="C29" s="31"/>
      <c r="D29" s="3" t="s">
        <v>25</v>
      </c>
      <c r="E29" s="12">
        <f xml:space="preserve"> (B16 * EXP(B7 * 1) - C17) / (C15 - C17)</f>
        <v>0.88605304591718614</v>
      </c>
    </row>
    <row r="30" spans="1:11" x14ac:dyDescent="0.2">
      <c r="D30" s="3" t="s">
        <v>40</v>
      </c>
      <c r="E30" s="12">
        <f xml:space="preserve"> 1 - E29</f>
        <v>0.11394695408281386</v>
      </c>
    </row>
    <row r="33" spans="1:5" x14ac:dyDescent="0.2">
      <c r="A33" s="2" t="s">
        <v>41</v>
      </c>
    </row>
    <row r="34" spans="1:5" x14ac:dyDescent="0.2">
      <c r="D34" s="3" t="s">
        <v>23</v>
      </c>
      <c r="E34" s="3">
        <v>95</v>
      </c>
    </row>
    <row r="35" spans="1:5" x14ac:dyDescent="0.2">
      <c r="D35" s="3"/>
      <c r="E35" s="3"/>
    </row>
    <row r="36" spans="1:5" x14ac:dyDescent="0.2">
      <c r="A36" s="2" t="s">
        <v>43</v>
      </c>
      <c r="D36" s="3"/>
      <c r="E36" s="3"/>
    </row>
    <row r="37" spans="1:5" x14ac:dyDescent="0.2">
      <c r="B37" s="3" t="s">
        <v>6</v>
      </c>
      <c r="E37" s="3" t="s">
        <v>24</v>
      </c>
    </row>
    <row r="38" spans="1:5" x14ac:dyDescent="0.2">
      <c r="B38" s="3" t="s">
        <v>22</v>
      </c>
      <c r="D38" s="3"/>
      <c r="E38" s="3" t="s">
        <v>3</v>
      </c>
    </row>
    <row r="39" spans="1:5" x14ac:dyDescent="0.2">
      <c r="B39" s="8">
        <f xml:space="preserve"> C15</f>
        <v>93.239381990594822</v>
      </c>
      <c r="D39" s="9"/>
      <c r="E39" s="8">
        <f xml:space="preserve"> MAX(B39 - $E$34, 0)</f>
        <v>0</v>
      </c>
    </row>
    <row r="40" spans="1:5" x14ac:dyDescent="0.2">
      <c r="B40" s="10"/>
      <c r="D40" s="13"/>
      <c r="E40" s="10"/>
    </row>
    <row r="41" spans="1:5" x14ac:dyDescent="0.2">
      <c r="B41" s="8">
        <f xml:space="preserve"> C17</f>
        <v>97.044553354850819</v>
      </c>
      <c r="D41" s="9"/>
      <c r="E41" s="8">
        <f xml:space="preserve"> MAX(B41 - $E$34, 0)</f>
        <v>2.0445533548508195</v>
      </c>
    </row>
    <row r="42" spans="1:5" x14ac:dyDescent="0.2">
      <c r="B42" s="13"/>
      <c r="D42" s="9"/>
      <c r="E42" s="13"/>
    </row>
    <row r="43" spans="1:5" x14ac:dyDescent="0.2">
      <c r="A43" s="2" t="s">
        <v>44</v>
      </c>
      <c r="D43" s="3"/>
      <c r="E43" s="3"/>
    </row>
    <row r="44" spans="1:5" x14ac:dyDescent="0.2">
      <c r="B44" s="3"/>
      <c r="D44" s="31" t="s">
        <v>24</v>
      </c>
      <c r="E44" s="31"/>
    </row>
    <row r="45" spans="1:5" x14ac:dyDescent="0.2">
      <c r="B45" s="3"/>
      <c r="D45" s="3" t="s">
        <v>2</v>
      </c>
      <c r="E45" s="3" t="s">
        <v>3</v>
      </c>
    </row>
    <row r="46" spans="1:5" x14ac:dyDescent="0.2">
      <c r="B46" s="13"/>
      <c r="D46" s="9"/>
      <c r="E46" s="8">
        <f xml:space="preserve"> E39</f>
        <v>0</v>
      </c>
    </row>
    <row r="47" spans="1:5" x14ac:dyDescent="0.2">
      <c r="B47" s="10"/>
      <c r="D47" s="8">
        <f xml:space="preserve"> EXP(-B7*1) * (0.5*E46 + 0.5*E48) - D27*(E46 - E48)</f>
        <v>0.22383571828973992</v>
      </c>
      <c r="E47" s="10"/>
    </row>
    <row r="48" spans="1:5" x14ac:dyDescent="0.2">
      <c r="B48" s="13"/>
      <c r="D48" s="9"/>
      <c r="E48" s="8">
        <f xml:space="preserve"> E41</f>
        <v>2.0445533548508195</v>
      </c>
    </row>
    <row r="49" spans="1:14" x14ac:dyDescent="0.2">
      <c r="B49" s="13"/>
      <c r="D49" s="9"/>
      <c r="E49" s="13"/>
    </row>
    <row r="50" spans="1:14" x14ac:dyDescent="0.2">
      <c r="A50" s="2" t="s">
        <v>26</v>
      </c>
      <c r="D50" s="3"/>
      <c r="E50" s="3"/>
    </row>
    <row r="51" spans="1:14" x14ac:dyDescent="0.2">
      <c r="B51" s="3"/>
      <c r="D51" s="31" t="s">
        <v>24</v>
      </c>
      <c r="E51" s="31"/>
    </row>
    <row r="52" spans="1:14" x14ac:dyDescent="0.2">
      <c r="B52" s="3"/>
      <c r="D52" s="3" t="s">
        <v>2</v>
      </c>
      <c r="E52" s="3" t="s">
        <v>3</v>
      </c>
    </row>
    <row r="53" spans="1:14" x14ac:dyDescent="0.2">
      <c r="B53" s="13"/>
      <c r="D53" s="9"/>
      <c r="E53" s="8">
        <f xml:space="preserve"> E39</f>
        <v>0</v>
      </c>
    </row>
    <row r="54" spans="1:14" x14ac:dyDescent="0.2">
      <c r="B54" s="10"/>
      <c r="D54" s="8">
        <f xml:space="preserve"> EXP(-B7*1) * (E29*E53 + E30*E55)</f>
        <v>0.22383571828973592</v>
      </c>
      <c r="E54" s="10"/>
    </row>
    <row r="55" spans="1:14" x14ac:dyDescent="0.2">
      <c r="B55" s="13"/>
      <c r="D55" s="9"/>
      <c r="E55" s="8">
        <f xml:space="preserve"> E41</f>
        <v>2.0445533548508195</v>
      </c>
    </row>
    <row r="57" spans="1:14" x14ac:dyDescent="0.2">
      <c r="A57" s="2" t="s">
        <v>27</v>
      </c>
    </row>
    <row r="58" spans="1:14" x14ac:dyDescent="0.2">
      <c r="K58" s="33" t="s">
        <v>46</v>
      </c>
      <c r="L58" s="33"/>
      <c r="M58" s="33"/>
      <c r="N58" s="33"/>
    </row>
    <row r="59" spans="1:14" ht="15" customHeight="1" x14ac:dyDescent="0.2">
      <c r="A59" s="3"/>
      <c r="B59" s="3" t="s">
        <v>28</v>
      </c>
      <c r="C59" s="3" t="s">
        <v>29</v>
      </c>
      <c r="D59" s="3" t="s">
        <v>30</v>
      </c>
      <c r="G59" s="31" t="s">
        <v>34</v>
      </c>
      <c r="H59" s="31"/>
    </row>
    <row r="60" spans="1:14" x14ac:dyDescent="0.2">
      <c r="A60" s="3" t="s">
        <v>45</v>
      </c>
      <c r="B60" s="3">
        <v>100</v>
      </c>
      <c r="C60" s="9">
        <f xml:space="preserve"> C15</f>
        <v>93.239381990594822</v>
      </c>
      <c r="D60" s="9">
        <f xml:space="preserve"> E39</f>
        <v>0</v>
      </c>
      <c r="G60" s="3" t="s">
        <v>31</v>
      </c>
      <c r="H60" s="7">
        <f xml:space="preserve"> (D60 - C60*H61) / B60</f>
        <v>-0.5009837218996338</v>
      </c>
      <c r="K60" s="31" t="s">
        <v>35</v>
      </c>
      <c r="L60" s="31"/>
      <c r="M60" s="7">
        <f xml:space="preserve"> H60 *100*EXP(-B7*1) + H61*B16</f>
        <v>0.2238357182897488</v>
      </c>
    </row>
    <row r="61" spans="1:14" x14ac:dyDescent="0.2">
      <c r="A61" s="3" t="s">
        <v>33</v>
      </c>
      <c r="B61" s="3">
        <v>100</v>
      </c>
      <c r="C61" s="9">
        <f xml:space="preserve"> C17</f>
        <v>97.044553354850819</v>
      </c>
      <c r="D61" s="9">
        <f xml:space="preserve"> E41</f>
        <v>2.0445533548508195</v>
      </c>
      <c r="G61" s="3" t="s">
        <v>32</v>
      </c>
      <c r="H61" s="7">
        <f xml:space="preserve"> (D60 - D61) / (C60 - C61)</f>
        <v>0.53730914041254452</v>
      </c>
    </row>
    <row r="63" spans="1:14" x14ac:dyDescent="0.2">
      <c r="A63" s="2" t="s">
        <v>47</v>
      </c>
    </row>
    <row r="64" spans="1:14" x14ac:dyDescent="0.2">
      <c r="D64" s="3" t="s">
        <v>23</v>
      </c>
      <c r="E64" s="3">
        <v>96</v>
      </c>
    </row>
    <row r="65" spans="1:13" x14ac:dyDescent="0.2">
      <c r="A65" s="2" t="s">
        <v>26</v>
      </c>
    </row>
    <row r="66" spans="1:13" x14ac:dyDescent="0.2">
      <c r="B66" s="31" t="s">
        <v>6</v>
      </c>
      <c r="C66" s="31"/>
      <c r="E66" s="31" t="s">
        <v>24</v>
      </c>
      <c r="F66" s="31"/>
      <c r="G66" s="31"/>
    </row>
    <row r="67" spans="1:13" x14ac:dyDescent="0.2">
      <c r="B67" s="3" t="s">
        <v>4</v>
      </c>
      <c r="C67" s="3" t="s">
        <v>8</v>
      </c>
      <c r="D67" s="3"/>
      <c r="E67" s="3" t="s">
        <v>2</v>
      </c>
      <c r="F67" s="3" t="s">
        <v>3</v>
      </c>
      <c r="G67" s="3" t="s">
        <v>4</v>
      </c>
    </row>
    <row r="68" spans="1:13" ht="15" thickBot="1" x14ac:dyDescent="0.25">
      <c r="B68" s="3"/>
      <c r="C68" s="8">
        <v>100</v>
      </c>
      <c r="D68" s="3"/>
      <c r="E68" s="3"/>
      <c r="F68" s="3"/>
      <c r="K68" s="3"/>
      <c r="L68" s="3"/>
      <c r="M68" s="3"/>
    </row>
    <row r="69" spans="1:13" ht="15" thickBot="1" x14ac:dyDescent="0.25">
      <c r="B69" s="8">
        <f xml:space="preserve"> 100 * EXP(-D5*1)</f>
        <v>90.483741803595947</v>
      </c>
      <c r="F69" s="14"/>
      <c r="G69" s="15">
        <f xml:space="preserve"> MAX(B69 - $E$64, 0)</f>
        <v>0</v>
      </c>
      <c r="M69" s="13"/>
    </row>
    <row r="70" spans="1:13" ht="15" thickBot="1" x14ac:dyDescent="0.25">
      <c r="B70" s="10"/>
      <c r="C70" s="8">
        <v>100</v>
      </c>
      <c r="D70" s="9"/>
      <c r="E70" s="16"/>
      <c r="F70" s="17">
        <f xml:space="preserve"> EXP(-C6*1) * ($E$29*G69 + $E$30*G71)</f>
        <v>0</v>
      </c>
      <c r="G70" s="18"/>
      <c r="K70" s="9"/>
      <c r="L70" s="13"/>
    </row>
    <row r="71" spans="1:13" ht="15" thickBot="1" x14ac:dyDescent="0.25">
      <c r="B71" s="8">
        <f xml:space="preserve"> 100 * EXP(-D7*1)</f>
        <v>95.122942450071406</v>
      </c>
      <c r="D71" s="13"/>
      <c r="E71" s="19">
        <f xml:space="preserve"> EXP(-B7*1) * ($E$29*F70 + $E$30*F72)</f>
        <v>2.4452748005501086E-2</v>
      </c>
      <c r="F71" s="20"/>
      <c r="G71" s="21">
        <f xml:space="preserve"> MAX(B71 - $E$64, 0)</f>
        <v>0</v>
      </c>
      <c r="K71" s="13"/>
      <c r="L71" s="10"/>
      <c r="M71" s="13"/>
    </row>
    <row r="72" spans="1:13" ht="15" thickBot="1" x14ac:dyDescent="0.25">
      <c r="C72" s="8">
        <v>100</v>
      </c>
      <c r="D72" s="9"/>
      <c r="E72" s="22"/>
      <c r="F72" s="23">
        <f xml:space="preserve"> EXP(-C8*1) * ($E$29*G71 + $E$30*G73)</f>
        <v>0.22335554107255931</v>
      </c>
      <c r="G72" s="24"/>
      <c r="K72" s="9"/>
      <c r="L72" s="13"/>
    </row>
    <row r="73" spans="1:13" ht="15" thickBot="1" x14ac:dyDescent="0.25">
      <c r="B73" s="8">
        <f xml:space="preserve"> 100 * EXP(-D9*1)</f>
        <v>98.019867330675524</v>
      </c>
      <c r="F73" s="25"/>
      <c r="G73" s="26">
        <f xml:space="preserve"> MAX(B73 - $E$64, 0)</f>
        <v>2.0198673306755239</v>
      </c>
      <c r="M73" s="13"/>
    </row>
    <row r="74" spans="1:13" x14ac:dyDescent="0.2">
      <c r="B74" s="13"/>
      <c r="C74" s="8">
        <v>100</v>
      </c>
      <c r="F74" s="13"/>
      <c r="M74" s="13"/>
    </row>
    <row r="76" spans="1:13" x14ac:dyDescent="0.2">
      <c r="A76" s="2" t="s">
        <v>48</v>
      </c>
      <c r="D76" s="32" t="s">
        <v>49</v>
      </c>
      <c r="E76" s="32"/>
      <c r="F76" s="32"/>
      <c r="G76" s="32"/>
      <c r="H76" s="32"/>
    </row>
    <row r="78" spans="1:13" x14ac:dyDescent="0.2">
      <c r="B78" s="31" t="s">
        <v>36</v>
      </c>
      <c r="C78" s="31"/>
      <c r="D78" s="31"/>
      <c r="E78" s="31"/>
      <c r="G78" s="31" t="s">
        <v>38</v>
      </c>
      <c r="H78" s="31"/>
      <c r="K78" s="31" t="s">
        <v>37</v>
      </c>
      <c r="L78" s="31"/>
    </row>
    <row r="79" spans="1:13" x14ac:dyDescent="0.2">
      <c r="B79" s="3" t="s">
        <v>2</v>
      </c>
      <c r="C79" s="3" t="s">
        <v>3</v>
      </c>
      <c r="D79" s="3" t="s">
        <v>4</v>
      </c>
      <c r="E79" s="3" t="s">
        <v>8</v>
      </c>
      <c r="G79" s="3" t="s">
        <v>2</v>
      </c>
      <c r="H79" s="3" t="s">
        <v>3</v>
      </c>
      <c r="K79" s="3" t="s">
        <v>2</v>
      </c>
      <c r="L79" s="3" t="s">
        <v>3</v>
      </c>
    </row>
    <row r="80" spans="1:13" ht="15" thickBot="1" x14ac:dyDescent="0.25">
      <c r="B80" s="3"/>
      <c r="C80" s="3"/>
      <c r="D80" s="3"/>
      <c r="E80" s="8">
        <v>100</v>
      </c>
      <c r="G80" s="3"/>
      <c r="H80" s="3"/>
      <c r="K80" s="3"/>
      <c r="L80" s="3"/>
    </row>
    <row r="81" spans="1:12" ht="15" thickBot="1" x14ac:dyDescent="0.25">
      <c r="C81" s="14"/>
      <c r="D81" s="15">
        <f xml:space="preserve"> 100 * EXP(-D5*1)</f>
        <v>90.483741803595947</v>
      </c>
    </row>
    <row r="82" spans="1:12" ht="15" thickBot="1" x14ac:dyDescent="0.25">
      <c r="B82" s="16"/>
      <c r="C82" s="17">
        <f xml:space="preserve"> EXP(-C6*1) * ($E$29*D81 + $E$30*D83)</f>
        <v>84.85936627561091</v>
      </c>
      <c r="D82" s="18"/>
      <c r="E82" s="8">
        <v>100</v>
      </c>
      <c r="G82" s="9"/>
      <c r="H82" s="27">
        <f xml:space="preserve"> (G69 - L82*D81) / 100</f>
        <v>0</v>
      </c>
      <c r="K82" s="9"/>
      <c r="L82" s="27">
        <f xml:space="preserve"> (G69 - G71) / (D81 - D83)</f>
        <v>0</v>
      </c>
    </row>
    <row r="83" spans="1:12" ht="15" thickBot="1" x14ac:dyDescent="0.25">
      <c r="B83" s="19">
        <f xml:space="preserve"> EXP(-B7*1) * ($E$29*C82 + $E$30*C84)</f>
        <v>82.382920551599881</v>
      </c>
      <c r="C83" s="20"/>
      <c r="D83" s="21">
        <f xml:space="preserve"> 100 * EXP(-D7*1)</f>
        <v>95.122942450071406</v>
      </c>
      <c r="G83" s="28">
        <f xml:space="preserve"> (F70 - K83*C82) / 100</f>
        <v>-2.438539146277301E-2</v>
      </c>
      <c r="H83" s="10"/>
      <c r="K83" s="28">
        <f xml:space="preserve"> (F70 - F72) / (C82 - C84)</f>
        <v>2.8736240362169093E-2</v>
      </c>
      <c r="L83" s="10"/>
    </row>
    <row r="84" spans="1:12" ht="15" thickBot="1" x14ac:dyDescent="0.25">
      <c r="B84" s="22"/>
      <c r="C84" s="23">
        <f xml:space="preserve"> EXP(-C8*1) * ($E$29*D83 + $E$30*D85)</f>
        <v>92.631974600762732</v>
      </c>
      <c r="D84" s="24"/>
      <c r="E84" s="8">
        <v>100</v>
      </c>
      <c r="G84" s="9"/>
      <c r="H84" s="29">
        <f xml:space="preserve"> (G71 - L84*D83) / 100</f>
        <v>-0.66324026949763248</v>
      </c>
      <c r="K84" s="9"/>
      <c r="L84" s="29">
        <f xml:space="preserve"> (G71 - G73) / (D83 - D85)</f>
        <v>0.69724532527550576</v>
      </c>
    </row>
    <row r="85" spans="1:12" ht="15" thickBot="1" x14ac:dyDescent="0.25">
      <c r="C85" s="25"/>
      <c r="D85" s="26">
        <f xml:space="preserve"> 100 * EXP(-D9*1)</f>
        <v>98.019867330675524</v>
      </c>
    </row>
    <row r="86" spans="1:12" x14ac:dyDescent="0.2">
      <c r="E86" s="8">
        <v>100</v>
      </c>
    </row>
    <row r="87" spans="1:12" ht="14" customHeight="1" x14ac:dyDescent="0.2"/>
    <row r="89" spans="1:12" ht="16" x14ac:dyDescent="0.2">
      <c r="A89" s="1" t="s">
        <v>0</v>
      </c>
      <c r="B89" s="1"/>
    </row>
    <row r="92" spans="1:12" x14ac:dyDescent="0.2">
      <c r="B92" s="31" t="s">
        <v>1</v>
      </c>
      <c r="C92" s="31"/>
      <c r="D92" s="31"/>
      <c r="F92" s="2" t="s">
        <v>5</v>
      </c>
      <c r="H92" s="3"/>
      <c r="I92" s="3"/>
    </row>
    <row r="93" spans="1:12" x14ac:dyDescent="0.2">
      <c r="B93" s="3" t="s">
        <v>2</v>
      </c>
      <c r="C93" s="3" t="s">
        <v>3</v>
      </c>
      <c r="D93" s="3" t="s">
        <v>4</v>
      </c>
      <c r="F93" s="3" t="s">
        <v>25</v>
      </c>
      <c r="G93" s="30">
        <v>0.5</v>
      </c>
      <c r="H93" s="3"/>
      <c r="I93" s="3"/>
    </row>
    <row r="94" spans="1:12" x14ac:dyDescent="0.2">
      <c r="A94" s="3"/>
      <c r="B94" s="4"/>
      <c r="C94" s="4"/>
      <c r="D94" s="5">
        <v>0.12989999999999999</v>
      </c>
      <c r="F94" s="3" t="s">
        <v>40</v>
      </c>
      <c r="G94" s="30">
        <v>0.5</v>
      </c>
    </row>
    <row r="95" spans="1:12" x14ac:dyDescent="0.2">
      <c r="B95" s="6"/>
      <c r="C95" s="5">
        <v>8.6800000000000002E-2</v>
      </c>
      <c r="D95" s="4"/>
    </row>
    <row r="96" spans="1:12" x14ac:dyDescent="0.2">
      <c r="B96" s="5">
        <v>0.04</v>
      </c>
      <c r="C96" s="4"/>
      <c r="D96" s="5">
        <v>7.2300000000000003E-2</v>
      </c>
    </row>
    <row r="97" spans="1:9" x14ac:dyDescent="0.2">
      <c r="B97" s="6"/>
      <c r="C97" s="5">
        <v>2.6800000000000001E-2</v>
      </c>
      <c r="D97" s="4"/>
    </row>
    <row r="98" spans="1:9" x14ac:dyDescent="0.2">
      <c r="B98" s="4"/>
      <c r="C98" s="4"/>
      <c r="D98" s="5">
        <v>1.47E-2</v>
      </c>
    </row>
    <row r="100" spans="1:9" x14ac:dyDescent="0.2">
      <c r="A100" s="2" t="s">
        <v>50</v>
      </c>
    </row>
    <row r="102" spans="1:9" x14ac:dyDescent="0.2">
      <c r="B102" s="31" t="s">
        <v>6</v>
      </c>
      <c r="C102" s="31"/>
    </row>
    <row r="103" spans="1:9" x14ac:dyDescent="0.2">
      <c r="B103" s="3" t="s">
        <v>2</v>
      </c>
      <c r="C103" s="3" t="s">
        <v>3</v>
      </c>
    </row>
    <row r="104" spans="1:9" x14ac:dyDescent="0.2">
      <c r="B104" s="9"/>
      <c r="C104" s="8">
        <v>100</v>
      </c>
    </row>
    <row r="105" spans="1:9" x14ac:dyDescent="0.2">
      <c r="B105" s="8">
        <f xml:space="preserve"> 100 * EXP(-B96*1)</f>
        <v>96.078943915232315</v>
      </c>
      <c r="C105" s="10"/>
    </row>
    <row r="106" spans="1:9" x14ac:dyDescent="0.2">
      <c r="B106" s="9"/>
      <c r="C106" s="8">
        <v>100</v>
      </c>
    </row>
    <row r="107" spans="1:9" x14ac:dyDescent="0.2">
      <c r="G107" s="3" t="s">
        <v>52</v>
      </c>
      <c r="H107" s="3" t="s">
        <v>53</v>
      </c>
      <c r="I107" s="3" t="s">
        <v>54</v>
      </c>
    </row>
    <row r="108" spans="1:9" x14ac:dyDescent="0.2">
      <c r="B108" s="31" t="s">
        <v>7</v>
      </c>
      <c r="C108" s="31"/>
      <c r="D108" s="31"/>
      <c r="G108" s="3">
        <v>1</v>
      </c>
      <c r="H108" s="7">
        <f xml:space="preserve"> B105 / 100</f>
        <v>0.96078943915232318</v>
      </c>
      <c r="I108" s="6">
        <f xml:space="preserve"> - LN(H108) / 1</f>
        <v>4.0000000000000036E-2</v>
      </c>
    </row>
    <row r="109" spans="1:9" x14ac:dyDescent="0.2">
      <c r="B109" s="3" t="s">
        <v>2</v>
      </c>
      <c r="C109" s="3" t="s">
        <v>3</v>
      </c>
      <c r="D109" s="3" t="s">
        <v>4</v>
      </c>
      <c r="G109" s="3">
        <v>2</v>
      </c>
      <c r="H109" s="7">
        <f xml:space="preserve"> B112 / 100</f>
        <v>0.90814604801485954</v>
      </c>
      <c r="I109" s="6">
        <f xml:space="preserve"> - LN(H109) / 2</f>
        <v>4.8175033741902226E-2</v>
      </c>
    </row>
    <row r="110" spans="1:9" x14ac:dyDescent="0.2">
      <c r="D110" s="8">
        <v>100</v>
      </c>
      <c r="G110" s="3">
        <v>3</v>
      </c>
      <c r="H110" s="7">
        <f xml:space="preserve"> B121 / 100</f>
        <v>0.84623548033403051</v>
      </c>
      <c r="I110" s="6">
        <f xml:space="preserve"> - LN(H110) / 3</f>
        <v>5.5652537519449881E-2</v>
      </c>
    </row>
    <row r="111" spans="1:9" x14ac:dyDescent="0.2">
      <c r="B111" s="9"/>
      <c r="C111" s="8">
        <f xml:space="preserve"> 100 * EXP(-C95*1)</f>
        <v>91.686044938704313</v>
      </c>
    </row>
    <row r="112" spans="1:9" x14ac:dyDescent="0.2">
      <c r="B112" s="8">
        <f xml:space="preserve"> EXP(-B96*1) * (G93*C111 + G94*C113)</f>
        <v>90.814604801485956</v>
      </c>
      <c r="C112" s="10"/>
      <c r="D112" s="8">
        <v>100</v>
      </c>
    </row>
    <row r="113" spans="1:5" x14ac:dyDescent="0.2">
      <c r="B113" s="9"/>
      <c r="C113" s="8">
        <f xml:space="preserve"> 100 * EXP(-C97*1)</f>
        <v>97.355593324116441</v>
      </c>
    </row>
    <row r="114" spans="1:5" x14ac:dyDescent="0.2">
      <c r="D114" s="8">
        <v>100</v>
      </c>
    </row>
    <row r="116" spans="1:5" x14ac:dyDescent="0.2">
      <c r="B116" s="31" t="s">
        <v>51</v>
      </c>
      <c r="C116" s="31"/>
      <c r="D116" s="31"/>
      <c r="E116" s="31"/>
    </row>
    <row r="117" spans="1:5" x14ac:dyDescent="0.2">
      <c r="B117" s="3" t="s">
        <v>2</v>
      </c>
      <c r="C117" s="3" t="s">
        <v>3</v>
      </c>
      <c r="D117" s="3" t="s">
        <v>4</v>
      </c>
      <c r="E117" s="3" t="s">
        <v>8</v>
      </c>
    </row>
    <row r="118" spans="1:5" x14ac:dyDescent="0.2">
      <c r="E118" s="8">
        <v>100</v>
      </c>
    </row>
    <row r="119" spans="1:5" x14ac:dyDescent="0.2">
      <c r="D119" s="8">
        <f xml:space="preserve"> 100 * EXP(-D94*1)</f>
        <v>87.818324485427695</v>
      </c>
    </row>
    <row r="120" spans="1:5" x14ac:dyDescent="0.2">
      <c r="B120" s="9"/>
      <c r="C120" s="8">
        <f xml:space="preserve"> EXP(-C95*1) * ($G$93*D119 + $G$94*D121)</f>
        <v>82.904127405966918</v>
      </c>
      <c r="E120" s="8">
        <v>100</v>
      </c>
    </row>
    <row r="121" spans="1:5" x14ac:dyDescent="0.2">
      <c r="B121" s="8">
        <f xml:space="preserve"> EXP(-B96*1) * ($G$93*C120 + $G$94*C122)</f>
        <v>84.623548033403054</v>
      </c>
      <c r="C121" s="10"/>
      <c r="D121" s="8">
        <f xml:space="preserve"> 100 * EXP(-D96*1)</f>
        <v>93.025177841216561</v>
      </c>
    </row>
    <row r="122" spans="1:5" x14ac:dyDescent="0.2">
      <c r="B122" s="9"/>
      <c r="C122" s="8">
        <f xml:space="preserve"> EXP(-C97*1) * ($G$93*D121 + $G$94*D123)</f>
        <v>93.250073681139057</v>
      </c>
      <c r="E122" s="8">
        <v>100</v>
      </c>
    </row>
    <row r="123" spans="1:5" x14ac:dyDescent="0.2">
      <c r="D123" s="8">
        <f xml:space="preserve"> 100 * EXP(-D98*1)</f>
        <v>98.540751751941428</v>
      </c>
    </row>
    <row r="124" spans="1:5" x14ac:dyDescent="0.2">
      <c r="E124" s="8">
        <v>100</v>
      </c>
    </row>
    <row r="126" spans="1:5" x14ac:dyDescent="0.2">
      <c r="A126" s="2" t="s">
        <v>9</v>
      </c>
    </row>
    <row r="128" spans="1:5" x14ac:dyDescent="0.2">
      <c r="B128" s="3" t="s">
        <v>2</v>
      </c>
      <c r="C128" s="3" t="s">
        <v>3</v>
      </c>
      <c r="D128" s="3" t="s">
        <v>4</v>
      </c>
    </row>
    <row r="129" spans="2:4" x14ac:dyDescent="0.2">
      <c r="D129" s="8">
        <v>0</v>
      </c>
    </row>
    <row r="130" spans="2:4" x14ac:dyDescent="0.2">
      <c r="B130" s="9"/>
      <c r="C130" s="8">
        <f xml:space="preserve"> EXP(-C95*1) * ($G$93*D129 + $G$94*D131)</f>
        <v>45.843022469352157</v>
      </c>
    </row>
    <row r="131" spans="2:4" x14ac:dyDescent="0.2">
      <c r="B131" s="8">
        <f xml:space="preserve"> EXP(-B96*1) * ($G$93*C130 + $G$94*C132)</f>
        <v>45.407302400742978</v>
      </c>
      <c r="C131" s="10"/>
      <c r="D131" s="8">
        <v>100</v>
      </c>
    </row>
    <row r="132" spans="2:4" x14ac:dyDescent="0.2">
      <c r="B132" s="9"/>
      <c r="C132" s="8">
        <f xml:space="preserve"> EXP(-C97*1) * ($G$93*D131 + $G$94*D133)</f>
        <v>48.677796662058221</v>
      </c>
    </row>
    <row r="133" spans="2:4" x14ac:dyDescent="0.2">
      <c r="D133" s="8">
        <v>0</v>
      </c>
    </row>
  </sheetData>
  <mergeCells count="23">
    <mergeCell ref="K60:L60"/>
    <mergeCell ref="E66:G66"/>
    <mergeCell ref="K78:L78"/>
    <mergeCell ref="B92:D92"/>
    <mergeCell ref="B3:D3"/>
    <mergeCell ref="B78:E78"/>
    <mergeCell ref="B66:C66"/>
    <mergeCell ref="G59:H59"/>
    <mergeCell ref="D51:E51"/>
    <mergeCell ref="F12:G12"/>
    <mergeCell ref="B23:C23"/>
    <mergeCell ref="B24:C24"/>
    <mergeCell ref="B25:C25"/>
    <mergeCell ref="B26:C26"/>
    <mergeCell ref="B27:C27"/>
    <mergeCell ref="B29:C29"/>
    <mergeCell ref="D44:E44"/>
    <mergeCell ref="K58:N58"/>
    <mergeCell ref="B102:C102"/>
    <mergeCell ref="B108:D108"/>
    <mergeCell ref="B116:E116"/>
    <mergeCell ref="D76:H76"/>
    <mergeCell ref="G78:H78"/>
  </mergeCells>
  <phoneticPr fontId="9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2025-08-01T10:27:36Z</dcterms:modified>
</cp:coreProperties>
</file>