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0" windowWidth="48120" windowHeight="27160"/>
  </bookViews>
  <sheets>
    <sheet name="Sheet1" sheetId="1" r:id="rId1"/>
    <sheet name="Sheet2" sheetId="2" r:id="rId2"/>
    <sheet name="Sheet3" sheetId="3" r:id="rId3"/>
    <sheet name="Sheet4" sheetId="4" r:id="rId4"/>
    <sheet name="MVP correlation and plots" sheetId="5" r:id="rId5"/>
    <sheet name="Rh correlation and plots" sheetId="6" r:id="rId6"/>
    <sheet name="Sheet5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E34" i="4"/>
  <c r="Z55" i="4"/>
  <c r="E31" i="4"/>
  <c r="E37" i="4"/>
  <c r="G60" i="6"/>
  <c r="X79" i="4"/>
  <c r="V79" i="4"/>
  <c r="X80" i="4"/>
  <c r="V80" i="4"/>
  <c r="X81" i="4"/>
  <c r="V81" i="4"/>
  <c r="X82" i="4"/>
  <c r="V82" i="4"/>
  <c r="X83" i="4"/>
  <c r="V83" i="4"/>
  <c r="X84" i="4"/>
  <c r="V84" i="4"/>
  <c r="X85" i="4"/>
  <c r="V85" i="4"/>
  <c r="X86" i="4"/>
  <c r="V86" i="4"/>
  <c r="X87" i="4"/>
  <c r="V87" i="4"/>
  <c r="X88" i="4"/>
  <c r="V88" i="4"/>
  <c r="X89" i="4"/>
  <c r="V89" i="4"/>
  <c r="X90" i="4"/>
  <c r="V90" i="4"/>
  <c r="X91" i="4"/>
  <c r="V91" i="4"/>
  <c r="X92" i="4"/>
  <c r="V92" i="4"/>
  <c r="X93" i="4"/>
  <c r="V93" i="4"/>
  <c r="X94" i="4"/>
  <c r="V94" i="4"/>
  <c r="X95" i="4"/>
  <c r="V95" i="4"/>
  <c r="X96" i="4"/>
  <c r="V96" i="4"/>
  <c r="X97" i="4"/>
  <c r="V97" i="4"/>
  <c r="X98" i="4"/>
  <c r="V98" i="4"/>
  <c r="X99" i="4"/>
  <c r="V99" i="4"/>
  <c r="X100" i="4"/>
  <c r="V100" i="4"/>
  <c r="X101" i="4"/>
  <c r="V101" i="4"/>
  <c r="X102" i="4"/>
  <c r="V102" i="4"/>
  <c r="X103" i="4"/>
  <c r="V103" i="4"/>
  <c r="X104" i="4"/>
  <c r="V104" i="4"/>
  <c r="X105" i="4"/>
  <c r="V105" i="4"/>
  <c r="X106" i="4"/>
  <c r="V106" i="4"/>
  <c r="X107" i="4"/>
  <c r="V107" i="4"/>
  <c r="X108" i="4"/>
  <c r="V108" i="4"/>
  <c r="X109" i="4"/>
  <c r="V109" i="4"/>
  <c r="X110" i="4"/>
  <c r="V110" i="4"/>
  <c r="X111" i="4"/>
  <c r="V111" i="4"/>
  <c r="X112" i="4"/>
  <c r="V112" i="4"/>
  <c r="X113" i="4"/>
  <c r="V113" i="4"/>
  <c r="X78" i="4"/>
  <c r="V78" i="4"/>
  <c r="Z64" i="4"/>
  <c r="Z61" i="4"/>
  <c r="Z5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18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1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" i="4"/>
  <c r="AJ39" i="1"/>
  <c r="K58" i="1"/>
  <c r="AF1" i="1"/>
  <c r="AH5" i="1"/>
  <c r="B6" i="1"/>
  <c r="A41" i="1"/>
  <c r="A44" i="1"/>
  <c r="B45" i="1"/>
  <c r="D45" i="1"/>
  <c r="B15" i="1"/>
  <c r="AN48" i="1"/>
  <c r="B38" i="1"/>
  <c r="B39" i="1"/>
  <c r="B40" i="1"/>
  <c r="J62" i="2"/>
  <c r="J61" i="2"/>
  <c r="J60" i="2"/>
  <c r="J59" i="2"/>
  <c r="A48" i="1"/>
  <c r="E47" i="1"/>
  <c r="A49" i="1"/>
  <c r="G45" i="1"/>
  <c r="S60" i="1"/>
  <c r="U60" i="1"/>
  <c r="V60" i="1"/>
  <c r="AP57" i="1"/>
  <c r="N29" i="1"/>
  <c r="N28" i="1"/>
  <c r="M47" i="1"/>
  <c r="T60" i="1"/>
  <c r="C37" i="1"/>
  <c r="E37" i="1"/>
  <c r="AH7" i="1"/>
  <c r="B8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N61" i="1"/>
  <c r="AH4" i="1"/>
  <c r="B4" i="1"/>
  <c r="E6" i="1"/>
  <c r="E5" i="1"/>
  <c r="E4" i="1"/>
  <c r="E15" i="1"/>
  <c r="E3" i="1"/>
  <c r="E7" i="1"/>
  <c r="E8" i="1"/>
  <c r="K4" i="1"/>
  <c r="AH6" i="1"/>
  <c r="B7" i="1"/>
  <c r="K3" i="1"/>
  <c r="K6" i="1"/>
  <c r="H7" i="1"/>
  <c r="H8" i="1"/>
  <c r="E9" i="1"/>
  <c r="E10" i="1"/>
  <c r="K8" i="1"/>
  <c r="K9" i="1"/>
  <c r="K10" i="1"/>
  <c r="E16" i="1"/>
  <c r="K5" i="1"/>
  <c r="K7" i="1"/>
  <c r="E18" i="1"/>
  <c r="N3" i="1"/>
  <c r="B24" i="1"/>
  <c r="B23" i="1"/>
  <c r="E22" i="1"/>
  <c r="E23" i="1"/>
  <c r="E30" i="1"/>
  <c r="G30" i="1"/>
  <c r="P128" i="1"/>
  <c r="D74" i="2"/>
  <c r="B122" i="1"/>
  <c r="G99" i="1"/>
  <c r="B123" i="1"/>
  <c r="C57" i="1"/>
  <c r="A84" i="1"/>
  <c r="A99" i="1"/>
  <c r="A86" i="1"/>
  <c r="A88" i="1"/>
  <c r="A68" i="1"/>
  <c r="A71" i="1"/>
  <c r="A73" i="1"/>
  <c r="H3" i="1"/>
  <c r="H4" i="1"/>
  <c r="E17" i="1"/>
  <c r="H5" i="1"/>
  <c r="H6" i="1"/>
  <c r="E28" i="1"/>
  <c r="G28" i="1"/>
  <c r="G23" i="1"/>
  <c r="E31" i="1"/>
  <c r="G31" i="1"/>
  <c r="E32" i="4"/>
  <c r="E33" i="4"/>
  <c r="E35" i="4"/>
  <c r="E36" i="4"/>
  <c r="E38" i="4"/>
  <c r="E39" i="4"/>
  <c r="Z59" i="4"/>
  <c r="Z60" i="4"/>
  <c r="Z62" i="4"/>
  <c r="Z63" i="4"/>
  <c r="Z65" i="4"/>
  <c r="Z66" i="4"/>
  <c r="Z56" i="4"/>
  <c r="Z57" i="4"/>
</calcChain>
</file>

<file path=xl/comments1.xml><?xml version="1.0" encoding="utf-8"?>
<comments xmlns="http://schemas.openxmlformats.org/spreadsheetml/2006/main">
  <authors>
    <author>Margaret Barbour</author>
    <author>Administrator</author>
  </authors>
  <commentList>
    <comment ref="D18" authorId="0">
      <text>
        <r>
          <rPr>
            <b/>
            <sz val="8"/>
            <color indexed="81"/>
            <rFont val="Tahoma"/>
            <family val="2"/>
          </rPr>
          <t>Margaret Barbour:</t>
        </r>
        <r>
          <rPr>
            <sz val="8"/>
            <color indexed="81"/>
            <rFont val="Tahoma"/>
            <family val="2"/>
          </rPr>
          <t xml:space="preserve">
enrichment and the evaporating sites in the leaves, relative to source water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Margaret Barbour:</t>
        </r>
        <r>
          <rPr>
            <sz val="8"/>
            <color indexed="81"/>
            <rFont val="Tahoma"/>
            <family val="2"/>
          </rPr>
          <t xml:space="preserve">
enrichment in the bulk lamina relative to source water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Margaret Barbour:</t>
        </r>
        <r>
          <rPr>
            <sz val="8"/>
            <color indexed="81"/>
            <rFont val="Tahoma"/>
            <family val="2"/>
          </rPr>
          <t xml:space="preserve">
lamina water isotope composition relative to standard</t>
        </r>
      </text>
    </comment>
    <comment ref="B24" authorId="1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added temperature dependence of D from Cuntz et al 2007</t>
        </r>
      </text>
    </comment>
  </commentList>
</comments>
</file>

<file path=xl/sharedStrings.xml><?xml version="1.0" encoding="utf-8"?>
<sst xmlns="http://schemas.openxmlformats.org/spreadsheetml/2006/main" count="497" uniqueCount="303">
  <si>
    <t>Inputs</t>
  </si>
  <si>
    <t>Calculations</t>
  </si>
  <si>
    <t>Calculating epsilon</t>
  </si>
  <si>
    <t>Calculating ea/ei</t>
  </si>
  <si>
    <t>corr air tp</t>
  </si>
  <si>
    <t>less temp</t>
  </si>
  <si>
    <t>ea</t>
  </si>
  <si>
    <t>rs</t>
  </si>
  <si>
    <t>es less temp</t>
  </si>
  <si>
    <t>es</t>
  </si>
  <si>
    <t>s</t>
  </si>
  <si>
    <t>rb</t>
  </si>
  <si>
    <t>corr less temp</t>
  </si>
  <si>
    <t>ei</t>
  </si>
  <si>
    <t>r*b</t>
  </si>
  <si>
    <t>D</t>
  </si>
  <si>
    <t>gr</t>
  </si>
  <si>
    <t>s mbar</t>
  </si>
  <si>
    <t>ea/ei</t>
  </si>
  <si>
    <t>pressure</t>
  </si>
  <si>
    <t>r*bH</t>
  </si>
  <si>
    <t>epsilon</t>
  </si>
  <si>
    <t>temp diff</t>
  </si>
  <si>
    <t>Q total</t>
  </si>
  <si>
    <t>leaf temp</t>
  </si>
  <si>
    <t>Qabsor</t>
  </si>
  <si>
    <t>Craig/Gordon parameters</t>
  </si>
  <si>
    <t>Peclet effect</t>
  </si>
  <si>
    <t>p</t>
  </si>
  <si>
    <t>Calculating leaf temperature, ea/ei and E</t>
  </si>
  <si>
    <t>C=O fract.</t>
  </si>
  <si>
    <t>prop. Exch.</t>
  </si>
  <si>
    <r>
      <t>D</t>
    </r>
    <r>
      <rPr>
        <sz val="10"/>
        <rFont val="Arial"/>
      </rPr>
      <t>cel-</t>
    </r>
    <r>
      <rPr>
        <sz val="10"/>
        <rFont val="Symbol"/>
        <family val="1"/>
        <charset val="2"/>
      </rPr>
      <t>D</t>
    </r>
    <r>
      <rPr>
        <sz val="10"/>
        <rFont val="Arial"/>
      </rPr>
      <t>om</t>
    </r>
  </si>
  <si>
    <r>
      <t>D</t>
    </r>
    <r>
      <rPr>
        <sz val="10"/>
        <rFont val="Arial"/>
      </rPr>
      <t>cellulose</t>
    </r>
  </si>
  <si>
    <r>
      <t>D</t>
    </r>
    <r>
      <rPr>
        <sz val="10"/>
        <rFont val="Arial"/>
      </rPr>
      <t>sucrose</t>
    </r>
  </si>
  <si>
    <t>corr Tl</t>
  </si>
  <si>
    <t>prop. Xylem</t>
  </si>
  <si>
    <r>
      <t>e</t>
    </r>
    <r>
      <rPr>
        <sz val="10"/>
        <rFont val="Arial"/>
      </rPr>
      <t>k</t>
    </r>
  </si>
  <si>
    <r>
      <t>e</t>
    </r>
    <r>
      <rPr>
        <sz val="10"/>
        <rFont val="Arial"/>
      </rPr>
      <t>*</t>
    </r>
  </si>
  <si>
    <r>
      <t>D</t>
    </r>
    <r>
      <rPr>
        <sz val="10"/>
        <rFont val="Arial"/>
      </rPr>
      <t>v</t>
    </r>
  </si>
  <si>
    <r>
      <t>D</t>
    </r>
    <r>
      <rPr>
        <sz val="10"/>
        <rFont val="Arial"/>
      </rPr>
      <t>e</t>
    </r>
  </si>
  <si>
    <r>
      <t>D</t>
    </r>
    <r>
      <rPr>
        <sz val="10"/>
        <rFont val="Arial"/>
      </rPr>
      <t>L</t>
    </r>
  </si>
  <si>
    <r>
      <t>d</t>
    </r>
    <r>
      <rPr>
        <sz val="10"/>
        <rFont val="Arial"/>
      </rPr>
      <t xml:space="preserve"> source H2O</t>
    </r>
  </si>
  <si>
    <r>
      <t>d</t>
    </r>
    <r>
      <rPr>
        <sz val="10"/>
        <rFont val="Arial"/>
      </rPr>
      <t>L</t>
    </r>
  </si>
  <si>
    <r>
      <t>d</t>
    </r>
    <r>
      <rPr>
        <sz val="10"/>
        <rFont val="Arial"/>
      </rPr>
      <t>sucrose</t>
    </r>
  </si>
  <si>
    <r>
      <t>d</t>
    </r>
    <r>
      <rPr>
        <sz val="10"/>
        <rFont val="Arial"/>
      </rPr>
      <t>cellulose</t>
    </r>
  </si>
  <si>
    <r>
      <t>d</t>
    </r>
    <r>
      <rPr>
        <sz val="10"/>
        <rFont val="Arial"/>
      </rPr>
      <t xml:space="preserve"> water vapour</t>
    </r>
  </si>
  <si>
    <t>wind speed (ms-1)</t>
  </si>
  <si>
    <t>leaf width (m)</t>
  </si>
  <si>
    <t>gs (mol m-2 s-1)</t>
  </si>
  <si>
    <t>air temp (oC)</t>
  </si>
  <si>
    <t>RH (%)</t>
  </si>
  <si>
    <t>PAR (umolm-2s-1)</t>
  </si>
  <si>
    <r>
      <t>D</t>
    </r>
    <r>
      <rPr>
        <sz val="10"/>
        <rFont val="Arial"/>
      </rPr>
      <t>leaf</t>
    </r>
  </si>
  <si>
    <r>
      <t>d</t>
    </r>
    <r>
      <rPr>
        <sz val="10"/>
        <rFont val="Arial"/>
      </rPr>
      <t>leaf</t>
    </r>
  </si>
  <si>
    <r>
      <t xml:space="preserve">Calculating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 xml:space="preserve">cellulose and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leaf</t>
    </r>
  </si>
  <si>
    <t>Calculating transpiration</t>
  </si>
  <si>
    <t>Energy balance calculations</t>
  </si>
  <si>
    <t>E (molm-2s-1)</t>
  </si>
  <si>
    <t>C</t>
  </si>
  <si>
    <t>fract through stomata</t>
  </si>
  <si>
    <t>fract through boundary layer</t>
  </si>
  <si>
    <t>effective length (m)</t>
  </si>
  <si>
    <t xml:space="preserve">       cells coloured pink are constant input parameters</t>
  </si>
  <si>
    <t xml:space="preserve">       cells coloured blue are outputs</t>
  </si>
  <si>
    <t>NB: cells coloured yellow are variable input parameters</t>
  </si>
  <si>
    <t>mean d18O</t>
  </si>
  <si>
    <t>stdev d18O</t>
  </si>
  <si>
    <t>normalized value</t>
  </si>
  <si>
    <t>undetrended</t>
  </si>
  <si>
    <t>av</t>
  </si>
  <si>
    <t>stdev</t>
  </si>
  <si>
    <t>Year</t>
  </si>
  <si>
    <t>Rh</t>
  </si>
  <si>
    <t>Air T</t>
  </si>
  <si>
    <t>Pressure</t>
  </si>
  <si>
    <t>windspeed</t>
  </si>
  <si>
    <t>model d180</t>
  </si>
  <si>
    <t>E+</t>
  </si>
  <si>
    <t>gs</t>
  </si>
  <si>
    <t>stomatal conductance</t>
  </si>
  <si>
    <t>Δ18Ov</t>
  </si>
  <si>
    <t>precip</t>
  </si>
  <si>
    <t>PAR</t>
  </si>
  <si>
    <t>MJ/m2</t>
  </si>
  <si>
    <t>MJ/m2/s</t>
  </si>
  <si>
    <t>4.6mol/J</t>
  </si>
  <si>
    <t>1mol = 1000000 umol</t>
  </si>
  <si>
    <t>1MJ = 1000000 joules</t>
  </si>
  <si>
    <t>J/m2/s</t>
  </si>
  <si>
    <t>mol/m2/s</t>
  </si>
  <si>
    <t>umol/m sq/second</t>
  </si>
  <si>
    <t>52.45MJ/m2/season</t>
  </si>
  <si>
    <t>MJ/m2/day</t>
  </si>
  <si>
    <t>Joules/m2/sec</t>
  </si>
  <si>
    <t>MJ/m2/sec</t>
  </si>
  <si>
    <t>umol/m2/sec</t>
  </si>
  <si>
    <t>umol/m2/s</t>
  </si>
  <si>
    <t>day</t>
  </si>
  <si>
    <t>4.6umol/J</t>
  </si>
  <si>
    <t>normalized model 180</t>
  </si>
  <si>
    <t>17.48 megajoule = 17 480 000 wattsecond</t>
  </si>
  <si>
    <t>wattsecond</t>
  </si>
  <si>
    <t>W/m2/second</t>
  </si>
  <si>
    <t>Watt = Joule / second</t>
  </si>
  <si>
    <t>Joule = Watt * Second</t>
  </si>
  <si>
    <t>1748000 watt * second/m2</t>
  </si>
  <si>
    <t>Auckland Aero</t>
  </si>
  <si>
    <t>Sep-Nov avg</t>
  </si>
  <si>
    <t>Sep 1:00</t>
  </si>
  <si>
    <t>Sep 2:00</t>
  </si>
  <si>
    <t>Sep 3:00</t>
  </si>
  <si>
    <t>Sep 4:00</t>
  </si>
  <si>
    <t>Sep 5:00</t>
  </si>
  <si>
    <t>Sep 6:00</t>
  </si>
  <si>
    <t>Sep 7:00</t>
  </si>
  <si>
    <t>Sep 8:00</t>
  </si>
  <si>
    <t>Sep 9:00</t>
  </si>
  <si>
    <t>Sep 10:00</t>
  </si>
  <si>
    <t>Sep 11:00</t>
  </si>
  <si>
    <t>Sep 12:00</t>
  </si>
  <si>
    <t>Sep 13:00</t>
  </si>
  <si>
    <t>Sep 14:00</t>
  </si>
  <si>
    <t>Sep 15:00</t>
  </si>
  <si>
    <t>Sep 16:00</t>
  </si>
  <si>
    <t>Sep 17:00</t>
  </si>
  <si>
    <t>Sep 18:00</t>
  </si>
  <si>
    <t>Sep 19:00</t>
  </si>
  <si>
    <t>Sep 20:00</t>
  </si>
  <si>
    <t>Sep 21:00</t>
  </si>
  <si>
    <t>Sep 22:00</t>
  </si>
  <si>
    <t>Sep 23:00</t>
  </si>
  <si>
    <t>Oct 0:00</t>
  </si>
  <si>
    <t>Oct 1:00</t>
  </si>
  <si>
    <t>Oct 2:00</t>
  </si>
  <si>
    <t>Oct 3:00</t>
  </si>
  <si>
    <t>Oct 4:00</t>
  </si>
  <si>
    <t>Oct 5:00</t>
  </si>
  <si>
    <t>Oct 6:00</t>
  </si>
  <si>
    <t>Oct 7:00</t>
  </si>
  <si>
    <t>Oct 8:00</t>
  </si>
  <si>
    <t>Oct 9:00</t>
  </si>
  <si>
    <t>Oct 10:00</t>
  </si>
  <si>
    <t>Oct 11:00</t>
  </si>
  <si>
    <t>Oct 12:00</t>
  </si>
  <si>
    <t>Oct 13:00</t>
  </si>
  <si>
    <t>Oct 14:00</t>
  </si>
  <si>
    <t>Oct 15:00</t>
  </si>
  <si>
    <t>Oct 16:00</t>
  </si>
  <si>
    <t>Oct 17:00</t>
  </si>
  <si>
    <t>Oct 18:00</t>
  </si>
  <si>
    <t>Oct 19:00</t>
  </si>
  <si>
    <t>Oct 20:00</t>
  </si>
  <si>
    <t>Oct 21:00</t>
  </si>
  <si>
    <t>Oct 22:00</t>
  </si>
  <si>
    <t>Oct 23:00</t>
  </si>
  <si>
    <t>Nov 0:00</t>
  </si>
  <si>
    <t>Nov 1:00</t>
  </si>
  <si>
    <t>Nov 2:00</t>
  </si>
  <si>
    <t>Nov 3:00</t>
  </si>
  <si>
    <t>Nov 4:00</t>
  </si>
  <si>
    <t>Nov 5:00</t>
  </si>
  <si>
    <t>Nov 6:00</t>
  </si>
  <si>
    <t>Nov 7:00</t>
  </si>
  <si>
    <t>Nov 8:00</t>
  </si>
  <si>
    <t>Nov 9:00</t>
  </si>
  <si>
    <t>Nov 10:00</t>
  </si>
  <si>
    <t>Nov 11:00</t>
  </si>
  <si>
    <t>Nov 12:00</t>
  </si>
  <si>
    <t>Nov 13:00</t>
  </si>
  <si>
    <t>Nov 14:00</t>
  </si>
  <si>
    <t>Nov 15:00</t>
  </si>
  <si>
    <t>Nov 16:00</t>
  </si>
  <si>
    <t>Nov 17:00</t>
  </si>
  <si>
    <t>Nov 18:00</t>
  </si>
  <si>
    <t>Nov 19:00</t>
  </si>
  <si>
    <t>Nov 20:00</t>
  </si>
  <si>
    <t>Nov 21:00</t>
  </si>
  <si>
    <t>Nov 22:00</t>
  </si>
  <si>
    <t>Nov 23:00</t>
  </si>
  <si>
    <t>hourly W/m2</t>
  </si>
  <si>
    <t>enright et al. 1994</t>
  </si>
  <si>
    <t>solstice</t>
  </si>
  <si>
    <t>245 W/m2</t>
  </si>
  <si>
    <t>1120 umol/m2/s</t>
  </si>
  <si>
    <t>spring is less than this</t>
  </si>
  <si>
    <t>McInnis p comm</t>
  </si>
  <si>
    <t>Huapai</t>
  </si>
  <si>
    <t>2500umol/m2/s</t>
  </si>
  <si>
    <t>summer measurments/peak part of day</t>
  </si>
  <si>
    <t>NIWA vcsn</t>
  </si>
  <si>
    <t>Lower Huia</t>
  </si>
  <si>
    <t>185W/m2</t>
  </si>
  <si>
    <t>840umol/m2/s</t>
  </si>
  <si>
    <t>spring average</t>
  </si>
  <si>
    <t>202 W/m2</t>
  </si>
  <si>
    <t>923 umol/m2/s</t>
  </si>
  <si>
    <t>conductance</t>
  </si>
  <si>
    <t>WS</t>
  </si>
  <si>
    <t>V</t>
  </si>
  <si>
    <t>T</t>
  </si>
  <si>
    <t>S</t>
  </si>
  <si>
    <t>r</t>
  </si>
  <si>
    <t>mean</t>
  </si>
  <si>
    <t>Real</t>
  </si>
  <si>
    <t>stomatal conductance araucariaceae</t>
  </si>
  <si>
    <t>Brodribb et al. 2009</t>
  </si>
  <si>
    <t>Agathis robusta</t>
  </si>
  <si>
    <t>Agathis australis</t>
  </si>
  <si>
    <t>Haworth et al. 2011</t>
  </si>
  <si>
    <t>Biological</t>
  </si>
  <si>
    <t>effective length</t>
  </si>
  <si>
    <t>Environmental</t>
  </si>
  <si>
    <t>Model Parameters</t>
  </si>
  <si>
    <t>Unit of measure</t>
  </si>
  <si>
    <t>Value</t>
  </si>
  <si>
    <t>Comments</t>
  </si>
  <si>
    <t>Stomatal conductance</t>
  </si>
  <si>
    <t>Wind speed</t>
  </si>
  <si>
    <t>Leaf width</t>
  </si>
  <si>
    <t>source water</t>
  </si>
  <si>
    <t>water vapor</t>
  </si>
  <si>
    <t>Temperature</t>
  </si>
  <si>
    <t>Relative humidity</t>
  </si>
  <si>
    <t>brodribb et al. 2005</t>
  </si>
  <si>
    <t>chile araucariaceae</t>
  </si>
  <si>
    <t>m</t>
  </si>
  <si>
    <t>%</t>
  </si>
  <si>
    <t>hPa</t>
  </si>
  <si>
    <t>m/s</t>
  </si>
  <si>
    <t>U</t>
  </si>
  <si>
    <t>avg distance to vein</t>
  </si>
  <si>
    <t>peak at 10 am</t>
  </si>
  <si>
    <t>mol m-2 s-1</t>
  </si>
  <si>
    <t>Pex</t>
  </si>
  <si>
    <t>Px</t>
  </si>
  <si>
    <t>ratio</t>
  </si>
  <si>
    <t>Proportion of exchangeable oxygen in cellulose formed from simple carbohydrates</t>
  </si>
  <si>
    <t>Reference</t>
  </si>
  <si>
    <t>PexPx</t>
  </si>
  <si>
    <t>Hellicker and Elheringer 2002</t>
  </si>
  <si>
    <t>Proportion of unenriched (source) water in developing cell</t>
  </si>
  <si>
    <t>Double average distance of evaporation site to central vein</t>
  </si>
  <si>
    <t>Average measurment from trees in the field</t>
  </si>
  <si>
    <t>Δ18Osource</t>
  </si>
  <si>
    <t>R</t>
  </si>
  <si>
    <t>R of source water</t>
  </si>
  <si>
    <t>R of water vapor</t>
  </si>
  <si>
    <t>d18Ovapor</t>
  </si>
  <si>
    <t>Lee et al 2005</t>
  </si>
  <si>
    <t>Lee et al. 2006</t>
  </si>
  <si>
    <t>Zhang</t>
  </si>
  <si>
    <t>means</t>
  </si>
  <si>
    <t>Yin et al. 2009</t>
  </si>
  <si>
    <t>Auckland Aero; Station agent #1962</t>
  </si>
  <si>
    <t>Barbour et al. 2004; Cernusak et al. 2005</t>
  </si>
  <si>
    <t>www.niwa.co.nz</t>
  </si>
  <si>
    <t>iteratively changing</t>
  </si>
  <si>
    <t>umol m-2 s-1</t>
  </si>
  <si>
    <t>(δ per mille relative to VSMOW)</t>
  </si>
  <si>
    <t>p = 0.0002</t>
  </si>
  <si>
    <t>two tailed</t>
  </si>
  <si>
    <t>EDF = 52</t>
  </si>
  <si>
    <t>r= 0.65</t>
  </si>
  <si>
    <t>0.1-0.35</t>
  </si>
  <si>
    <t>modeled</t>
  </si>
  <si>
    <t>error on LH</t>
  </si>
  <si>
    <t>Mid-range estimate from experiments with Agathis australis and Araucareaceae</t>
  </si>
  <si>
    <t>Haworth et al. 2011; Brodribb et al. 2005; 2009; McInnis-Ng (unpublished)</t>
  </si>
  <si>
    <t>Lorrey (unpublished)</t>
  </si>
  <si>
    <t>Observed relationships between δ18Ov and δ18Op in equilibrium</t>
  </si>
  <si>
    <t>http://wateriso.utah.edu/waterisotopes/pages/data_access/oipc.html</t>
  </si>
  <si>
    <t>Modeled estimate using data from Lee et al. 2005; 2006; Zheng et al. 2011; Yin et al. 2008</t>
  </si>
  <si>
    <t>3y</t>
  </si>
  <si>
    <t>5y</t>
  </si>
  <si>
    <t>RH</t>
  </si>
  <si>
    <t>RH5y</t>
  </si>
  <si>
    <t>RH3y</t>
  </si>
  <si>
    <t>Rh3y</t>
  </si>
  <si>
    <t>Rh5y</t>
  </si>
  <si>
    <t>PET3y</t>
  </si>
  <si>
    <t>PET5y</t>
  </si>
  <si>
    <t>MVP</t>
  </si>
  <si>
    <t>MVP5y</t>
  </si>
  <si>
    <t>MVP3y</t>
  </si>
  <si>
    <t>Huapai 3 series mean</t>
  </si>
  <si>
    <t>PET</t>
  </si>
  <si>
    <t>T3y</t>
  </si>
  <si>
    <t>T5y</t>
  </si>
  <si>
    <t>not detrended</t>
  </si>
  <si>
    <t>Detrended series</t>
  </si>
  <si>
    <t>mvp</t>
  </si>
  <si>
    <t>mvp3</t>
  </si>
  <si>
    <t>mvp5</t>
  </si>
  <si>
    <t>Rh3</t>
  </si>
  <si>
    <t>Rh5</t>
  </si>
  <si>
    <t>Detrended</t>
  </si>
  <si>
    <t>Not detrended</t>
  </si>
  <si>
    <t>increase</t>
  </si>
  <si>
    <t>decrease</t>
  </si>
  <si>
    <t>SO</t>
  </si>
  <si>
    <t>SON</t>
  </si>
  <si>
    <t>MJJASO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</si>
</sst>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Symbol"/>
      <family val="1"/>
      <charset val="2"/>
    </font>
    <font>
      <b/>
      <sz val="10"/>
      <name val="Symbol"/>
      <family val="1"/>
      <charset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6"/>
      <name val="Arial"/>
    </font>
    <font>
      <sz val="12"/>
      <name val="Cambria"/>
    </font>
    <font>
      <b/>
      <i/>
      <u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64" fontId="4" fillId="0" borderId="0" xfId="0" applyNumberFormat="1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2" xfId="0" applyFill="1" applyBorder="1"/>
    <xf numFmtId="0" fontId="2" fillId="5" borderId="0" xfId="0" applyFont="1" applyFill="1"/>
    <xf numFmtId="0" fontId="0" fillId="5" borderId="0" xfId="0" applyFill="1"/>
    <xf numFmtId="164" fontId="4" fillId="5" borderId="0" xfId="0" applyNumberFormat="1" applyFont="1" applyFill="1"/>
    <xf numFmtId="2" fontId="4" fillId="0" borderId="0" xfId="0" applyNumberFormat="1" applyFont="1"/>
    <xf numFmtId="2" fontId="0" fillId="3" borderId="0" xfId="0" applyNumberFormat="1" applyFill="1"/>
    <xf numFmtId="164" fontId="0" fillId="3" borderId="0" xfId="0" applyNumberFormat="1" applyFill="1"/>
    <xf numFmtId="0" fontId="0" fillId="0" borderId="0" xfId="0" quotePrefix="1"/>
    <xf numFmtId="165" fontId="0" fillId="0" borderId="0" xfId="0" applyNumberFormat="1"/>
    <xf numFmtId="165" fontId="4" fillId="0" borderId="0" xfId="0" applyNumberFormat="1" applyFont="1"/>
    <xf numFmtId="0" fontId="4" fillId="0" borderId="0" xfId="0" applyFont="1" applyAlignment="1">
      <alignment horizontal="right" vertical="center"/>
    </xf>
    <xf numFmtId="0" fontId="12" fillId="0" borderId="0" xfId="0" applyFont="1"/>
    <xf numFmtId="0" fontId="11" fillId="6" borderId="0" xfId="0" applyFont="1" applyFill="1"/>
    <xf numFmtId="0" fontId="13" fillId="0" borderId="0" xfId="0" applyFont="1"/>
    <xf numFmtId="2" fontId="0" fillId="7" borderId="0" xfId="0" applyNumberFormat="1" applyFill="1"/>
    <xf numFmtId="0" fontId="9" fillId="0" borderId="0" xfId="141"/>
    <xf numFmtId="0" fontId="0" fillId="0" borderId="0" xfId="0" applyAlignment="1">
      <alignment horizontal="right"/>
    </xf>
    <xf numFmtId="0" fontId="0" fillId="8" borderId="0" xfId="0" applyFill="1"/>
    <xf numFmtId="2" fontId="1" fillId="0" borderId="0" xfId="0" applyNumberFormat="1" applyFont="1"/>
    <xf numFmtId="2" fontId="0" fillId="8" borderId="0" xfId="0" applyNumberFormat="1" applyFill="1"/>
    <xf numFmtId="2" fontId="0" fillId="0" borderId="0" xfId="0" applyNumberFormat="1" applyFont="1"/>
    <xf numFmtId="2" fontId="13" fillId="0" borderId="0" xfId="0" applyNumberFormat="1" applyFont="1"/>
    <xf numFmtId="0" fontId="0" fillId="7" borderId="0" xfId="0" applyFill="1"/>
    <xf numFmtId="164" fontId="11" fillId="9" borderId="0" xfId="0" applyNumberFormat="1" applyFont="1" applyFill="1"/>
    <xf numFmtId="2" fontId="0" fillId="0" borderId="0" xfId="0" applyNumberFormat="1" applyFill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tx1"/>
              </a:solidFill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Sheet1!$Q$31:$Q$58</c:f>
                <c:numCache>
                  <c:formatCode>General</c:formatCode>
                  <c:ptCount val="28"/>
                  <c:pt idx="0">
                    <c:v>1.421807317689884</c:v>
                  </c:pt>
                  <c:pt idx="1">
                    <c:v>0.703994405438632</c:v>
                  </c:pt>
                  <c:pt idx="2">
                    <c:v>0.436674339778761</c:v>
                  </c:pt>
                  <c:pt idx="3">
                    <c:v>1.610192114193063</c:v>
                  </c:pt>
                  <c:pt idx="4">
                    <c:v>1.023198434613121</c:v>
                  </c:pt>
                  <c:pt idx="5">
                    <c:v>0.592711238768982</c:v>
                  </c:pt>
                  <c:pt idx="6">
                    <c:v>0.869130851208165</c:v>
                  </c:pt>
                  <c:pt idx="7">
                    <c:v>0.498781367781516</c:v>
                  </c:pt>
                  <c:pt idx="8">
                    <c:v>0.878843296521323</c:v>
                  </c:pt>
                  <c:pt idx="9">
                    <c:v>0.557196327610986</c:v>
                  </c:pt>
                  <c:pt idx="10">
                    <c:v>1.029282206042132</c:v>
                  </c:pt>
                  <c:pt idx="11">
                    <c:v>0.866944274905824</c:v>
                  </c:pt>
                  <c:pt idx="12">
                    <c:v>1.019707923284587</c:v>
                  </c:pt>
                  <c:pt idx="13">
                    <c:v>1.651384489114847</c:v>
                  </c:pt>
                  <c:pt idx="14">
                    <c:v>0.571740030839171</c:v>
                  </c:pt>
                  <c:pt idx="15">
                    <c:v>0.404196126195595</c:v>
                  </c:pt>
                  <c:pt idx="16">
                    <c:v>0.48450125623448</c:v>
                  </c:pt>
                  <c:pt idx="17">
                    <c:v>0.558237484995469</c:v>
                  </c:pt>
                  <c:pt idx="18">
                    <c:v>0.393699956380447</c:v>
                  </c:pt>
                  <c:pt idx="19">
                    <c:v>1.104425827405298</c:v>
                  </c:pt>
                  <c:pt idx="20">
                    <c:v>0.383222609840454</c:v>
                  </c:pt>
                  <c:pt idx="21">
                    <c:v>0.89498866890509</c:v>
                  </c:pt>
                  <c:pt idx="22">
                    <c:v>0.824293727589522</c:v>
                  </c:pt>
                  <c:pt idx="23">
                    <c:v>1.113539727560217</c:v>
                  </c:pt>
                  <c:pt idx="24">
                    <c:v>0.705328416830257</c:v>
                  </c:pt>
                  <c:pt idx="25">
                    <c:v>1.229352195710538</c:v>
                  </c:pt>
                  <c:pt idx="26">
                    <c:v>1.091648658428421</c:v>
                  </c:pt>
                  <c:pt idx="27">
                    <c:v>0.673223315136034</c:v>
                  </c:pt>
                </c:numCache>
              </c:numRef>
            </c:plus>
            <c:minus>
              <c:numRef>
                <c:f>Sheet1!$Q$31:$Q$58</c:f>
                <c:numCache>
                  <c:formatCode>General</c:formatCode>
                  <c:ptCount val="28"/>
                  <c:pt idx="0">
                    <c:v>1.421807317689884</c:v>
                  </c:pt>
                  <c:pt idx="1">
                    <c:v>0.703994405438632</c:v>
                  </c:pt>
                  <c:pt idx="2">
                    <c:v>0.436674339778761</c:v>
                  </c:pt>
                  <c:pt idx="3">
                    <c:v>1.610192114193063</c:v>
                  </c:pt>
                  <c:pt idx="4">
                    <c:v>1.023198434613121</c:v>
                  </c:pt>
                  <c:pt idx="5">
                    <c:v>0.592711238768982</c:v>
                  </c:pt>
                  <c:pt idx="6">
                    <c:v>0.869130851208165</c:v>
                  </c:pt>
                  <c:pt idx="7">
                    <c:v>0.498781367781516</c:v>
                  </c:pt>
                  <c:pt idx="8">
                    <c:v>0.878843296521323</c:v>
                  </c:pt>
                  <c:pt idx="9">
                    <c:v>0.557196327610986</c:v>
                  </c:pt>
                  <c:pt idx="10">
                    <c:v>1.029282206042132</c:v>
                  </c:pt>
                  <c:pt idx="11">
                    <c:v>0.866944274905824</c:v>
                  </c:pt>
                  <c:pt idx="12">
                    <c:v>1.019707923284587</c:v>
                  </c:pt>
                  <c:pt idx="13">
                    <c:v>1.651384489114847</c:v>
                  </c:pt>
                  <c:pt idx="14">
                    <c:v>0.571740030839171</c:v>
                  </c:pt>
                  <c:pt idx="15">
                    <c:v>0.404196126195595</c:v>
                  </c:pt>
                  <c:pt idx="16">
                    <c:v>0.48450125623448</c:v>
                  </c:pt>
                  <c:pt idx="17">
                    <c:v>0.558237484995469</c:v>
                  </c:pt>
                  <c:pt idx="18">
                    <c:v>0.393699956380447</c:v>
                  </c:pt>
                  <c:pt idx="19">
                    <c:v>1.104425827405298</c:v>
                  </c:pt>
                  <c:pt idx="20">
                    <c:v>0.383222609840454</c:v>
                  </c:pt>
                  <c:pt idx="21">
                    <c:v>0.89498866890509</c:v>
                  </c:pt>
                  <c:pt idx="22">
                    <c:v>0.824293727589522</c:v>
                  </c:pt>
                  <c:pt idx="23">
                    <c:v>1.113539727560217</c:v>
                  </c:pt>
                  <c:pt idx="24">
                    <c:v>0.705328416830257</c:v>
                  </c:pt>
                  <c:pt idx="25">
                    <c:v>1.229352195710538</c:v>
                  </c:pt>
                  <c:pt idx="26">
                    <c:v>1.091648658428421</c:v>
                  </c:pt>
                  <c:pt idx="27">
                    <c:v>0.673223315136034</c:v>
                  </c:pt>
                </c:numCache>
              </c:numRef>
            </c:minus>
          </c:errBars>
          <c:xVal>
            <c:numRef>
              <c:f>Sheet1!$L$31:$L$58</c:f>
              <c:numCache>
                <c:formatCode>General</c:formatCode>
                <c:ptCount val="28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</c:numCache>
            </c:numRef>
          </c:xVal>
          <c:yVal>
            <c:numRef>
              <c:f>Sheet1!$P$31:$P$58</c:f>
              <c:numCache>
                <c:formatCode>General</c:formatCode>
                <c:ptCount val="28"/>
                <c:pt idx="0">
                  <c:v>-0.290357581425254</c:v>
                </c:pt>
                <c:pt idx="1">
                  <c:v>0.239226391218053</c:v>
                </c:pt>
                <c:pt idx="2">
                  <c:v>0.644525254642978</c:v>
                </c:pt>
                <c:pt idx="3">
                  <c:v>-1.116025004578026</c:v>
                </c:pt>
                <c:pt idx="4">
                  <c:v>-0.288800991974175</c:v>
                </c:pt>
                <c:pt idx="5">
                  <c:v>0.195304801722278</c:v>
                </c:pt>
                <c:pt idx="6">
                  <c:v>-0.710341741153059</c:v>
                </c:pt>
                <c:pt idx="7">
                  <c:v>0.504585523518288</c:v>
                </c:pt>
                <c:pt idx="8">
                  <c:v>-0.0374644219748053</c:v>
                </c:pt>
                <c:pt idx="9">
                  <c:v>0.774352237006285</c:v>
                </c:pt>
                <c:pt idx="10">
                  <c:v>-0.0525622581600255</c:v>
                </c:pt>
                <c:pt idx="11">
                  <c:v>-0.273647195365403</c:v>
                </c:pt>
                <c:pt idx="12">
                  <c:v>-0.457270555508932</c:v>
                </c:pt>
                <c:pt idx="13">
                  <c:v>-0.141932344522551</c:v>
                </c:pt>
                <c:pt idx="14">
                  <c:v>-0.0675953286003726</c:v>
                </c:pt>
                <c:pt idx="15">
                  <c:v>0.56564976863267</c:v>
                </c:pt>
                <c:pt idx="16">
                  <c:v>0.727194315662255</c:v>
                </c:pt>
                <c:pt idx="17">
                  <c:v>0.494321492860573</c:v>
                </c:pt>
                <c:pt idx="18">
                  <c:v>0.655280414565495</c:v>
                </c:pt>
                <c:pt idx="19">
                  <c:v>0.157404460731182</c:v>
                </c:pt>
                <c:pt idx="20">
                  <c:v>0.396067090973482</c:v>
                </c:pt>
                <c:pt idx="21">
                  <c:v>-0.0165506311069828</c:v>
                </c:pt>
                <c:pt idx="22">
                  <c:v>-0.149919636117161</c:v>
                </c:pt>
                <c:pt idx="23">
                  <c:v>-0.15409241471607</c:v>
                </c:pt>
                <c:pt idx="24">
                  <c:v>-0.013842537895437</c:v>
                </c:pt>
                <c:pt idx="25">
                  <c:v>-0.166307183198284</c:v>
                </c:pt>
                <c:pt idx="26">
                  <c:v>-0.821791396811226</c:v>
                </c:pt>
                <c:pt idx="27">
                  <c:v>-0.169366282094703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Sheet1!$L$31:$L$58</c:f>
              <c:numCache>
                <c:formatCode>General</c:formatCode>
                <c:ptCount val="28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</c:numCache>
            </c:numRef>
          </c:xVal>
          <c:yVal>
            <c:numRef>
              <c:f>Sheet1!$M$31:$M$58</c:f>
              <c:numCache>
                <c:formatCode>General</c:formatCode>
                <c:ptCount val="28"/>
                <c:pt idx="0">
                  <c:v>-2.340375197970611</c:v>
                </c:pt>
                <c:pt idx="1">
                  <c:v>0.070446076193106</c:v>
                </c:pt>
                <c:pt idx="2">
                  <c:v>1.166273928085703</c:v>
                </c:pt>
                <c:pt idx="3">
                  <c:v>-0.806216205320969</c:v>
                </c:pt>
                <c:pt idx="4">
                  <c:v>-0.587050634942454</c:v>
                </c:pt>
                <c:pt idx="5">
                  <c:v>0.289611646571628</c:v>
                </c:pt>
                <c:pt idx="6">
                  <c:v>-0.587050634942454</c:v>
                </c:pt>
                <c:pt idx="7">
                  <c:v>2.2621017799783</c:v>
                </c:pt>
                <c:pt idx="8">
                  <c:v>0.289611646571628</c:v>
                </c:pt>
                <c:pt idx="9">
                  <c:v>0.947108357707181</c:v>
                </c:pt>
                <c:pt idx="10">
                  <c:v>0.289611646571628</c:v>
                </c:pt>
                <c:pt idx="11">
                  <c:v>-0.367885064563931</c:v>
                </c:pt>
                <c:pt idx="12">
                  <c:v>-0.806216205320969</c:v>
                </c:pt>
                <c:pt idx="13">
                  <c:v>0.070446076193106</c:v>
                </c:pt>
                <c:pt idx="14">
                  <c:v>-0.148719494185417</c:v>
                </c:pt>
                <c:pt idx="15">
                  <c:v>-0.367885064563931</c:v>
                </c:pt>
                <c:pt idx="16">
                  <c:v>2.042936209599778</c:v>
                </c:pt>
                <c:pt idx="17">
                  <c:v>-0.367885064563931</c:v>
                </c:pt>
                <c:pt idx="18">
                  <c:v>-0.148719494185417</c:v>
                </c:pt>
                <c:pt idx="19">
                  <c:v>0.727942787328666</c:v>
                </c:pt>
                <c:pt idx="20">
                  <c:v>0.508777216950143</c:v>
                </c:pt>
                <c:pt idx="21">
                  <c:v>-0.367885064563931</c:v>
                </c:pt>
                <c:pt idx="22">
                  <c:v>-0.587050634942454</c:v>
                </c:pt>
                <c:pt idx="23">
                  <c:v>0.070446076193106</c:v>
                </c:pt>
                <c:pt idx="24">
                  <c:v>0.070446076193106</c:v>
                </c:pt>
                <c:pt idx="25">
                  <c:v>1.166273928085703</c:v>
                </c:pt>
                <c:pt idx="26">
                  <c:v>-2.121209627592088</c:v>
                </c:pt>
                <c:pt idx="27">
                  <c:v>-0.367885064563931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46984"/>
        <c:axId val="-2135443944"/>
      </c:scatterChart>
      <c:valAx>
        <c:axId val="-213544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443944"/>
        <c:crosses val="autoZero"/>
        <c:crossBetween val="midCat"/>
      </c:valAx>
      <c:valAx>
        <c:axId val="-213544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4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 correlation and plots'!$D$4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'Rh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'Rh correlation and plots'!$D$5:$D$54</c:f>
              <c:numCache>
                <c:formatCode>General</c:formatCode>
                <c:ptCount val="50"/>
                <c:pt idx="2">
                  <c:v>-0.162286386423285</c:v>
                </c:pt>
                <c:pt idx="3">
                  <c:v>-0.0651539097937784</c:v>
                </c:pt>
                <c:pt idx="4">
                  <c:v>-0.255067536268001</c:v>
                </c:pt>
                <c:pt idx="5">
                  <c:v>-0.283055482492939</c:v>
                </c:pt>
                <c:pt idx="6">
                  <c:v>-0.0673433659722947</c:v>
                </c:pt>
                <c:pt idx="7">
                  <c:v>0.145287279823797</c:v>
                </c:pt>
                <c:pt idx="8">
                  <c:v>0.0957138678473367</c:v>
                </c:pt>
                <c:pt idx="9">
                  <c:v>0.183052777004868</c:v>
                </c:pt>
                <c:pt idx="10">
                  <c:v>-0.00931843880057593</c:v>
                </c:pt>
                <c:pt idx="11">
                  <c:v>-0.030212023310125</c:v>
                </c:pt>
                <c:pt idx="12">
                  <c:v>-0.198601536431457</c:v>
                </c:pt>
                <c:pt idx="13">
                  <c:v>-0.0749591310729175</c:v>
                </c:pt>
                <c:pt idx="14">
                  <c:v>0.125209171132614</c:v>
                </c:pt>
                <c:pt idx="15">
                  <c:v>0.315527580806515</c:v>
                </c:pt>
                <c:pt idx="16">
                  <c:v>0.474970132624124</c:v>
                </c:pt>
                <c:pt idx="17">
                  <c:v>0.519970090490435</c:v>
                </c:pt>
                <c:pt idx="18">
                  <c:v>0.486053554958598</c:v>
                </c:pt>
                <c:pt idx="19">
                  <c:v>0.33730456560475</c:v>
                </c:pt>
                <c:pt idx="20">
                  <c:v>0.208456339809203</c:v>
                </c:pt>
                <c:pt idx="21">
                  <c:v>0.0465817739528901</c:v>
                </c:pt>
                <c:pt idx="22">
                  <c:v>0.0123323742275663</c:v>
                </c:pt>
                <c:pt idx="23">
                  <c:v>-0.100142480606787</c:v>
                </c:pt>
                <c:pt idx="24">
                  <c:v>-0.261190633747636</c:v>
                </c:pt>
                <c:pt idx="25">
                  <c:v>-0.265079962943144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'Rh correlation and plots'!$I$4</c:f>
              <c:strCache>
                <c:ptCount val="1"/>
                <c:pt idx="0">
                  <c:v>Huapai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xVal>
            <c:numRef>
              <c:f>'Rh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'Rh correlation and plots'!$I$5:$I$54</c:f>
              <c:numCache>
                <c:formatCode>General</c:formatCode>
                <c:ptCount val="50"/>
                <c:pt idx="16">
                  <c:v>0.0231737318667579</c:v>
                </c:pt>
                <c:pt idx="17">
                  <c:v>0.163663051642638</c:v>
                </c:pt>
                <c:pt idx="18">
                  <c:v>0.0426158032705497</c:v>
                </c:pt>
                <c:pt idx="19">
                  <c:v>-0.111957696282532</c:v>
                </c:pt>
                <c:pt idx="20">
                  <c:v>-0.0167802671255483</c:v>
                </c:pt>
                <c:pt idx="21">
                  <c:v>-0.0940865260930163</c:v>
                </c:pt>
                <c:pt idx="22">
                  <c:v>-0.443590085215116</c:v>
                </c:pt>
                <c:pt idx="23">
                  <c:v>-0.291683742360981</c:v>
                </c:pt>
                <c:pt idx="24">
                  <c:v>-0.174332352093902</c:v>
                </c:pt>
                <c:pt idx="25">
                  <c:v>-0.0568759712027146</c:v>
                </c:pt>
                <c:pt idx="26">
                  <c:v>0.00972647368146343</c:v>
                </c:pt>
                <c:pt idx="27">
                  <c:v>0.147891715545135</c:v>
                </c:pt>
                <c:pt idx="28">
                  <c:v>0.110225411696211</c:v>
                </c:pt>
                <c:pt idx="29">
                  <c:v>0.247222484781609</c:v>
                </c:pt>
                <c:pt idx="30">
                  <c:v>0.0911139476844048</c:v>
                </c:pt>
                <c:pt idx="31">
                  <c:v>0.0523426737950937</c:v>
                </c:pt>
                <c:pt idx="32">
                  <c:v>0.0541805765056947</c:v>
                </c:pt>
                <c:pt idx="33">
                  <c:v>-0.0541154687828218</c:v>
                </c:pt>
                <c:pt idx="34">
                  <c:v>-0.190747138958579</c:v>
                </c:pt>
                <c:pt idx="35">
                  <c:v>-0.149581440319626</c:v>
                </c:pt>
                <c:pt idx="36">
                  <c:v>-0.133623208901842</c:v>
                </c:pt>
                <c:pt idx="37">
                  <c:v>-0.128205387761796</c:v>
                </c:pt>
                <c:pt idx="38">
                  <c:v>-0.0355208443561915</c:v>
                </c:pt>
                <c:pt idx="39">
                  <c:v>0.0495393735533777</c:v>
                </c:pt>
                <c:pt idx="40">
                  <c:v>0.0127557898440652</c:v>
                </c:pt>
                <c:pt idx="41">
                  <c:v>-0.11030022101451</c:v>
                </c:pt>
                <c:pt idx="42">
                  <c:v>-0.125416270348917</c:v>
                </c:pt>
                <c:pt idx="43">
                  <c:v>-0.136525660242467</c:v>
                </c:pt>
                <c:pt idx="44">
                  <c:v>-0.0480360651822939</c:v>
                </c:pt>
                <c:pt idx="45">
                  <c:v>0.0349499229395428</c:v>
                </c:pt>
                <c:pt idx="46">
                  <c:v>0.323825799088404</c:v>
                </c:pt>
                <c:pt idx="47">
                  <c:v>0.117117516550482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98616"/>
        <c:axId val="-2134995432"/>
      </c:scatterChart>
      <c:scatterChart>
        <c:scatterStyle val="lineMarker"/>
        <c:varyColors val="0"/>
        <c:ser>
          <c:idx val="2"/>
          <c:order val="2"/>
          <c:trendline>
            <c:trendlineType val="linear"/>
            <c:dispRSqr val="0"/>
            <c:dispEq val="0"/>
          </c:trendline>
          <c:xVal>
            <c:numRef>
              <c:f>'Rh correlation and plots'!$A$5:$A$46</c:f>
              <c:numCache>
                <c:formatCode>General</c:formatCode>
                <c:ptCount val="42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</c:numCache>
            </c:numRef>
          </c:xVal>
          <c:yVal>
            <c:numRef>
              <c:f>'Rh correlation and plots'!$M$5:$M$46</c:f>
              <c:numCache>
                <c:formatCode>General</c:formatCode>
                <c:ptCount val="42"/>
                <c:pt idx="0">
                  <c:v>80.41999999999998</c:v>
                </c:pt>
                <c:pt idx="1">
                  <c:v>79.91333333333333</c:v>
                </c:pt>
                <c:pt idx="2">
                  <c:v>79.43333333333334</c:v>
                </c:pt>
                <c:pt idx="3">
                  <c:v>78.23333333333333</c:v>
                </c:pt>
                <c:pt idx="4">
                  <c:v>78.38000000000001</c:v>
                </c:pt>
                <c:pt idx="5">
                  <c:v>77.66</c:v>
                </c:pt>
                <c:pt idx="6">
                  <c:v>77.43333333333332</c:v>
                </c:pt>
                <c:pt idx="7">
                  <c:v>77.33333333333333</c:v>
                </c:pt>
                <c:pt idx="8">
                  <c:v>77.73333333333332</c:v>
                </c:pt>
                <c:pt idx="9">
                  <c:v>77.72</c:v>
                </c:pt>
                <c:pt idx="10">
                  <c:v>78.72666666666665</c:v>
                </c:pt>
                <c:pt idx="11">
                  <c:v>78.50666666666667</c:v>
                </c:pt>
                <c:pt idx="12">
                  <c:v>78.88666666666667</c:v>
                </c:pt>
                <c:pt idx="13">
                  <c:v>78.74</c:v>
                </c:pt>
                <c:pt idx="14">
                  <c:v>78.09333333333333</c:v>
                </c:pt>
                <c:pt idx="15">
                  <c:v>77.91333333333333</c:v>
                </c:pt>
                <c:pt idx="16">
                  <c:v>77.91333333333333</c:v>
                </c:pt>
                <c:pt idx="17">
                  <c:v>77.64666666666667</c:v>
                </c:pt>
                <c:pt idx="18">
                  <c:v>77.06666666666667</c:v>
                </c:pt>
                <c:pt idx="19">
                  <c:v>77.78</c:v>
                </c:pt>
                <c:pt idx="20">
                  <c:v>77.88666666666667</c:v>
                </c:pt>
                <c:pt idx="21">
                  <c:v>78.17333333333333</c:v>
                </c:pt>
                <c:pt idx="22">
                  <c:v>78.6</c:v>
                </c:pt>
                <c:pt idx="23">
                  <c:v>79.48666666666666</c:v>
                </c:pt>
                <c:pt idx="24">
                  <c:v>80.07333333333334</c:v>
                </c:pt>
                <c:pt idx="25">
                  <c:v>80.23333333333333</c:v>
                </c:pt>
                <c:pt idx="26">
                  <c:v>80.62666666666667</c:v>
                </c:pt>
                <c:pt idx="27">
                  <c:v>80.58</c:v>
                </c:pt>
                <c:pt idx="28">
                  <c:v>80.79333333333332</c:v>
                </c:pt>
                <c:pt idx="29">
                  <c:v>80.01333333333334</c:v>
                </c:pt>
                <c:pt idx="30">
                  <c:v>79.56</c:v>
                </c:pt>
                <c:pt idx="31">
                  <c:v>79.51333333333335</c:v>
                </c:pt>
                <c:pt idx="32">
                  <c:v>79.86666666666665</c:v>
                </c:pt>
                <c:pt idx="33">
                  <c:v>79.45333333333333</c:v>
                </c:pt>
                <c:pt idx="34">
                  <c:v>80.47333333333333</c:v>
                </c:pt>
                <c:pt idx="35">
                  <c:v>80.57333333333334</c:v>
                </c:pt>
                <c:pt idx="36">
                  <c:v>80.33333333333333</c:v>
                </c:pt>
                <c:pt idx="37">
                  <c:v>80.21333333333334</c:v>
                </c:pt>
                <c:pt idx="38">
                  <c:v>80.37333333333333</c:v>
                </c:pt>
                <c:pt idx="39">
                  <c:v>79.82666666666667</c:v>
                </c:pt>
                <c:pt idx="40">
                  <c:v>80.20666666666666</c:v>
                </c:pt>
                <c:pt idx="41">
                  <c:v>80.07333333333334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89464"/>
        <c:axId val="-2134992456"/>
      </c:scatterChart>
      <c:valAx>
        <c:axId val="-213499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95432"/>
        <c:crosses val="autoZero"/>
        <c:crossBetween val="midCat"/>
      </c:valAx>
      <c:valAx>
        <c:axId val="-21349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98616"/>
        <c:crosses val="autoZero"/>
        <c:crossBetween val="midCat"/>
      </c:valAx>
      <c:valAx>
        <c:axId val="-2134992456"/>
        <c:scaling>
          <c:orientation val="maxMin"/>
          <c:max val="85.0"/>
          <c:min val="75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4989464"/>
        <c:crosses val="max"/>
        <c:crossBetween val="midCat"/>
      </c:valAx>
      <c:valAx>
        <c:axId val="-21349894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3499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Sheet1!$AJ$90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Sheet1!$AL$91:$AL$118</c:f>
                <c:numCache>
                  <c:formatCode>General</c:formatCode>
                  <c:ptCount val="28"/>
                  <c:pt idx="0">
                    <c:v>1.421807317689884</c:v>
                  </c:pt>
                  <c:pt idx="1">
                    <c:v>0.703994405438632</c:v>
                  </c:pt>
                  <c:pt idx="2">
                    <c:v>0.436674339778761</c:v>
                  </c:pt>
                  <c:pt idx="3">
                    <c:v>1.610192114193063</c:v>
                  </c:pt>
                  <c:pt idx="4">
                    <c:v>1.023198434613121</c:v>
                  </c:pt>
                  <c:pt idx="5">
                    <c:v>0.592711238768982</c:v>
                  </c:pt>
                  <c:pt idx="6">
                    <c:v>0.869130851208165</c:v>
                  </c:pt>
                  <c:pt idx="7">
                    <c:v>0.498781367781516</c:v>
                  </c:pt>
                  <c:pt idx="8">
                    <c:v>0.878843296521323</c:v>
                  </c:pt>
                  <c:pt idx="9">
                    <c:v>0.557196327610986</c:v>
                  </c:pt>
                  <c:pt idx="10">
                    <c:v>1.029282206042132</c:v>
                  </c:pt>
                  <c:pt idx="11">
                    <c:v>0.866944274905824</c:v>
                  </c:pt>
                  <c:pt idx="12">
                    <c:v>1.019707923284587</c:v>
                  </c:pt>
                  <c:pt idx="13">
                    <c:v>1.651384489114847</c:v>
                  </c:pt>
                  <c:pt idx="14">
                    <c:v>0.571740030839171</c:v>
                  </c:pt>
                  <c:pt idx="15">
                    <c:v>0.404196126195595</c:v>
                  </c:pt>
                  <c:pt idx="16">
                    <c:v>0.48450125623448</c:v>
                  </c:pt>
                  <c:pt idx="17">
                    <c:v>0.558237484995469</c:v>
                  </c:pt>
                  <c:pt idx="18">
                    <c:v>0.393699956380447</c:v>
                  </c:pt>
                  <c:pt idx="19">
                    <c:v>1.104425827405298</c:v>
                  </c:pt>
                  <c:pt idx="20">
                    <c:v>0.383222609840454</c:v>
                  </c:pt>
                  <c:pt idx="21">
                    <c:v>0.89498866890509</c:v>
                  </c:pt>
                  <c:pt idx="22">
                    <c:v>0.824293727589522</c:v>
                  </c:pt>
                  <c:pt idx="23">
                    <c:v>1.113539727560217</c:v>
                  </c:pt>
                  <c:pt idx="24">
                    <c:v>0.705328416830257</c:v>
                  </c:pt>
                  <c:pt idx="25">
                    <c:v>1.229352195710538</c:v>
                  </c:pt>
                  <c:pt idx="26">
                    <c:v>1.091648658428421</c:v>
                  </c:pt>
                  <c:pt idx="27">
                    <c:v>0.673223315136034</c:v>
                  </c:pt>
                </c:numCache>
              </c:numRef>
            </c:plus>
            <c:minus>
              <c:numRef>
                <c:f>Sheet1!$AL$91:$AL$118</c:f>
                <c:numCache>
                  <c:formatCode>General</c:formatCode>
                  <c:ptCount val="28"/>
                  <c:pt idx="0">
                    <c:v>1.421807317689884</c:v>
                  </c:pt>
                  <c:pt idx="1">
                    <c:v>0.703994405438632</c:v>
                  </c:pt>
                  <c:pt idx="2">
                    <c:v>0.436674339778761</c:v>
                  </c:pt>
                  <c:pt idx="3">
                    <c:v>1.610192114193063</c:v>
                  </c:pt>
                  <c:pt idx="4">
                    <c:v>1.023198434613121</c:v>
                  </c:pt>
                  <c:pt idx="5">
                    <c:v>0.592711238768982</c:v>
                  </c:pt>
                  <c:pt idx="6">
                    <c:v>0.869130851208165</c:v>
                  </c:pt>
                  <c:pt idx="7">
                    <c:v>0.498781367781516</c:v>
                  </c:pt>
                  <c:pt idx="8">
                    <c:v>0.878843296521323</c:v>
                  </c:pt>
                  <c:pt idx="9">
                    <c:v>0.557196327610986</c:v>
                  </c:pt>
                  <c:pt idx="10">
                    <c:v>1.029282206042132</c:v>
                  </c:pt>
                  <c:pt idx="11">
                    <c:v>0.866944274905824</c:v>
                  </c:pt>
                  <c:pt idx="12">
                    <c:v>1.019707923284587</c:v>
                  </c:pt>
                  <c:pt idx="13">
                    <c:v>1.651384489114847</c:v>
                  </c:pt>
                  <c:pt idx="14">
                    <c:v>0.571740030839171</c:v>
                  </c:pt>
                  <c:pt idx="15">
                    <c:v>0.404196126195595</c:v>
                  </c:pt>
                  <c:pt idx="16">
                    <c:v>0.48450125623448</c:v>
                  </c:pt>
                  <c:pt idx="17">
                    <c:v>0.558237484995469</c:v>
                  </c:pt>
                  <c:pt idx="18">
                    <c:v>0.393699956380447</c:v>
                  </c:pt>
                  <c:pt idx="19">
                    <c:v>1.104425827405298</c:v>
                  </c:pt>
                  <c:pt idx="20">
                    <c:v>0.383222609840454</c:v>
                  </c:pt>
                  <c:pt idx="21">
                    <c:v>0.89498866890509</c:v>
                  </c:pt>
                  <c:pt idx="22">
                    <c:v>0.824293727589522</c:v>
                  </c:pt>
                  <c:pt idx="23">
                    <c:v>1.113539727560217</c:v>
                  </c:pt>
                  <c:pt idx="24">
                    <c:v>0.705328416830257</c:v>
                  </c:pt>
                  <c:pt idx="25">
                    <c:v>1.229352195710538</c:v>
                  </c:pt>
                  <c:pt idx="26">
                    <c:v>1.091648658428421</c:v>
                  </c:pt>
                  <c:pt idx="27">
                    <c:v>0.673223315136034</c:v>
                  </c:pt>
                </c:numCache>
              </c:numRef>
            </c:minus>
          </c:errBars>
          <c:xVal>
            <c:numRef>
              <c:f>Sheet1!$AI$91:$AI$118</c:f>
              <c:numCache>
                <c:formatCode>General</c:formatCode>
                <c:ptCount val="28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</c:numCache>
            </c:numRef>
          </c:xVal>
          <c:yVal>
            <c:numRef>
              <c:f>Sheet1!$AJ$91:$AJ$118</c:f>
              <c:numCache>
                <c:formatCode>General</c:formatCode>
                <c:ptCount val="28"/>
                <c:pt idx="0">
                  <c:v>-0.290357581425254</c:v>
                </c:pt>
                <c:pt idx="1">
                  <c:v>0.239226391218053</c:v>
                </c:pt>
                <c:pt idx="2">
                  <c:v>0.644525254642978</c:v>
                </c:pt>
                <c:pt idx="3">
                  <c:v>-1.116025004578026</c:v>
                </c:pt>
                <c:pt idx="4">
                  <c:v>-0.288800991974175</c:v>
                </c:pt>
                <c:pt idx="5">
                  <c:v>0.195304801722278</c:v>
                </c:pt>
                <c:pt idx="6">
                  <c:v>-0.710341741153059</c:v>
                </c:pt>
                <c:pt idx="7">
                  <c:v>0.504585523518288</c:v>
                </c:pt>
                <c:pt idx="8">
                  <c:v>-0.0374644219748053</c:v>
                </c:pt>
                <c:pt idx="9">
                  <c:v>0.774352237006285</c:v>
                </c:pt>
                <c:pt idx="10">
                  <c:v>-0.0525622581600255</c:v>
                </c:pt>
                <c:pt idx="11">
                  <c:v>-0.273647195365403</c:v>
                </c:pt>
                <c:pt idx="12">
                  <c:v>-0.457270555508932</c:v>
                </c:pt>
                <c:pt idx="13">
                  <c:v>-0.141932344522551</c:v>
                </c:pt>
                <c:pt idx="14">
                  <c:v>-0.0675953286003726</c:v>
                </c:pt>
                <c:pt idx="15">
                  <c:v>0.56564976863267</c:v>
                </c:pt>
                <c:pt idx="16">
                  <c:v>0.727194315662255</c:v>
                </c:pt>
                <c:pt idx="17">
                  <c:v>0.494321492860573</c:v>
                </c:pt>
                <c:pt idx="18">
                  <c:v>0.655280414565495</c:v>
                </c:pt>
                <c:pt idx="19">
                  <c:v>0.157404460731182</c:v>
                </c:pt>
                <c:pt idx="20">
                  <c:v>0.396067090973482</c:v>
                </c:pt>
                <c:pt idx="21">
                  <c:v>-0.0165506311069828</c:v>
                </c:pt>
                <c:pt idx="22">
                  <c:v>-0.149919636117161</c:v>
                </c:pt>
                <c:pt idx="23">
                  <c:v>-0.15409241471607</c:v>
                </c:pt>
                <c:pt idx="24">
                  <c:v>-0.013842537895437</c:v>
                </c:pt>
                <c:pt idx="25">
                  <c:v>-0.166307183198284</c:v>
                </c:pt>
                <c:pt idx="26">
                  <c:v>-0.821791396811226</c:v>
                </c:pt>
                <c:pt idx="27">
                  <c:v>-0.169366282094703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Sheet1!$AK$90</c:f>
              <c:strCache>
                <c:ptCount val="1"/>
                <c:pt idx="0">
                  <c:v>modeled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xVal>
            <c:numRef>
              <c:f>Sheet1!$AI$91:$AI$118</c:f>
              <c:numCache>
                <c:formatCode>General</c:formatCode>
                <c:ptCount val="28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</c:numCache>
            </c:numRef>
          </c:xVal>
          <c:yVal>
            <c:numRef>
              <c:f>Sheet1!$AK$91:$AK$118</c:f>
              <c:numCache>
                <c:formatCode>0.000</c:formatCode>
                <c:ptCount val="28"/>
                <c:pt idx="0">
                  <c:v>-2.331842927479098</c:v>
                </c:pt>
                <c:pt idx="1">
                  <c:v>0.086364552869613</c:v>
                </c:pt>
                <c:pt idx="2">
                  <c:v>1.185549771209935</c:v>
                </c:pt>
                <c:pt idx="3">
                  <c:v>-0.792983621802649</c:v>
                </c:pt>
                <c:pt idx="4">
                  <c:v>-0.573146578134582</c:v>
                </c:pt>
                <c:pt idx="5">
                  <c:v>0.52603864020574</c:v>
                </c:pt>
                <c:pt idx="6">
                  <c:v>-0.573146578134582</c:v>
                </c:pt>
                <c:pt idx="7">
                  <c:v>2.284734989550256</c:v>
                </c:pt>
                <c:pt idx="8">
                  <c:v>0.086364552869613</c:v>
                </c:pt>
                <c:pt idx="9">
                  <c:v>0.965712727541867</c:v>
                </c:pt>
                <c:pt idx="10">
                  <c:v>0.306201596537673</c:v>
                </c:pt>
                <c:pt idx="11">
                  <c:v>-0.573146578134582</c:v>
                </c:pt>
                <c:pt idx="12">
                  <c:v>-0.792983621802649</c:v>
                </c:pt>
                <c:pt idx="13">
                  <c:v>0.086364552869613</c:v>
                </c:pt>
                <c:pt idx="14">
                  <c:v>0.086364552869613</c:v>
                </c:pt>
                <c:pt idx="15">
                  <c:v>-0.353309534466514</c:v>
                </c:pt>
                <c:pt idx="16">
                  <c:v>2.064897945882189</c:v>
                </c:pt>
                <c:pt idx="17">
                  <c:v>-0.353309534466514</c:v>
                </c:pt>
                <c:pt idx="18">
                  <c:v>-0.133472490798454</c:v>
                </c:pt>
                <c:pt idx="19">
                  <c:v>0.52603864020574</c:v>
                </c:pt>
                <c:pt idx="20">
                  <c:v>0.306201596537673</c:v>
                </c:pt>
                <c:pt idx="21">
                  <c:v>-0.353309534466514</c:v>
                </c:pt>
                <c:pt idx="22">
                  <c:v>-0.573146578134582</c:v>
                </c:pt>
                <c:pt idx="23">
                  <c:v>0.086364552869613</c:v>
                </c:pt>
                <c:pt idx="24">
                  <c:v>0.086364552869613</c:v>
                </c:pt>
                <c:pt idx="25">
                  <c:v>1.185549771209935</c:v>
                </c:pt>
                <c:pt idx="26">
                  <c:v>-2.11200588381103</c:v>
                </c:pt>
                <c:pt idx="27">
                  <c:v>-0.353309534466514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25896"/>
        <c:axId val="2092812760"/>
      </c:scatterChart>
      <c:valAx>
        <c:axId val="2032025896"/>
        <c:scaling>
          <c:orientation val="minMax"/>
          <c:max val="201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2812760"/>
        <c:crosses val="autoZero"/>
        <c:crossBetween val="midCat"/>
      </c:valAx>
      <c:valAx>
        <c:axId val="209281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2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812111993232251"/>
                  <c:y val="-0.441040405663578"/>
                </c:manualLayout>
              </c:layout>
              <c:numFmt formatCode="General" sourceLinked="0"/>
            </c:trendlineLbl>
          </c:trendline>
          <c:xVal>
            <c:numRef>
              <c:f>Sheet3!$A$2:$A$25</c:f>
              <c:numCache>
                <c:formatCode>General</c:formatCode>
                <c:ptCount val="24"/>
                <c:pt idx="0">
                  <c:v>-17.2</c:v>
                </c:pt>
                <c:pt idx="1">
                  <c:v>-4.5</c:v>
                </c:pt>
                <c:pt idx="2">
                  <c:v>-17.2</c:v>
                </c:pt>
                <c:pt idx="3">
                  <c:v>-17.2</c:v>
                </c:pt>
                <c:pt idx="4">
                  <c:v>-9.4</c:v>
                </c:pt>
                <c:pt idx="5">
                  <c:v>-14.3</c:v>
                </c:pt>
                <c:pt idx="6">
                  <c:v>-6.6</c:v>
                </c:pt>
                <c:pt idx="7">
                  <c:v>-9.0</c:v>
                </c:pt>
                <c:pt idx="8">
                  <c:v>-7.8</c:v>
                </c:pt>
                <c:pt idx="9">
                  <c:v>-5.1</c:v>
                </c:pt>
                <c:pt idx="10">
                  <c:v>-4.8</c:v>
                </c:pt>
                <c:pt idx="11">
                  <c:v>-5.9</c:v>
                </c:pt>
                <c:pt idx="12">
                  <c:v>-8.4</c:v>
                </c:pt>
                <c:pt idx="13">
                  <c:v>-6.0</c:v>
                </c:pt>
                <c:pt idx="14">
                  <c:v>-9.8</c:v>
                </c:pt>
                <c:pt idx="15">
                  <c:v>-4.4</c:v>
                </c:pt>
                <c:pt idx="16">
                  <c:v>-9.1</c:v>
                </c:pt>
                <c:pt idx="17">
                  <c:v>-7.8</c:v>
                </c:pt>
                <c:pt idx="18">
                  <c:v>-4.6</c:v>
                </c:pt>
                <c:pt idx="19">
                  <c:v>-3.8</c:v>
                </c:pt>
                <c:pt idx="20">
                  <c:v>-7.6</c:v>
                </c:pt>
                <c:pt idx="21">
                  <c:v>-4.09</c:v>
                </c:pt>
                <c:pt idx="22">
                  <c:v>-7.07</c:v>
                </c:pt>
                <c:pt idx="23">
                  <c:v>-7.8</c:v>
                </c:pt>
              </c:numCache>
            </c:numRef>
          </c:xVal>
          <c:yVal>
            <c:numRef>
              <c:f>Sheet3!$B$2:$B$25</c:f>
              <c:numCache>
                <c:formatCode>General</c:formatCode>
                <c:ptCount val="24"/>
                <c:pt idx="0">
                  <c:v>-26.9</c:v>
                </c:pt>
                <c:pt idx="1">
                  <c:v>-13.8</c:v>
                </c:pt>
                <c:pt idx="2">
                  <c:v>-27.5</c:v>
                </c:pt>
                <c:pt idx="3">
                  <c:v>-27.3</c:v>
                </c:pt>
                <c:pt idx="4">
                  <c:v>-20.7</c:v>
                </c:pt>
                <c:pt idx="5">
                  <c:v>-26.3</c:v>
                </c:pt>
                <c:pt idx="6">
                  <c:v>-18.2</c:v>
                </c:pt>
                <c:pt idx="7">
                  <c:v>-20.1</c:v>
                </c:pt>
                <c:pt idx="8">
                  <c:v>-18.4</c:v>
                </c:pt>
                <c:pt idx="9">
                  <c:v>-15.2</c:v>
                </c:pt>
                <c:pt idx="10">
                  <c:v>-14.6</c:v>
                </c:pt>
                <c:pt idx="11">
                  <c:v>-15.4</c:v>
                </c:pt>
                <c:pt idx="12">
                  <c:v>-17.9</c:v>
                </c:pt>
                <c:pt idx="13">
                  <c:v>-15.7</c:v>
                </c:pt>
                <c:pt idx="14">
                  <c:v>-19.7</c:v>
                </c:pt>
                <c:pt idx="15">
                  <c:v>-20.1</c:v>
                </c:pt>
                <c:pt idx="16">
                  <c:v>-18.8</c:v>
                </c:pt>
                <c:pt idx="17">
                  <c:v>-17.4</c:v>
                </c:pt>
                <c:pt idx="18">
                  <c:v>-14.2</c:v>
                </c:pt>
                <c:pt idx="19">
                  <c:v>-13.7</c:v>
                </c:pt>
                <c:pt idx="20">
                  <c:v>-17.7</c:v>
                </c:pt>
                <c:pt idx="21">
                  <c:v>-13.92</c:v>
                </c:pt>
                <c:pt idx="22">
                  <c:v>-17.21</c:v>
                </c:pt>
                <c:pt idx="23">
                  <c:v>-18.5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44632"/>
        <c:axId val="-2135341592"/>
      </c:scatterChart>
      <c:valAx>
        <c:axId val="-2135344632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crossAx val="-2135341592"/>
        <c:crosses val="autoZero"/>
        <c:crossBetween val="midCat"/>
      </c:valAx>
      <c:valAx>
        <c:axId val="-2135341592"/>
        <c:scaling>
          <c:orientation val="maxMin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3534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8207346917579"/>
                  <c:y val="-0.225558510638298"/>
                </c:manualLayout>
              </c:layout>
              <c:numFmt formatCode="General" sourceLinked="0"/>
            </c:trendlineLbl>
          </c:trendline>
          <c:xVal>
            <c:numRef>
              <c:f>Sheet4!$X$16:$X$51</c:f>
              <c:numCache>
                <c:formatCode>General</c:formatCode>
                <c:ptCount val="36"/>
                <c:pt idx="0">
                  <c:v>1995.0</c:v>
                </c:pt>
                <c:pt idx="1">
                  <c:v>1994.0</c:v>
                </c:pt>
                <c:pt idx="2">
                  <c:v>1993.0</c:v>
                </c:pt>
                <c:pt idx="3">
                  <c:v>1992.0</c:v>
                </c:pt>
                <c:pt idx="4">
                  <c:v>1991.0</c:v>
                </c:pt>
                <c:pt idx="5">
                  <c:v>1990.0</c:v>
                </c:pt>
                <c:pt idx="6">
                  <c:v>1989.0</c:v>
                </c:pt>
                <c:pt idx="7">
                  <c:v>1988.0</c:v>
                </c:pt>
                <c:pt idx="8">
                  <c:v>1987.0</c:v>
                </c:pt>
                <c:pt idx="9">
                  <c:v>1986.0</c:v>
                </c:pt>
                <c:pt idx="10">
                  <c:v>1985.0</c:v>
                </c:pt>
                <c:pt idx="11">
                  <c:v>1984.0</c:v>
                </c:pt>
                <c:pt idx="12">
                  <c:v>1983.0</c:v>
                </c:pt>
                <c:pt idx="13">
                  <c:v>1982.0</c:v>
                </c:pt>
                <c:pt idx="14">
                  <c:v>1981.0</c:v>
                </c:pt>
                <c:pt idx="15">
                  <c:v>1980.0</c:v>
                </c:pt>
                <c:pt idx="16">
                  <c:v>1979.0</c:v>
                </c:pt>
                <c:pt idx="17">
                  <c:v>1978.0</c:v>
                </c:pt>
                <c:pt idx="18">
                  <c:v>1977.0</c:v>
                </c:pt>
                <c:pt idx="19">
                  <c:v>1976.0</c:v>
                </c:pt>
                <c:pt idx="20">
                  <c:v>1975.0</c:v>
                </c:pt>
                <c:pt idx="21">
                  <c:v>1974.0</c:v>
                </c:pt>
                <c:pt idx="22">
                  <c:v>1973.0</c:v>
                </c:pt>
                <c:pt idx="23">
                  <c:v>1972.0</c:v>
                </c:pt>
                <c:pt idx="24">
                  <c:v>1971.0</c:v>
                </c:pt>
                <c:pt idx="25">
                  <c:v>1970.0</c:v>
                </c:pt>
                <c:pt idx="26">
                  <c:v>1969.0</c:v>
                </c:pt>
                <c:pt idx="27">
                  <c:v>1968.0</c:v>
                </c:pt>
                <c:pt idx="28">
                  <c:v>1967.0</c:v>
                </c:pt>
                <c:pt idx="29">
                  <c:v>1966.0</c:v>
                </c:pt>
                <c:pt idx="30">
                  <c:v>1965.0</c:v>
                </c:pt>
                <c:pt idx="31">
                  <c:v>1964.0</c:v>
                </c:pt>
                <c:pt idx="32">
                  <c:v>1963.0</c:v>
                </c:pt>
                <c:pt idx="33">
                  <c:v>1962.0</c:v>
                </c:pt>
                <c:pt idx="34">
                  <c:v>1961.0</c:v>
                </c:pt>
                <c:pt idx="35">
                  <c:v>1960.0</c:v>
                </c:pt>
              </c:numCache>
            </c:numRef>
          </c:xVal>
          <c:yVal>
            <c:numRef>
              <c:f>Sheet4!$Y$16:$Y$51</c:f>
              <c:numCache>
                <c:formatCode>General</c:formatCode>
                <c:ptCount val="36"/>
                <c:pt idx="0">
                  <c:v>0.24734605506512</c:v>
                </c:pt>
                <c:pt idx="1">
                  <c:v>0.107018947076846</c:v>
                </c:pt>
                <c:pt idx="2">
                  <c:v>0.0522264294838219</c:v>
                </c:pt>
                <c:pt idx="3">
                  <c:v>-0.680914152057983</c:v>
                </c:pt>
                <c:pt idx="4">
                  <c:v>0.390191379765985</c:v>
                </c:pt>
                <c:pt idx="5">
                  <c:v>0.949792653944522</c:v>
                </c:pt>
                <c:pt idx="6">
                  <c:v>-0.498217294783597</c:v>
                </c:pt>
                <c:pt idx="7">
                  <c:v>-0.720641068281589</c:v>
                </c:pt>
                <c:pt idx="8">
                  <c:v>-0.205027006273063</c:v>
                </c:pt>
                <c:pt idx="9">
                  <c:v>0.00366008492864508</c:v>
                </c:pt>
                <c:pt idx="10">
                  <c:v>-0.797725141665978</c:v>
                </c:pt>
                <c:pt idx="11">
                  <c:v>0.26131441948708</c:v>
                </c:pt>
                <c:pt idx="12">
                  <c:v>-0.133884116946192</c:v>
                </c:pt>
                <c:pt idx="13">
                  <c:v>0.382254898182872</c:v>
                </c:pt>
                <c:pt idx="14">
                  <c:v>0.336672309349535</c:v>
                </c:pt>
                <c:pt idx="15">
                  <c:v>-0.106898932347621</c:v>
                </c:pt>
                <c:pt idx="16">
                  <c:v>0.0729829002424595</c:v>
                </c:pt>
                <c:pt idx="17">
                  <c:v>0.551101248480799</c:v>
                </c:pt>
                <c:pt idx="18">
                  <c:v>-0.398287787303149</c:v>
                </c:pt>
                <c:pt idx="19">
                  <c:v>0.142815939902979</c:v>
                </c:pt>
                <c:pt idx="20">
                  <c:v>-0.0977094187946156</c:v>
                </c:pt>
                <c:pt idx="21">
                  <c:v>-0.468497326200123</c:v>
                </c:pt>
                <c:pt idx="22">
                  <c:v>-0.132057102397988</c:v>
                </c:pt>
                <c:pt idx="23">
                  <c:v>-0.192459294108382</c:v>
                </c:pt>
                <c:pt idx="24">
                  <c:v>0.2226070969919</c:v>
                </c:pt>
                <c:pt idx="25">
                  <c:v>-0.0706203130943888</c:v>
                </c:pt>
                <c:pt idx="26">
                  <c:v>-0.00507460917209868</c:v>
                </c:pt>
                <c:pt idx="27">
                  <c:v>0.293243987149858</c:v>
                </c:pt>
                <c:pt idx="28">
                  <c:v>-0.376377212654944</c:v>
                </c:pt>
                <c:pt idx="29">
                  <c:v>-0.392672957300977</c:v>
                </c:pt>
                <c:pt idx="30">
                  <c:v>-0.146200559766424</c:v>
                </c:pt>
                <c:pt idx="31">
                  <c:v>-0.0606215586398477</c:v>
                </c:pt>
                <c:pt idx="32">
                  <c:v>0.735691962450724</c:v>
                </c:pt>
                <c:pt idx="33">
                  <c:v>0.0385527279542394</c:v>
                </c:pt>
                <c:pt idx="34">
                  <c:v>1.05170642344333</c:v>
                </c:pt>
                <c:pt idx="35">
                  <c:v>-1.179741972456035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04840"/>
        <c:axId val="-2135301944"/>
      </c:scatterChart>
      <c:valAx>
        <c:axId val="-213530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01944"/>
        <c:crosses val="autoZero"/>
        <c:crossBetween val="midCat"/>
      </c:valAx>
      <c:valAx>
        <c:axId val="-213530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0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'MVP correlation and plots'!$B$4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'MVP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'MVP correlation and plots'!$B$5:$B$54</c:f>
              <c:numCache>
                <c:formatCode>General</c:formatCode>
                <c:ptCount val="50"/>
                <c:pt idx="0">
                  <c:v>-0.290357581425254</c:v>
                </c:pt>
                <c:pt idx="1">
                  <c:v>0.239226391218053</c:v>
                </c:pt>
                <c:pt idx="2">
                  <c:v>0.644525254642978</c:v>
                </c:pt>
                <c:pt idx="3">
                  <c:v>-1.116025004578026</c:v>
                </c:pt>
                <c:pt idx="4">
                  <c:v>-0.288800991974175</c:v>
                </c:pt>
                <c:pt idx="5">
                  <c:v>0.195304801722278</c:v>
                </c:pt>
                <c:pt idx="6">
                  <c:v>-0.710341741153059</c:v>
                </c:pt>
                <c:pt idx="7">
                  <c:v>0.504585523518288</c:v>
                </c:pt>
                <c:pt idx="8">
                  <c:v>-0.0374644219748053</c:v>
                </c:pt>
                <c:pt idx="9">
                  <c:v>0.774352237006285</c:v>
                </c:pt>
                <c:pt idx="10">
                  <c:v>-0.0525622581600255</c:v>
                </c:pt>
                <c:pt idx="11">
                  <c:v>-0.273647195365403</c:v>
                </c:pt>
                <c:pt idx="12">
                  <c:v>-0.457270555508932</c:v>
                </c:pt>
                <c:pt idx="13">
                  <c:v>-0.141932344522551</c:v>
                </c:pt>
                <c:pt idx="14">
                  <c:v>-0.0675953286003726</c:v>
                </c:pt>
                <c:pt idx="15">
                  <c:v>0.56564976863267</c:v>
                </c:pt>
                <c:pt idx="16">
                  <c:v>0.727194315662255</c:v>
                </c:pt>
                <c:pt idx="17">
                  <c:v>0.494321492860573</c:v>
                </c:pt>
                <c:pt idx="18">
                  <c:v>0.655280414565495</c:v>
                </c:pt>
                <c:pt idx="19">
                  <c:v>0.157404460731182</c:v>
                </c:pt>
                <c:pt idx="20">
                  <c:v>0.396067090973482</c:v>
                </c:pt>
                <c:pt idx="21">
                  <c:v>-0.0165506311069828</c:v>
                </c:pt>
                <c:pt idx="22">
                  <c:v>-0.149919636117161</c:v>
                </c:pt>
                <c:pt idx="23">
                  <c:v>-0.15409241471607</c:v>
                </c:pt>
                <c:pt idx="24">
                  <c:v>-0.013842537895437</c:v>
                </c:pt>
                <c:pt idx="25">
                  <c:v>-0.166307183198284</c:v>
                </c:pt>
                <c:pt idx="26">
                  <c:v>-0.821791396811226</c:v>
                </c:pt>
                <c:pt idx="27">
                  <c:v>-0.169366282094703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'MVP correlation and plots'!$G$4</c:f>
              <c:strCache>
                <c:ptCount val="1"/>
                <c:pt idx="0">
                  <c:v>Huapai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xVal>
            <c:numRef>
              <c:f>'MVP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'MVP correlation and plots'!$G$5:$G$54</c:f>
              <c:numCache>
                <c:formatCode>General</c:formatCode>
                <c:ptCount val="50"/>
                <c:pt idx="14">
                  <c:v>0.24734605506512</c:v>
                </c:pt>
                <c:pt idx="15">
                  <c:v>0.107018947076846</c:v>
                </c:pt>
                <c:pt idx="16">
                  <c:v>0.0522264294838219</c:v>
                </c:pt>
                <c:pt idx="17">
                  <c:v>-0.680914152057983</c:v>
                </c:pt>
                <c:pt idx="18">
                  <c:v>0.390191379765985</c:v>
                </c:pt>
                <c:pt idx="19">
                  <c:v>0.949792653944522</c:v>
                </c:pt>
                <c:pt idx="20">
                  <c:v>-0.498217294783597</c:v>
                </c:pt>
                <c:pt idx="21">
                  <c:v>-0.720641068281589</c:v>
                </c:pt>
                <c:pt idx="22">
                  <c:v>-0.205027006273063</c:v>
                </c:pt>
                <c:pt idx="23">
                  <c:v>0.00366008492864508</c:v>
                </c:pt>
                <c:pt idx="24">
                  <c:v>-0.797725141665978</c:v>
                </c:pt>
                <c:pt idx="25">
                  <c:v>0.26131441948708</c:v>
                </c:pt>
                <c:pt idx="26">
                  <c:v>-0.133884116946192</c:v>
                </c:pt>
                <c:pt idx="27">
                  <c:v>0.382254898182872</c:v>
                </c:pt>
                <c:pt idx="28">
                  <c:v>0.336672309349535</c:v>
                </c:pt>
                <c:pt idx="29">
                  <c:v>-0.106898932347621</c:v>
                </c:pt>
                <c:pt idx="30">
                  <c:v>0.0729829002424595</c:v>
                </c:pt>
                <c:pt idx="31">
                  <c:v>0.551101248480799</c:v>
                </c:pt>
                <c:pt idx="32">
                  <c:v>-0.398287787303149</c:v>
                </c:pt>
                <c:pt idx="33">
                  <c:v>0.142815939902979</c:v>
                </c:pt>
                <c:pt idx="34">
                  <c:v>-0.0977094187946156</c:v>
                </c:pt>
                <c:pt idx="35">
                  <c:v>-0.468497326200123</c:v>
                </c:pt>
                <c:pt idx="36">
                  <c:v>-0.132057102397988</c:v>
                </c:pt>
                <c:pt idx="37">
                  <c:v>-0.192459294108382</c:v>
                </c:pt>
                <c:pt idx="38">
                  <c:v>0.2226070969919</c:v>
                </c:pt>
                <c:pt idx="39">
                  <c:v>-0.0706203130943888</c:v>
                </c:pt>
                <c:pt idx="40">
                  <c:v>-0.00507460917209868</c:v>
                </c:pt>
                <c:pt idx="41">
                  <c:v>0.293243987149858</c:v>
                </c:pt>
                <c:pt idx="42">
                  <c:v>-0.376377212654944</c:v>
                </c:pt>
                <c:pt idx="43">
                  <c:v>-0.392672957300977</c:v>
                </c:pt>
                <c:pt idx="44">
                  <c:v>-0.146200559766424</c:v>
                </c:pt>
                <c:pt idx="45">
                  <c:v>-0.0606215586398477</c:v>
                </c:pt>
                <c:pt idx="46">
                  <c:v>0.735691962450724</c:v>
                </c:pt>
                <c:pt idx="47">
                  <c:v>0.0385527279542394</c:v>
                </c:pt>
                <c:pt idx="48">
                  <c:v>1.05170642344333</c:v>
                </c:pt>
                <c:pt idx="49">
                  <c:v>-1.179741972456035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52808"/>
        <c:axId val="-2135249816"/>
      </c:scatterChart>
      <c:scatterChart>
        <c:scatterStyle val="lineMarker"/>
        <c:varyColors val="0"/>
        <c:ser>
          <c:idx val="2"/>
          <c:order val="2"/>
          <c:tx>
            <c:v>MVP</c:v>
          </c:tx>
          <c:xVal>
            <c:numRef>
              <c:f>'MVP correlation and plots'!$F$5:$F$52</c:f>
              <c:numCache>
                <c:formatCode>General</c:formatCode>
                <c:ptCount val="48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</c:numCache>
            </c:numRef>
          </c:xVal>
          <c:yVal>
            <c:numRef>
              <c:f>'MVP correlation and plots'!$K$5:$K$52</c:f>
              <c:numCache>
                <c:formatCode>General</c:formatCode>
                <c:ptCount val="48"/>
                <c:pt idx="0">
                  <c:v>13.63333333333333</c:v>
                </c:pt>
                <c:pt idx="1">
                  <c:v>13.0</c:v>
                </c:pt>
                <c:pt idx="2">
                  <c:v>12.9</c:v>
                </c:pt>
                <c:pt idx="3">
                  <c:v>13.43333333333333</c:v>
                </c:pt>
                <c:pt idx="4">
                  <c:v>13.36666666666667</c:v>
                </c:pt>
                <c:pt idx="5">
                  <c:v>12.86666666666667</c:v>
                </c:pt>
                <c:pt idx="6">
                  <c:v>13.23333333333333</c:v>
                </c:pt>
                <c:pt idx="7">
                  <c:v>12.13333333333333</c:v>
                </c:pt>
                <c:pt idx="8">
                  <c:v>13.86666666666667</c:v>
                </c:pt>
                <c:pt idx="9">
                  <c:v>12.86666666666667</c:v>
                </c:pt>
                <c:pt idx="10">
                  <c:v>13.8</c:v>
                </c:pt>
                <c:pt idx="11">
                  <c:v>13.86666666666667</c:v>
                </c:pt>
                <c:pt idx="12">
                  <c:v>12.96666666666667</c:v>
                </c:pt>
                <c:pt idx="13">
                  <c:v>13.1</c:v>
                </c:pt>
                <c:pt idx="14">
                  <c:v>13.2</c:v>
                </c:pt>
                <c:pt idx="15">
                  <c:v>12.5</c:v>
                </c:pt>
                <c:pt idx="16">
                  <c:v>11.9</c:v>
                </c:pt>
                <c:pt idx="17">
                  <c:v>12.43333333333333</c:v>
                </c:pt>
                <c:pt idx="18">
                  <c:v>12.26666666666667</c:v>
                </c:pt>
                <c:pt idx="19">
                  <c:v>13.0</c:v>
                </c:pt>
                <c:pt idx="20">
                  <c:v>13.36666666666667</c:v>
                </c:pt>
                <c:pt idx="21">
                  <c:v>13.93333333333334</c:v>
                </c:pt>
                <c:pt idx="22">
                  <c:v>13.43333333333333</c:v>
                </c:pt>
                <c:pt idx="23">
                  <c:v>13.1</c:v>
                </c:pt>
                <c:pt idx="24">
                  <c:v>13.36666666666667</c:v>
                </c:pt>
                <c:pt idx="25">
                  <c:v>13.46666666666667</c:v>
                </c:pt>
                <c:pt idx="26">
                  <c:v>13.7</c:v>
                </c:pt>
                <c:pt idx="27">
                  <c:v>12.76666666666667</c:v>
                </c:pt>
                <c:pt idx="28">
                  <c:v>12.9</c:v>
                </c:pt>
                <c:pt idx="29">
                  <c:v>13.23333333333333</c:v>
                </c:pt>
                <c:pt idx="30">
                  <c:v>13.53333333333333</c:v>
                </c:pt>
                <c:pt idx="31">
                  <c:v>12.5</c:v>
                </c:pt>
                <c:pt idx="32">
                  <c:v>11.76666666666667</c:v>
                </c:pt>
                <c:pt idx="33">
                  <c:v>12.63333333333333</c:v>
                </c:pt>
                <c:pt idx="34">
                  <c:v>13.53333333333333</c:v>
                </c:pt>
                <c:pt idx="35">
                  <c:v>13.7</c:v>
                </c:pt>
                <c:pt idx="36">
                  <c:v>14.7</c:v>
                </c:pt>
                <c:pt idx="37">
                  <c:v>13.9</c:v>
                </c:pt>
                <c:pt idx="38">
                  <c:v>13.46666666666667</c:v>
                </c:pt>
                <c:pt idx="39">
                  <c:v>14.06666666666667</c:v>
                </c:pt>
                <c:pt idx="40">
                  <c:v>13.5</c:v>
                </c:pt>
                <c:pt idx="41">
                  <c:v>12.63333333333333</c:v>
                </c:pt>
                <c:pt idx="42">
                  <c:v>13.93333333333333</c:v>
                </c:pt>
                <c:pt idx="43">
                  <c:v>12.76666666666667</c:v>
                </c:pt>
                <c:pt idx="44">
                  <c:v>13.75</c:v>
                </c:pt>
                <c:pt idx="45">
                  <c:v>12.93333333333333</c:v>
                </c:pt>
                <c:pt idx="46">
                  <c:v>12.93333333333333</c:v>
                </c:pt>
                <c:pt idx="47">
                  <c:v>14.6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43544"/>
        <c:axId val="-2135246488"/>
      </c:scatterChart>
      <c:valAx>
        <c:axId val="-213525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49816"/>
        <c:crosses val="autoZero"/>
        <c:crossBetween val="midCat"/>
      </c:valAx>
      <c:valAx>
        <c:axId val="-213524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52808"/>
        <c:crosses val="autoZero"/>
        <c:crossBetween val="midCat"/>
      </c:valAx>
      <c:valAx>
        <c:axId val="-2135246488"/>
        <c:scaling>
          <c:orientation val="maxMin"/>
          <c:min val="1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243544"/>
        <c:crosses val="max"/>
        <c:crossBetween val="midCat"/>
      </c:valAx>
      <c:valAx>
        <c:axId val="-2135243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35246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'MVP correlation and plots'!$C$4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'MVP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'MVP correlation and plots'!$C$5:$C$54</c:f>
              <c:numCache>
                <c:formatCode>General</c:formatCode>
                <c:ptCount val="50"/>
                <c:pt idx="1">
                  <c:v>0.197798021478592</c:v>
                </c:pt>
                <c:pt idx="2">
                  <c:v>-0.0774244529056648</c:v>
                </c:pt>
                <c:pt idx="3">
                  <c:v>-0.253433580636408</c:v>
                </c:pt>
                <c:pt idx="4">
                  <c:v>-0.403173731609974</c:v>
                </c:pt>
                <c:pt idx="5">
                  <c:v>-0.267945977134985</c:v>
                </c:pt>
                <c:pt idx="6">
                  <c:v>-0.00348380530416451</c:v>
                </c:pt>
                <c:pt idx="7">
                  <c:v>-0.0810735465365255</c:v>
                </c:pt>
                <c:pt idx="8">
                  <c:v>0.413824446183256</c:v>
                </c:pt>
                <c:pt idx="9">
                  <c:v>0.228108518957152</c:v>
                </c:pt>
                <c:pt idx="10">
                  <c:v>0.149380927826952</c:v>
                </c:pt>
                <c:pt idx="11">
                  <c:v>-0.261160003011453</c:v>
                </c:pt>
                <c:pt idx="12">
                  <c:v>-0.290950031798962</c:v>
                </c:pt>
                <c:pt idx="13">
                  <c:v>-0.222266076210618</c:v>
                </c:pt>
                <c:pt idx="14">
                  <c:v>0.118707365169916</c:v>
                </c:pt>
                <c:pt idx="15">
                  <c:v>0.408416251898184</c:v>
                </c:pt>
                <c:pt idx="16">
                  <c:v>0.595721859051833</c:v>
                </c:pt>
                <c:pt idx="17">
                  <c:v>0.625598741029441</c:v>
                </c:pt>
                <c:pt idx="18">
                  <c:v>0.43566878938575</c:v>
                </c:pt>
                <c:pt idx="19">
                  <c:v>0.402917322090053</c:v>
                </c:pt>
                <c:pt idx="20">
                  <c:v>0.178973640199227</c:v>
                </c:pt>
                <c:pt idx="21">
                  <c:v>0.0765322745831129</c:v>
                </c:pt>
                <c:pt idx="22">
                  <c:v>-0.106854227313405</c:v>
                </c:pt>
                <c:pt idx="23">
                  <c:v>-0.105951529576223</c:v>
                </c:pt>
                <c:pt idx="24">
                  <c:v>-0.111414045269931</c:v>
                </c:pt>
                <c:pt idx="25">
                  <c:v>-0.333980372634982</c:v>
                </c:pt>
                <c:pt idx="26">
                  <c:v>-0.385821620701405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'MVP correlation and plots'!$H$4</c:f>
              <c:strCache>
                <c:ptCount val="1"/>
                <c:pt idx="0">
                  <c:v>Huapai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xVal>
            <c:numRef>
              <c:f>'MVP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'MVP correlation and plots'!$H$5:$H$54</c:f>
              <c:numCache>
                <c:formatCode>General</c:formatCode>
                <c:ptCount val="50"/>
                <c:pt idx="15">
                  <c:v>0.135530477208596</c:v>
                </c:pt>
                <c:pt idx="16">
                  <c:v>-0.173889591832438</c:v>
                </c:pt>
                <c:pt idx="17">
                  <c:v>-0.0794987809360588</c:v>
                </c:pt>
                <c:pt idx="18">
                  <c:v>0.219689960550841</c:v>
                </c:pt>
                <c:pt idx="19">
                  <c:v>0.280588912975637</c:v>
                </c:pt>
                <c:pt idx="20">
                  <c:v>-0.0896885697068879</c:v>
                </c:pt>
                <c:pt idx="21">
                  <c:v>-0.474628456446083</c:v>
                </c:pt>
                <c:pt idx="22">
                  <c:v>-0.307335996542002</c:v>
                </c:pt>
                <c:pt idx="23">
                  <c:v>-0.333030687670132</c:v>
                </c:pt>
                <c:pt idx="24">
                  <c:v>-0.177583545750084</c:v>
                </c:pt>
                <c:pt idx="25">
                  <c:v>-0.223431613041697</c:v>
                </c:pt>
                <c:pt idx="26">
                  <c:v>0.16989506690792</c:v>
                </c:pt>
                <c:pt idx="27">
                  <c:v>0.195014363528738</c:v>
                </c:pt>
                <c:pt idx="28">
                  <c:v>0.204009425061595</c:v>
                </c:pt>
                <c:pt idx="29">
                  <c:v>0.100918759081458</c:v>
                </c:pt>
                <c:pt idx="30">
                  <c:v>0.172395072125213</c:v>
                </c:pt>
                <c:pt idx="31">
                  <c:v>0.0752654538067032</c:v>
                </c:pt>
                <c:pt idx="32">
                  <c:v>0.0985431336935432</c:v>
                </c:pt>
                <c:pt idx="33">
                  <c:v>-0.117727088731595</c:v>
                </c:pt>
                <c:pt idx="34">
                  <c:v>-0.14113026836392</c:v>
                </c:pt>
                <c:pt idx="35">
                  <c:v>-0.232754615797576</c:v>
                </c:pt>
                <c:pt idx="36">
                  <c:v>-0.264337907568831</c:v>
                </c:pt>
                <c:pt idx="37">
                  <c:v>-0.0339697665048233</c:v>
                </c:pt>
                <c:pt idx="38">
                  <c:v>-0.0134908367369569</c:v>
                </c:pt>
                <c:pt idx="39">
                  <c:v>0.0489707249084708</c:v>
                </c:pt>
                <c:pt idx="40">
                  <c:v>0.0725163549611234</c:v>
                </c:pt>
                <c:pt idx="41">
                  <c:v>-0.0294026115590617</c:v>
                </c:pt>
                <c:pt idx="42">
                  <c:v>-0.158602060935355</c:v>
                </c:pt>
                <c:pt idx="43">
                  <c:v>-0.305083576574115</c:v>
                </c:pt>
                <c:pt idx="44">
                  <c:v>-0.199831691902416</c:v>
                </c:pt>
                <c:pt idx="45">
                  <c:v>0.176289948014817</c:v>
                </c:pt>
                <c:pt idx="46">
                  <c:v>0.237874377255039</c:v>
                </c:pt>
                <c:pt idx="47">
                  <c:v>0.608650371282764</c:v>
                </c:pt>
                <c:pt idx="48">
                  <c:v>-0.0298276070194883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05000"/>
        <c:axId val="-2135202008"/>
      </c:scatterChart>
      <c:scatterChart>
        <c:scatterStyle val="lineMarker"/>
        <c:varyColors val="0"/>
        <c:ser>
          <c:idx val="2"/>
          <c:order val="2"/>
          <c:tx>
            <c:v>mvp3y</c:v>
          </c:tx>
          <c:xVal>
            <c:numRef>
              <c:f>'MVP correlation and plots'!$A$5:$A$51</c:f>
              <c:numCache>
                <c:formatCode>General</c:formatCode>
                <c:ptCount val="47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</c:numCache>
            </c:numRef>
          </c:xVal>
          <c:yVal>
            <c:numRef>
              <c:f>'MVP correlation and plots'!$L$5:$L$51</c:f>
              <c:numCache>
                <c:formatCode>General</c:formatCode>
                <c:ptCount val="47"/>
                <c:pt idx="0">
                  <c:v>13.37777777777778</c:v>
                </c:pt>
                <c:pt idx="1">
                  <c:v>13.17777777777778</c:v>
                </c:pt>
                <c:pt idx="2">
                  <c:v>13.11111111111111</c:v>
                </c:pt>
                <c:pt idx="3">
                  <c:v>13.23333333333333</c:v>
                </c:pt>
                <c:pt idx="4">
                  <c:v>13.22222222222222</c:v>
                </c:pt>
                <c:pt idx="5">
                  <c:v>13.15555555555556</c:v>
                </c:pt>
                <c:pt idx="6">
                  <c:v>12.74444444444445</c:v>
                </c:pt>
                <c:pt idx="7">
                  <c:v>13.07777777777778</c:v>
                </c:pt>
                <c:pt idx="8">
                  <c:v>12.95555555555556</c:v>
                </c:pt>
                <c:pt idx="9">
                  <c:v>13.51111111111111</c:v>
                </c:pt>
                <c:pt idx="10">
                  <c:v>13.51111111111111</c:v>
                </c:pt>
                <c:pt idx="11">
                  <c:v>13.54444444444444</c:v>
                </c:pt>
                <c:pt idx="12">
                  <c:v>13.31111111111111</c:v>
                </c:pt>
                <c:pt idx="13">
                  <c:v>13.08888888888889</c:v>
                </c:pt>
                <c:pt idx="14">
                  <c:v>12.93333333333333</c:v>
                </c:pt>
                <c:pt idx="15">
                  <c:v>12.53333333333333</c:v>
                </c:pt>
                <c:pt idx="16">
                  <c:v>12.27777777777778</c:v>
                </c:pt>
                <c:pt idx="17">
                  <c:v>12.2</c:v>
                </c:pt>
                <c:pt idx="18">
                  <c:v>12.56666666666666</c:v>
                </c:pt>
                <c:pt idx="19">
                  <c:v>12.87777777777778</c:v>
                </c:pt>
                <c:pt idx="20">
                  <c:v>13.43333333333334</c:v>
                </c:pt>
                <c:pt idx="21">
                  <c:v>13.57777777777778</c:v>
                </c:pt>
                <c:pt idx="22">
                  <c:v>13.48888888888889</c:v>
                </c:pt>
                <c:pt idx="23">
                  <c:v>13.3</c:v>
                </c:pt>
                <c:pt idx="24">
                  <c:v>13.31111111111111</c:v>
                </c:pt>
                <c:pt idx="25">
                  <c:v>13.51111111111111</c:v>
                </c:pt>
                <c:pt idx="26">
                  <c:v>13.31111111111111</c:v>
                </c:pt>
                <c:pt idx="27">
                  <c:v>13.12222222222222</c:v>
                </c:pt>
                <c:pt idx="28">
                  <c:v>12.96666666666667</c:v>
                </c:pt>
                <c:pt idx="29">
                  <c:v>13.22222222222222</c:v>
                </c:pt>
                <c:pt idx="30">
                  <c:v>13.08888888888889</c:v>
                </c:pt>
                <c:pt idx="31">
                  <c:v>12.6</c:v>
                </c:pt>
                <c:pt idx="32">
                  <c:v>12.3</c:v>
                </c:pt>
                <c:pt idx="33">
                  <c:v>12.64444444444444</c:v>
                </c:pt>
                <c:pt idx="34">
                  <c:v>13.28888888888889</c:v>
                </c:pt>
                <c:pt idx="35">
                  <c:v>13.97777777777777</c:v>
                </c:pt>
                <c:pt idx="36">
                  <c:v>14.1</c:v>
                </c:pt>
                <c:pt idx="37">
                  <c:v>14.02222222222222</c:v>
                </c:pt>
                <c:pt idx="38">
                  <c:v>13.81111111111111</c:v>
                </c:pt>
                <c:pt idx="39">
                  <c:v>13.67777777777778</c:v>
                </c:pt>
                <c:pt idx="40">
                  <c:v>13.4</c:v>
                </c:pt>
                <c:pt idx="41">
                  <c:v>13.35555555555555</c:v>
                </c:pt>
                <c:pt idx="42">
                  <c:v>13.11111111111111</c:v>
                </c:pt>
                <c:pt idx="43">
                  <c:v>13.48333333333333</c:v>
                </c:pt>
                <c:pt idx="44">
                  <c:v>13.15</c:v>
                </c:pt>
                <c:pt idx="45">
                  <c:v>13.20555555555555</c:v>
                </c:pt>
                <c:pt idx="46">
                  <c:v>13.48888888888889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95736"/>
        <c:axId val="-2135198680"/>
      </c:scatterChart>
      <c:valAx>
        <c:axId val="-21352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02008"/>
        <c:crosses val="autoZero"/>
        <c:crossBetween val="midCat"/>
      </c:valAx>
      <c:valAx>
        <c:axId val="-213520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05000"/>
        <c:crosses val="autoZero"/>
        <c:crossBetween val="midCat"/>
      </c:valAx>
      <c:valAx>
        <c:axId val="-213519868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-2135195736"/>
        <c:crosses val="max"/>
        <c:crossBetween val="midCat"/>
      </c:valAx>
      <c:valAx>
        <c:axId val="-2135195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35198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'MVP correlation and plots'!$D$4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'MVP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'MVP correlation and plots'!$D$5:$D$54</c:f>
              <c:numCache>
                <c:formatCode>General</c:formatCode>
                <c:ptCount val="50"/>
                <c:pt idx="2">
                  <c:v>-0.162286386423285</c:v>
                </c:pt>
                <c:pt idx="3">
                  <c:v>-0.0651539097937784</c:v>
                </c:pt>
                <c:pt idx="4">
                  <c:v>-0.255067536268001</c:v>
                </c:pt>
                <c:pt idx="5">
                  <c:v>-0.283055482492939</c:v>
                </c:pt>
                <c:pt idx="6">
                  <c:v>-0.0673433659722947</c:v>
                </c:pt>
                <c:pt idx="7">
                  <c:v>0.145287279823797</c:v>
                </c:pt>
                <c:pt idx="8">
                  <c:v>0.0957138678473367</c:v>
                </c:pt>
                <c:pt idx="9">
                  <c:v>0.183052777004868</c:v>
                </c:pt>
                <c:pt idx="10">
                  <c:v>-0.00931843880057593</c:v>
                </c:pt>
                <c:pt idx="11">
                  <c:v>-0.030212023310125</c:v>
                </c:pt>
                <c:pt idx="12">
                  <c:v>-0.198601536431457</c:v>
                </c:pt>
                <c:pt idx="13">
                  <c:v>-0.0749591310729175</c:v>
                </c:pt>
                <c:pt idx="14">
                  <c:v>0.125209171132614</c:v>
                </c:pt>
                <c:pt idx="15">
                  <c:v>0.315527580806515</c:v>
                </c:pt>
                <c:pt idx="16">
                  <c:v>0.474970132624124</c:v>
                </c:pt>
                <c:pt idx="17">
                  <c:v>0.519970090490435</c:v>
                </c:pt>
                <c:pt idx="18">
                  <c:v>0.486053554958598</c:v>
                </c:pt>
                <c:pt idx="19">
                  <c:v>0.33730456560475</c:v>
                </c:pt>
                <c:pt idx="20">
                  <c:v>0.208456339809203</c:v>
                </c:pt>
                <c:pt idx="21">
                  <c:v>0.0465817739528901</c:v>
                </c:pt>
                <c:pt idx="22">
                  <c:v>0.0123323742275663</c:v>
                </c:pt>
                <c:pt idx="23">
                  <c:v>-0.100142480606787</c:v>
                </c:pt>
                <c:pt idx="24">
                  <c:v>-0.261190633747636</c:v>
                </c:pt>
                <c:pt idx="25">
                  <c:v>-0.265079962943144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'MVP correlation and plots'!$I$4</c:f>
              <c:strCache>
                <c:ptCount val="1"/>
                <c:pt idx="0">
                  <c:v>Huapai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xVal>
            <c:numRef>
              <c:f>'MVP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'MVP correlation and plots'!$I$5:$I$54</c:f>
              <c:numCache>
                <c:formatCode>General</c:formatCode>
                <c:ptCount val="50"/>
                <c:pt idx="16">
                  <c:v>0.0231737318667579</c:v>
                </c:pt>
                <c:pt idx="17">
                  <c:v>0.163663051642638</c:v>
                </c:pt>
                <c:pt idx="18">
                  <c:v>0.0426158032705497</c:v>
                </c:pt>
                <c:pt idx="19">
                  <c:v>-0.111957696282532</c:v>
                </c:pt>
                <c:pt idx="20">
                  <c:v>-0.0167802671255483</c:v>
                </c:pt>
                <c:pt idx="21">
                  <c:v>-0.0940865260930163</c:v>
                </c:pt>
                <c:pt idx="22">
                  <c:v>-0.443590085215116</c:v>
                </c:pt>
                <c:pt idx="23">
                  <c:v>-0.291683742360981</c:v>
                </c:pt>
                <c:pt idx="24">
                  <c:v>-0.174332352093902</c:v>
                </c:pt>
                <c:pt idx="25">
                  <c:v>-0.0568759712027146</c:v>
                </c:pt>
                <c:pt idx="26">
                  <c:v>0.00972647368146343</c:v>
                </c:pt>
                <c:pt idx="27">
                  <c:v>0.147891715545135</c:v>
                </c:pt>
                <c:pt idx="28">
                  <c:v>0.110225411696211</c:v>
                </c:pt>
                <c:pt idx="29">
                  <c:v>0.247222484781609</c:v>
                </c:pt>
                <c:pt idx="30">
                  <c:v>0.0911139476844048</c:v>
                </c:pt>
                <c:pt idx="31">
                  <c:v>0.0523426737950937</c:v>
                </c:pt>
                <c:pt idx="32">
                  <c:v>0.0541805765056947</c:v>
                </c:pt>
                <c:pt idx="33">
                  <c:v>-0.0541154687828218</c:v>
                </c:pt>
                <c:pt idx="34">
                  <c:v>-0.190747138958579</c:v>
                </c:pt>
                <c:pt idx="35">
                  <c:v>-0.149581440319626</c:v>
                </c:pt>
                <c:pt idx="36">
                  <c:v>-0.133623208901842</c:v>
                </c:pt>
                <c:pt idx="37">
                  <c:v>-0.128205387761796</c:v>
                </c:pt>
                <c:pt idx="38">
                  <c:v>-0.0355208443561915</c:v>
                </c:pt>
                <c:pt idx="39">
                  <c:v>0.0495393735533777</c:v>
                </c:pt>
                <c:pt idx="40">
                  <c:v>0.0127557898440652</c:v>
                </c:pt>
                <c:pt idx="41">
                  <c:v>-0.11030022101451</c:v>
                </c:pt>
                <c:pt idx="42">
                  <c:v>-0.125416270348917</c:v>
                </c:pt>
                <c:pt idx="43">
                  <c:v>-0.136525660242467</c:v>
                </c:pt>
                <c:pt idx="44">
                  <c:v>-0.0480360651822939</c:v>
                </c:pt>
                <c:pt idx="45">
                  <c:v>0.0349499229395428</c:v>
                </c:pt>
                <c:pt idx="46">
                  <c:v>0.323825799088404</c:v>
                </c:pt>
                <c:pt idx="47">
                  <c:v>0.117117516550482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58872"/>
        <c:axId val="-2135155880"/>
      </c:scatterChart>
      <c:scatterChart>
        <c:scatterStyle val="lineMarker"/>
        <c:varyColors val="0"/>
        <c:ser>
          <c:idx val="2"/>
          <c:order val="2"/>
          <c:tx>
            <c:v>MVP5</c:v>
          </c:tx>
          <c:xVal>
            <c:numRef>
              <c:f>'MVP correlation and plots'!$A$5:$A$50</c:f>
              <c:numCache>
                <c:formatCode>General</c:formatCode>
                <c:ptCount val="46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</c:numCache>
            </c:numRef>
          </c:xVal>
          <c:yVal>
            <c:numRef>
              <c:f>'MVP correlation and plots'!$M$5:$M$50</c:f>
              <c:numCache>
                <c:formatCode>General</c:formatCode>
                <c:ptCount val="46"/>
                <c:pt idx="0">
                  <c:v>13.28666666666667</c:v>
                </c:pt>
                <c:pt idx="1">
                  <c:v>13.29333333333333</c:v>
                </c:pt>
                <c:pt idx="2">
                  <c:v>13.26666666666667</c:v>
                </c:pt>
                <c:pt idx="3">
                  <c:v>13.11333333333333</c:v>
                </c:pt>
                <c:pt idx="4">
                  <c:v>13.16</c:v>
                </c:pt>
                <c:pt idx="5">
                  <c:v>13.00666666666667</c:v>
                </c:pt>
                <c:pt idx="6">
                  <c:v>13.09333333333333</c:v>
                </c:pt>
                <c:pt idx="7">
                  <c:v>12.99333333333333</c:v>
                </c:pt>
                <c:pt idx="8">
                  <c:v>13.18</c:v>
                </c:pt>
                <c:pt idx="9">
                  <c:v>13.30666666666667</c:v>
                </c:pt>
                <c:pt idx="10">
                  <c:v>13.47333333333333</c:v>
                </c:pt>
                <c:pt idx="11">
                  <c:v>13.32</c:v>
                </c:pt>
                <c:pt idx="12">
                  <c:v>13.38666666666667</c:v>
                </c:pt>
                <c:pt idx="13">
                  <c:v>13.12666666666667</c:v>
                </c:pt>
                <c:pt idx="14">
                  <c:v>12.73333333333333</c:v>
                </c:pt>
                <c:pt idx="15">
                  <c:v>12.62666666666667</c:v>
                </c:pt>
                <c:pt idx="16">
                  <c:v>12.46</c:v>
                </c:pt>
                <c:pt idx="17">
                  <c:v>12.42</c:v>
                </c:pt>
                <c:pt idx="18">
                  <c:v>12.59333333333333</c:v>
                </c:pt>
                <c:pt idx="19">
                  <c:v>13.0</c:v>
                </c:pt>
                <c:pt idx="20">
                  <c:v>13.2</c:v>
                </c:pt>
                <c:pt idx="21">
                  <c:v>13.36666666666667</c:v>
                </c:pt>
                <c:pt idx="22">
                  <c:v>13.44</c:v>
                </c:pt>
                <c:pt idx="23">
                  <c:v>13.46</c:v>
                </c:pt>
                <c:pt idx="24">
                  <c:v>13.41333333333333</c:v>
                </c:pt>
                <c:pt idx="25">
                  <c:v>13.28</c:v>
                </c:pt>
                <c:pt idx="26">
                  <c:v>13.24</c:v>
                </c:pt>
                <c:pt idx="27">
                  <c:v>13.21333333333333</c:v>
                </c:pt>
                <c:pt idx="28">
                  <c:v>13.22666666666666</c:v>
                </c:pt>
                <c:pt idx="29">
                  <c:v>12.98666666666667</c:v>
                </c:pt>
                <c:pt idx="30">
                  <c:v>12.78666666666667</c:v>
                </c:pt>
                <c:pt idx="31">
                  <c:v>12.73333333333333</c:v>
                </c:pt>
                <c:pt idx="32">
                  <c:v>12.79333333333333</c:v>
                </c:pt>
                <c:pt idx="33">
                  <c:v>12.82666666666666</c:v>
                </c:pt>
                <c:pt idx="34">
                  <c:v>13.26666666666667</c:v>
                </c:pt>
                <c:pt idx="35">
                  <c:v>13.69333333333333</c:v>
                </c:pt>
                <c:pt idx="36">
                  <c:v>13.86</c:v>
                </c:pt>
                <c:pt idx="37">
                  <c:v>13.96666666666666</c:v>
                </c:pt>
                <c:pt idx="38">
                  <c:v>13.92666666666667</c:v>
                </c:pt>
                <c:pt idx="39">
                  <c:v>13.51333333333333</c:v>
                </c:pt>
                <c:pt idx="40">
                  <c:v>13.52</c:v>
                </c:pt>
                <c:pt idx="41">
                  <c:v>13.38</c:v>
                </c:pt>
                <c:pt idx="42">
                  <c:v>13.31666666666667</c:v>
                </c:pt>
                <c:pt idx="43">
                  <c:v>13.20333333333333</c:v>
                </c:pt>
                <c:pt idx="44">
                  <c:v>13.26333333333333</c:v>
                </c:pt>
                <c:pt idx="45">
                  <c:v>13.39666666666666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49608"/>
        <c:axId val="-2135152552"/>
      </c:scatterChart>
      <c:valAx>
        <c:axId val="-213515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55880"/>
        <c:crosses val="autoZero"/>
        <c:crossBetween val="midCat"/>
      </c:valAx>
      <c:valAx>
        <c:axId val="-213515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158872"/>
        <c:crosses val="autoZero"/>
        <c:crossBetween val="midCat"/>
      </c:valAx>
      <c:valAx>
        <c:axId val="-213515255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-2135149608"/>
        <c:crosses val="max"/>
        <c:crossBetween val="midCat"/>
      </c:valAx>
      <c:valAx>
        <c:axId val="-2135149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3515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 correlation and plots'!$B$4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'Rh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'Rh correlation and plots'!$B$5:$B$54</c:f>
              <c:numCache>
                <c:formatCode>General</c:formatCode>
                <c:ptCount val="50"/>
                <c:pt idx="0">
                  <c:v>-0.290357581425254</c:v>
                </c:pt>
                <c:pt idx="1">
                  <c:v>0.239226391218053</c:v>
                </c:pt>
                <c:pt idx="2">
                  <c:v>0.644525254642978</c:v>
                </c:pt>
                <c:pt idx="3">
                  <c:v>-1.116025004578026</c:v>
                </c:pt>
                <c:pt idx="4">
                  <c:v>-0.288800991974175</c:v>
                </c:pt>
                <c:pt idx="5">
                  <c:v>0.195304801722278</c:v>
                </c:pt>
                <c:pt idx="6">
                  <c:v>-0.710341741153059</c:v>
                </c:pt>
                <c:pt idx="7">
                  <c:v>0.504585523518288</c:v>
                </c:pt>
                <c:pt idx="8">
                  <c:v>-0.0374644219748053</c:v>
                </c:pt>
                <c:pt idx="9">
                  <c:v>0.774352237006285</c:v>
                </c:pt>
                <c:pt idx="10">
                  <c:v>-0.0525622581600255</c:v>
                </c:pt>
                <c:pt idx="11">
                  <c:v>-0.273647195365403</c:v>
                </c:pt>
                <c:pt idx="12">
                  <c:v>-0.457270555508932</c:v>
                </c:pt>
                <c:pt idx="13">
                  <c:v>-0.141932344522551</c:v>
                </c:pt>
                <c:pt idx="14">
                  <c:v>-0.0675953286003726</c:v>
                </c:pt>
                <c:pt idx="15">
                  <c:v>0.56564976863267</c:v>
                </c:pt>
                <c:pt idx="16">
                  <c:v>0.727194315662255</c:v>
                </c:pt>
                <c:pt idx="17">
                  <c:v>0.494321492860573</c:v>
                </c:pt>
                <c:pt idx="18">
                  <c:v>0.655280414565495</c:v>
                </c:pt>
                <c:pt idx="19">
                  <c:v>0.157404460731182</c:v>
                </c:pt>
                <c:pt idx="20">
                  <c:v>0.396067090973482</c:v>
                </c:pt>
                <c:pt idx="21">
                  <c:v>-0.0165506311069828</c:v>
                </c:pt>
                <c:pt idx="22">
                  <c:v>-0.149919636117161</c:v>
                </c:pt>
                <c:pt idx="23">
                  <c:v>-0.15409241471607</c:v>
                </c:pt>
                <c:pt idx="24">
                  <c:v>-0.013842537895437</c:v>
                </c:pt>
                <c:pt idx="25">
                  <c:v>-0.166307183198284</c:v>
                </c:pt>
                <c:pt idx="26">
                  <c:v>-0.821791396811226</c:v>
                </c:pt>
                <c:pt idx="27">
                  <c:v>-0.169366282094703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'Rh correlation and plots'!$G$4</c:f>
              <c:strCache>
                <c:ptCount val="1"/>
                <c:pt idx="0">
                  <c:v>Huapai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xVal>
            <c:numRef>
              <c:f>'Rh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'Rh correlation and plots'!$G$5:$G$54</c:f>
              <c:numCache>
                <c:formatCode>General</c:formatCode>
                <c:ptCount val="50"/>
                <c:pt idx="14">
                  <c:v>0.24734605506512</c:v>
                </c:pt>
                <c:pt idx="15">
                  <c:v>0.107018947076846</c:v>
                </c:pt>
                <c:pt idx="16">
                  <c:v>0.0522264294838219</c:v>
                </c:pt>
                <c:pt idx="17">
                  <c:v>-0.680914152057983</c:v>
                </c:pt>
                <c:pt idx="18">
                  <c:v>0.390191379765985</c:v>
                </c:pt>
                <c:pt idx="19">
                  <c:v>0.949792653944522</c:v>
                </c:pt>
                <c:pt idx="20">
                  <c:v>-0.498217294783597</c:v>
                </c:pt>
                <c:pt idx="21">
                  <c:v>-0.720641068281589</c:v>
                </c:pt>
                <c:pt idx="22">
                  <c:v>-0.205027006273063</c:v>
                </c:pt>
                <c:pt idx="23">
                  <c:v>0.00366008492864508</c:v>
                </c:pt>
                <c:pt idx="24">
                  <c:v>-0.797725141665978</c:v>
                </c:pt>
                <c:pt idx="25">
                  <c:v>0.26131441948708</c:v>
                </c:pt>
                <c:pt idx="26">
                  <c:v>-0.133884116946192</c:v>
                </c:pt>
                <c:pt idx="27">
                  <c:v>0.382254898182872</c:v>
                </c:pt>
                <c:pt idx="28">
                  <c:v>0.336672309349535</c:v>
                </c:pt>
                <c:pt idx="29">
                  <c:v>-0.106898932347621</c:v>
                </c:pt>
                <c:pt idx="30">
                  <c:v>0.0729829002424595</c:v>
                </c:pt>
                <c:pt idx="31">
                  <c:v>0.551101248480799</c:v>
                </c:pt>
                <c:pt idx="32">
                  <c:v>-0.398287787303149</c:v>
                </c:pt>
                <c:pt idx="33">
                  <c:v>0.142815939902979</c:v>
                </c:pt>
                <c:pt idx="34">
                  <c:v>-0.0977094187946156</c:v>
                </c:pt>
                <c:pt idx="35">
                  <c:v>-0.468497326200123</c:v>
                </c:pt>
                <c:pt idx="36">
                  <c:v>-0.132057102397988</c:v>
                </c:pt>
                <c:pt idx="37">
                  <c:v>-0.192459294108382</c:v>
                </c:pt>
                <c:pt idx="38">
                  <c:v>0.2226070969919</c:v>
                </c:pt>
                <c:pt idx="39">
                  <c:v>-0.0706203130943888</c:v>
                </c:pt>
                <c:pt idx="40">
                  <c:v>-0.00507460917209868</c:v>
                </c:pt>
                <c:pt idx="41">
                  <c:v>0.293243987149858</c:v>
                </c:pt>
                <c:pt idx="42">
                  <c:v>-0.376377212654944</c:v>
                </c:pt>
                <c:pt idx="43">
                  <c:v>-0.392672957300977</c:v>
                </c:pt>
                <c:pt idx="44">
                  <c:v>-0.146200559766424</c:v>
                </c:pt>
                <c:pt idx="45">
                  <c:v>-0.0606215586398477</c:v>
                </c:pt>
                <c:pt idx="46">
                  <c:v>0.735691962450724</c:v>
                </c:pt>
                <c:pt idx="47">
                  <c:v>0.0385527279542394</c:v>
                </c:pt>
                <c:pt idx="48">
                  <c:v>1.05170642344333</c:v>
                </c:pt>
                <c:pt idx="49">
                  <c:v>-1.179741972456035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9416"/>
        <c:axId val="-2135096232"/>
      </c:scatterChart>
      <c:scatterChart>
        <c:scatterStyle val="lineMarker"/>
        <c:varyColors val="0"/>
        <c:ser>
          <c:idx val="2"/>
          <c:order val="2"/>
          <c:trendline>
            <c:trendlineType val="linear"/>
            <c:dispRSqr val="0"/>
            <c:dispEq val="0"/>
          </c:trendline>
          <c:xVal>
            <c:numRef>
              <c:f>'Rh correlation and plots'!$F$5:$F$48</c:f>
              <c:numCache>
                <c:formatCode>General</c:formatCode>
                <c:ptCount val="44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</c:numCache>
            </c:numRef>
          </c:xVal>
          <c:yVal>
            <c:numRef>
              <c:f>'Rh correlation and plots'!$K$5:$K$48</c:f>
              <c:numCache>
                <c:formatCode>General</c:formatCode>
                <c:ptCount val="44"/>
                <c:pt idx="0">
                  <c:v>84.4</c:v>
                </c:pt>
                <c:pt idx="1">
                  <c:v>79.8</c:v>
                </c:pt>
                <c:pt idx="2">
                  <c:v>78.4</c:v>
                </c:pt>
                <c:pt idx="3">
                  <c:v>81.25</c:v>
                </c:pt>
                <c:pt idx="4">
                  <c:v>81.30000000000001</c:v>
                </c:pt>
                <c:pt idx="5">
                  <c:v>79.19999999999998</c:v>
                </c:pt>
                <c:pt idx="6">
                  <c:v>81.0</c:v>
                </c:pt>
                <c:pt idx="7">
                  <c:v>75.7</c:v>
                </c:pt>
                <c:pt idx="8">
                  <c:v>79.69999999999998</c:v>
                </c:pt>
                <c:pt idx="9">
                  <c:v>78.35</c:v>
                </c:pt>
                <c:pt idx="10">
                  <c:v>79.75</c:v>
                </c:pt>
                <c:pt idx="11">
                  <c:v>80.15000000000001</c:v>
                </c:pt>
                <c:pt idx="12">
                  <c:v>81.45</c:v>
                </c:pt>
                <c:pt idx="13">
                  <c:v>79.7</c:v>
                </c:pt>
                <c:pt idx="14">
                  <c:v>80.8</c:v>
                </c:pt>
                <c:pt idx="15">
                  <c:v>80.35</c:v>
                </c:pt>
                <c:pt idx="16">
                  <c:v>76.05</c:v>
                </c:pt>
                <c:pt idx="17">
                  <c:v>80.3</c:v>
                </c:pt>
                <c:pt idx="18">
                  <c:v>78.7</c:v>
                </c:pt>
                <c:pt idx="19">
                  <c:v>78.9</c:v>
                </c:pt>
                <c:pt idx="20">
                  <c:v>77.85</c:v>
                </c:pt>
                <c:pt idx="21">
                  <c:v>79.1</c:v>
                </c:pt>
                <c:pt idx="22">
                  <c:v>80.1</c:v>
                </c:pt>
                <c:pt idx="23">
                  <c:v>79.4</c:v>
                </c:pt>
                <c:pt idx="24">
                  <c:v>79.3</c:v>
                </c:pt>
                <c:pt idx="25">
                  <c:v>80.15000000000001</c:v>
                </c:pt>
                <c:pt idx="26">
                  <c:v>83.69999999999998</c:v>
                </c:pt>
                <c:pt idx="27">
                  <c:v>81.25</c:v>
                </c:pt>
                <c:pt idx="28">
                  <c:v>79.2</c:v>
                </c:pt>
                <c:pt idx="29">
                  <c:v>80.4</c:v>
                </c:pt>
                <c:pt idx="30">
                  <c:v>80.94999999999998</c:v>
                </c:pt>
                <c:pt idx="31">
                  <c:v>78.1</c:v>
                </c:pt>
                <c:pt idx="32">
                  <c:v>79.0</c:v>
                </c:pt>
                <c:pt idx="33">
                  <c:v>81.9</c:v>
                </c:pt>
                <c:pt idx="34">
                  <c:v>81.69999999999998</c:v>
                </c:pt>
                <c:pt idx="35">
                  <c:v>80.5</c:v>
                </c:pt>
                <c:pt idx="36">
                  <c:v>84.25</c:v>
                </c:pt>
                <c:pt idx="37">
                  <c:v>79.3</c:v>
                </c:pt>
                <c:pt idx="38">
                  <c:v>81.65000000000001</c:v>
                </c:pt>
                <c:pt idx="39">
                  <c:v>83.35</c:v>
                </c:pt>
                <c:pt idx="40">
                  <c:v>82.35</c:v>
                </c:pt>
                <c:pt idx="41">
                  <c:v>81.65000000000001</c:v>
                </c:pt>
                <c:pt idx="42">
                  <c:v>81.25</c:v>
                </c:pt>
                <c:pt idx="43">
                  <c:v>79.69999999999998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0264"/>
        <c:axId val="-2135093256"/>
      </c:scatterChart>
      <c:valAx>
        <c:axId val="-213509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96232"/>
        <c:crosses val="autoZero"/>
        <c:crossBetween val="midCat"/>
      </c:valAx>
      <c:valAx>
        <c:axId val="-213509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99416"/>
        <c:crosses val="autoZero"/>
        <c:crossBetween val="midCat"/>
      </c:valAx>
      <c:valAx>
        <c:axId val="-2135093256"/>
        <c:scaling>
          <c:orientation val="maxMin"/>
          <c:max val="85.0"/>
          <c:min val="75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090264"/>
        <c:crosses val="max"/>
        <c:crossBetween val="midCat"/>
      </c:valAx>
      <c:valAx>
        <c:axId val="-21350902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3509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 correlation and plots'!$C$4</c:f>
              <c:strCache>
                <c:ptCount val="1"/>
                <c:pt idx="0">
                  <c:v>Lower Huia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'Rh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'Rh correlation and plots'!$C$5:$C$54</c:f>
              <c:numCache>
                <c:formatCode>General</c:formatCode>
                <c:ptCount val="50"/>
                <c:pt idx="1">
                  <c:v>0.197798021478592</c:v>
                </c:pt>
                <c:pt idx="2">
                  <c:v>-0.0774244529056648</c:v>
                </c:pt>
                <c:pt idx="3">
                  <c:v>-0.253433580636408</c:v>
                </c:pt>
                <c:pt idx="4">
                  <c:v>-0.403173731609974</c:v>
                </c:pt>
                <c:pt idx="5">
                  <c:v>-0.267945977134985</c:v>
                </c:pt>
                <c:pt idx="6">
                  <c:v>-0.00348380530416451</c:v>
                </c:pt>
                <c:pt idx="7">
                  <c:v>-0.0810735465365255</c:v>
                </c:pt>
                <c:pt idx="8">
                  <c:v>0.413824446183256</c:v>
                </c:pt>
                <c:pt idx="9">
                  <c:v>0.228108518957152</c:v>
                </c:pt>
                <c:pt idx="10">
                  <c:v>0.149380927826952</c:v>
                </c:pt>
                <c:pt idx="11">
                  <c:v>-0.261160003011453</c:v>
                </c:pt>
                <c:pt idx="12">
                  <c:v>-0.290950031798962</c:v>
                </c:pt>
                <c:pt idx="13">
                  <c:v>-0.222266076210618</c:v>
                </c:pt>
                <c:pt idx="14">
                  <c:v>0.118707365169916</c:v>
                </c:pt>
                <c:pt idx="15">
                  <c:v>0.408416251898184</c:v>
                </c:pt>
                <c:pt idx="16">
                  <c:v>0.595721859051833</c:v>
                </c:pt>
                <c:pt idx="17">
                  <c:v>0.625598741029441</c:v>
                </c:pt>
                <c:pt idx="18">
                  <c:v>0.43566878938575</c:v>
                </c:pt>
                <c:pt idx="19">
                  <c:v>0.402917322090053</c:v>
                </c:pt>
                <c:pt idx="20">
                  <c:v>0.178973640199227</c:v>
                </c:pt>
                <c:pt idx="21">
                  <c:v>0.0765322745831129</c:v>
                </c:pt>
                <c:pt idx="22">
                  <c:v>-0.106854227313405</c:v>
                </c:pt>
                <c:pt idx="23">
                  <c:v>-0.105951529576223</c:v>
                </c:pt>
                <c:pt idx="24">
                  <c:v>-0.111414045269931</c:v>
                </c:pt>
                <c:pt idx="25">
                  <c:v>-0.333980372634982</c:v>
                </c:pt>
                <c:pt idx="26">
                  <c:v>-0.385821620701405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'Rh correlation and plots'!$H$4</c:f>
              <c:strCache>
                <c:ptCount val="1"/>
                <c:pt idx="0">
                  <c:v>Huapai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xVal>
            <c:numRef>
              <c:f>'Rh correlation and plots'!$A$5:$A$54</c:f>
              <c:numCache>
                <c:formatCode>General</c:formatCode>
                <c:ptCount val="50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  <c:pt idx="43">
                  <c:v>1966.0</c:v>
                </c:pt>
                <c:pt idx="44">
                  <c:v>1965.0</c:v>
                </c:pt>
                <c:pt idx="45">
                  <c:v>1964.0</c:v>
                </c:pt>
                <c:pt idx="46">
                  <c:v>1963.0</c:v>
                </c:pt>
                <c:pt idx="47">
                  <c:v>1962.0</c:v>
                </c:pt>
                <c:pt idx="48">
                  <c:v>1961.0</c:v>
                </c:pt>
                <c:pt idx="49">
                  <c:v>1960.0</c:v>
                </c:pt>
              </c:numCache>
            </c:numRef>
          </c:xVal>
          <c:yVal>
            <c:numRef>
              <c:f>'Rh correlation and plots'!$H$5:$H$54</c:f>
              <c:numCache>
                <c:formatCode>General</c:formatCode>
                <c:ptCount val="50"/>
                <c:pt idx="15">
                  <c:v>0.135530477208596</c:v>
                </c:pt>
                <c:pt idx="16">
                  <c:v>-0.173889591832438</c:v>
                </c:pt>
                <c:pt idx="17">
                  <c:v>-0.0794987809360588</c:v>
                </c:pt>
                <c:pt idx="18">
                  <c:v>0.219689960550841</c:v>
                </c:pt>
                <c:pt idx="19">
                  <c:v>0.280588912975637</c:v>
                </c:pt>
                <c:pt idx="20">
                  <c:v>-0.0896885697068879</c:v>
                </c:pt>
                <c:pt idx="21">
                  <c:v>-0.474628456446083</c:v>
                </c:pt>
                <c:pt idx="22">
                  <c:v>-0.307335996542002</c:v>
                </c:pt>
                <c:pt idx="23">
                  <c:v>-0.333030687670132</c:v>
                </c:pt>
                <c:pt idx="24">
                  <c:v>-0.177583545750084</c:v>
                </c:pt>
                <c:pt idx="25">
                  <c:v>-0.223431613041697</c:v>
                </c:pt>
                <c:pt idx="26">
                  <c:v>0.16989506690792</c:v>
                </c:pt>
                <c:pt idx="27">
                  <c:v>0.195014363528738</c:v>
                </c:pt>
                <c:pt idx="28">
                  <c:v>0.204009425061595</c:v>
                </c:pt>
                <c:pt idx="29">
                  <c:v>0.100918759081458</c:v>
                </c:pt>
                <c:pt idx="30">
                  <c:v>0.172395072125213</c:v>
                </c:pt>
                <c:pt idx="31">
                  <c:v>0.0752654538067032</c:v>
                </c:pt>
                <c:pt idx="32">
                  <c:v>0.0985431336935432</c:v>
                </c:pt>
                <c:pt idx="33">
                  <c:v>-0.117727088731595</c:v>
                </c:pt>
                <c:pt idx="34">
                  <c:v>-0.14113026836392</c:v>
                </c:pt>
                <c:pt idx="35">
                  <c:v>-0.232754615797576</c:v>
                </c:pt>
                <c:pt idx="36">
                  <c:v>-0.264337907568831</c:v>
                </c:pt>
                <c:pt idx="37">
                  <c:v>-0.0339697665048233</c:v>
                </c:pt>
                <c:pt idx="38">
                  <c:v>-0.0134908367369569</c:v>
                </c:pt>
                <c:pt idx="39">
                  <c:v>0.0489707249084708</c:v>
                </c:pt>
                <c:pt idx="40">
                  <c:v>0.0725163549611234</c:v>
                </c:pt>
                <c:pt idx="41">
                  <c:v>-0.0294026115590617</c:v>
                </c:pt>
                <c:pt idx="42">
                  <c:v>-0.158602060935355</c:v>
                </c:pt>
                <c:pt idx="43">
                  <c:v>-0.305083576574115</c:v>
                </c:pt>
                <c:pt idx="44">
                  <c:v>-0.199831691902416</c:v>
                </c:pt>
                <c:pt idx="45">
                  <c:v>0.176289948014817</c:v>
                </c:pt>
                <c:pt idx="46">
                  <c:v>0.237874377255039</c:v>
                </c:pt>
                <c:pt idx="47">
                  <c:v>0.608650371282764</c:v>
                </c:pt>
                <c:pt idx="48">
                  <c:v>-0.0298276070194883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8104"/>
        <c:axId val="-2135045000"/>
      </c:scatterChart>
      <c:scatterChart>
        <c:scatterStyle val="lineMarker"/>
        <c:varyColors val="0"/>
        <c:ser>
          <c:idx val="2"/>
          <c:order val="2"/>
          <c:tx>
            <c:v>Rh3</c:v>
          </c:tx>
          <c:trendline>
            <c:trendlineType val="linear"/>
            <c:dispRSqr val="0"/>
            <c:dispEq val="0"/>
          </c:trendline>
          <c:xVal>
            <c:numRef>
              <c:f>'Rh correlation and plots'!$A$5:$A$47</c:f>
              <c:numCache>
                <c:formatCode>General</c:formatCode>
                <c:ptCount val="43"/>
                <c:pt idx="0">
                  <c:v>2009.0</c:v>
                </c:pt>
                <c:pt idx="1">
                  <c:v>2008.0</c:v>
                </c:pt>
                <c:pt idx="2">
                  <c:v>2007.0</c:v>
                </c:pt>
                <c:pt idx="3">
                  <c:v>2006.0</c:v>
                </c:pt>
                <c:pt idx="4">
                  <c:v>2005.0</c:v>
                </c:pt>
                <c:pt idx="5">
                  <c:v>2004.0</c:v>
                </c:pt>
                <c:pt idx="6">
                  <c:v>2003.0</c:v>
                </c:pt>
                <c:pt idx="7">
                  <c:v>2002.0</c:v>
                </c:pt>
                <c:pt idx="8">
                  <c:v>2001.0</c:v>
                </c:pt>
                <c:pt idx="9">
                  <c:v>2000.0</c:v>
                </c:pt>
                <c:pt idx="10">
                  <c:v>1999.0</c:v>
                </c:pt>
                <c:pt idx="11">
                  <c:v>1998.0</c:v>
                </c:pt>
                <c:pt idx="12">
                  <c:v>1997.0</c:v>
                </c:pt>
                <c:pt idx="13">
                  <c:v>1996.0</c:v>
                </c:pt>
                <c:pt idx="14">
                  <c:v>1995.0</c:v>
                </c:pt>
                <c:pt idx="15">
                  <c:v>1994.0</c:v>
                </c:pt>
                <c:pt idx="16">
                  <c:v>1993.0</c:v>
                </c:pt>
                <c:pt idx="17">
                  <c:v>1992.0</c:v>
                </c:pt>
                <c:pt idx="18">
                  <c:v>1991.0</c:v>
                </c:pt>
                <c:pt idx="19">
                  <c:v>1990.0</c:v>
                </c:pt>
                <c:pt idx="20">
                  <c:v>1989.0</c:v>
                </c:pt>
                <c:pt idx="21">
                  <c:v>1988.0</c:v>
                </c:pt>
                <c:pt idx="22">
                  <c:v>1987.0</c:v>
                </c:pt>
                <c:pt idx="23">
                  <c:v>1986.0</c:v>
                </c:pt>
                <c:pt idx="24">
                  <c:v>1985.0</c:v>
                </c:pt>
                <c:pt idx="25">
                  <c:v>1984.0</c:v>
                </c:pt>
                <c:pt idx="26">
                  <c:v>1983.0</c:v>
                </c:pt>
                <c:pt idx="27">
                  <c:v>1982.0</c:v>
                </c:pt>
                <c:pt idx="28">
                  <c:v>1981.0</c:v>
                </c:pt>
                <c:pt idx="29">
                  <c:v>1980.0</c:v>
                </c:pt>
                <c:pt idx="30">
                  <c:v>1979.0</c:v>
                </c:pt>
                <c:pt idx="31">
                  <c:v>1978.0</c:v>
                </c:pt>
                <c:pt idx="32">
                  <c:v>1977.0</c:v>
                </c:pt>
                <c:pt idx="33">
                  <c:v>1976.0</c:v>
                </c:pt>
                <c:pt idx="34">
                  <c:v>1975.0</c:v>
                </c:pt>
                <c:pt idx="35">
                  <c:v>1974.0</c:v>
                </c:pt>
                <c:pt idx="36">
                  <c:v>1973.0</c:v>
                </c:pt>
                <c:pt idx="37">
                  <c:v>1972.0</c:v>
                </c:pt>
                <c:pt idx="38">
                  <c:v>1971.0</c:v>
                </c:pt>
                <c:pt idx="39">
                  <c:v>1970.0</c:v>
                </c:pt>
                <c:pt idx="40">
                  <c:v>1969.0</c:v>
                </c:pt>
                <c:pt idx="41">
                  <c:v>1968.0</c:v>
                </c:pt>
                <c:pt idx="42">
                  <c:v>1967.0</c:v>
                </c:pt>
              </c:numCache>
            </c:numRef>
          </c:xVal>
          <c:yVal>
            <c:numRef>
              <c:f>'Rh correlation and plots'!$L$5:$L$47</c:f>
              <c:numCache>
                <c:formatCode>General</c:formatCode>
                <c:ptCount val="43"/>
                <c:pt idx="0">
                  <c:v>80.63333333333333</c:v>
                </c:pt>
                <c:pt idx="1">
                  <c:v>79.94444444444444</c:v>
                </c:pt>
                <c:pt idx="2">
                  <c:v>78.5</c:v>
                </c:pt>
                <c:pt idx="3">
                  <c:v>78.61111111111113</c:v>
                </c:pt>
                <c:pt idx="4">
                  <c:v>78.27777777777777</c:v>
                </c:pt>
                <c:pt idx="5">
                  <c:v>78.07777777777777</c:v>
                </c:pt>
                <c:pt idx="6">
                  <c:v>76.98888888888888</c:v>
                </c:pt>
                <c:pt idx="7">
                  <c:v>77.16666666666664</c:v>
                </c:pt>
                <c:pt idx="8">
                  <c:v>76.86666666666665</c:v>
                </c:pt>
                <c:pt idx="9">
                  <c:v>78.4</c:v>
                </c:pt>
                <c:pt idx="10">
                  <c:v>78.55555555555556</c:v>
                </c:pt>
                <c:pt idx="11">
                  <c:v>79.31111111111111</c:v>
                </c:pt>
                <c:pt idx="12">
                  <c:v>78.45555555555556</c:v>
                </c:pt>
                <c:pt idx="13">
                  <c:v>78.81111111111111</c:v>
                </c:pt>
                <c:pt idx="14">
                  <c:v>78.42222222222221</c:v>
                </c:pt>
                <c:pt idx="15">
                  <c:v>77.86666666666665</c:v>
                </c:pt>
                <c:pt idx="16">
                  <c:v>77.68888888888888</c:v>
                </c:pt>
                <c:pt idx="17">
                  <c:v>77.07777777777778</c:v>
                </c:pt>
                <c:pt idx="18">
                  <c:v>78.06666666666666</c:v>
                </c:pt>
                <c:pt idx="19">
                  <c:v>77.01111111111111</c:v>
                </c:pt>
                <c:pt idx="20">
                  <c:v>77.64444444444444</c:v>
                </c:pt>
                <c:pt idx="21">
                  <c:v>78.08888888888889</c:v>
                </c:pt>
                <c:pt idx="22">
                  <c:v>78.92222222222221</c:v>
                </c:pt>
                <c:pt idx="23">
                  <c:v>79.43333333333334</c:v>
                </c:pt>
                <c:pt idx="24">
                  <c:v>79.67777777777779</c:v>
                </c:pt>
                <c:pt idx="25">
                  <c:v>80.81111111111111</c:v>
                </c:pt>
                <c:pt idx="26">
                  <c:v>80.81111111111111</c:v>
                </c:pt>
                <c:pt idx="27">
                  <c:v>80.82222222222221</c:v>
                </c:pt>
                <c:pt idx="28">
                  <c:v>80.27777777777777</c:v>
                </c:pt>
                <c:pt idx="29">
                  <c:v>80.6111111111111</c:v>
                </c:pt>
                <c:pt idx="30">
                  <c:v>79.78888888888889</c:v>
                </c:pt>
                <c:pt idx="31">
                  <c:v>79.1111111111111</c:v>
                </c:pt>
                <c:pt idx="32">
                  <c:v>78.68888888888888</c:v>
                </c:pt>
                <c:pt idx="33">
                  <c:v>80.03333333333335</c:v>
                </c:pt>
                <c:pt idx="34">
                  <c:v>80.43333333333334</c:v>
                </c:pt>
                <c:pt idx="35">
                  <c:v>81.38888888888889</c:v>
                </c:pt>
                <c:pt idx="36">
                  <c:v>80.28888888888889</c:v>
                </c:pt>
                <c:pt idx="37">
                  <c:v>80.15555555555555</c:v>
                </c:pt>
                <c:pt idx="38">
                  <c:v>79.60000000000001</c:v>
                </c:pt>
                <c:pt idx="39">
                  <c:v>80.1</c:v>
                </c:pt>
                <c:pt idx="40">
                  <c:v>80.54444444444443</c:v>
                </c:pt>
                <c:pt idx="41">
                  <c:v>80.27777777777777</c:v>
                </c:pt>
                <c:pt idx="42">
                  <c:v>79.65555555555557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39032"/>
        <c:axId val="-2135042024"/>
      </c:scatterChart>
      <c:valAx>
        <c:axId val="-213504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45000"/>
        <c:crosses val="autoZero"/>
        <c:crossBetween val="midCat"/>
      </c:valAx>
      <c:valAx>
        <c:axId val="-213504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48104"/>
        <c:crosses val="autoZero"/>
        <c:crossBetween val="midCat"/>
      </c:valAx>
      <c:valAx>
        <c:axId val="-2135042024"/>
        <c:scaling>
          <c:orientation val="maxMin"/>
          <c:max val="85.0"/>
          <c:min val="75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5039032"/>
        <c:crosses val="max"/>
        <c:crossBetween val="midCat"/>
      </c:valAx>
      <c:valAx>
        <c:axId val="-2135039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3504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38100</xdr:rowOff>
    </xdr:from>
    <xdr:to>
      <xdr:col>27</xdr:col>
      <xdr:colOff>101600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482600</xdr:colOff>
      <xdr:row>90</xdr:row>
      <xdr:rowOff>12700</xdr:rowOff>
    </xdr:from>
    <xdr:to>
      <xdr:col>48</xdr:col>
      <xdr:colOff>139700</xdr:colOff>
      <xdr:row>121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19</xdr:row>
      <xdr:rowOff>25400</xdr:rowOff>
    </xdr:from>
    <xdr:to>
      <xdr:col>16</xdr:col>
      <xdr:colOff>368300</xdr:colOff>
      <xdr:row>55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55</xdr:row>
      <xdr:rowOff>38100</xdr:rowOff>
    </xdr:from>
    <xdr:to>
      <xdr:col>18</xdr:col>
      <xdr:colOff>114300</xdr:colOff>
      <xdr:row>86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0</xdr:row>
      <xdr:rowOff>50800</xdr:rowOff>
    </xdr:from>
    <xdr:to>
      <xdr:col>27</xdr:col>
      <xdr:colOff>469900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768350</xdr:colOff>
      <xdr:row>41</xdr:row>
      <xdr:rowOff>114300</xdr:rowOff>
    </xdr:from>
    <xdr:to>
      <xdr:col>27</xdr:col>
      <xdr:colOff>469900</xdr:colOff>
      <xdr:row>77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793750</xdr:colOff>
      <xdr:row>77</xdr:row>
      <xdr:rowOff>50800</xdr:rowOff>
    </xdr:from>
    <xdr:to>
      <xdr:col>27</xdr:col>
      <xdr:colOff>482600</xdr:colOff>
      <xdr:row>116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0</xdr:row>
      <xdr:rowOff>50800</xdr:rowOff>
    </xdr:from>
    <xdr:to>
      <xdr:col>27</xdr:col>
      <xdr:colOff>469900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768350</xdr:colOff>
      <xdr:row>41</xdr:row>
      <xdr:rowOff>114300</xdr:rowOff>
    </xdr:from>
    <xdr:to>
      <xdr:col>27</xdr:col>
      <xdr:colOff>469900</xdr:colOff>
      <xdr:row>77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793750</xdr:colOff>
      <xdr:row>77</xdr:row>
      <xdr:rowOff>50800</xdr:rowOff>
    </xdr:from>
    <xdr:to>
      <xdr:col>27</xdr:col>
      <xdr:colOff>482600</xdr:colOff>
      <xdr:row>116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wa.co.nz" TargetMode="External"/><Relationship Id="rId4" Type="http://schemas.openxmlformats.org/officeDocument/2006/relationships/hyperlink" Target="http://www.niwa.co.nz" TargetMode="External"/><Relationship Id="rId5" Type="http://schemas.openxmlformats.org/officeDocument/2006/relationships/hyperlink" Target="http://www.niwa.co.nz" TargetMode="External"/><Relationship Id="rId6" Type="http://schemas.openxmlformats.org/officeDocument/2006/relationships/hyperlink" Target="http://wateriso.utah.edu/waterisotopes/pages/data_access/oipc.html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Relationship Id="rId1" Type="http://schemas.openxmlformats.org/officeDocument/2006/relationships/hyperlink" Target="http://www.niwa.co.nz" TargetMode="External"/><Relationship Id="rId2" Type="http://schemas.openxmlformats.org/officeDocument/2006/relationships/hyperlink" Target="http://www.niwa.co.n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29"/>
  <sheetViews>
    <sheetView tabSelected="1" topLeftCell="A20" workbookViewId="0">
      <selection activeCell="I52" sqref="I52"/>
    </sheetView>
  </sheetViews>
  <sheetFormatPr baseColWidth="10" defaultColWidth="8.83203125" defaultRowHeight="12" x14ac:dyDescent="0"/>
  <cols>
    <col min="1" max="1" width="23.6640625" customWidth="1"/>
    <col min="2" max="2" width="12.33203125" bestFit="1" customWidth="1"/>
    <col min="13" max="13" width="12.1640625" customWidth="1"/>
    <col min="14" max="14" width="12.1640625" bestFit="1" customWidth="1"/>
    <col min="36" max="36" width="16.83203125" customWidth="1"/>
    <col min="42" max="42" width="36.83203125" customWidth="1"/>
  </cols>
  <sheetData>
    <row r="1" spans="1:43">
      <c r="A1" s="1" t="s">
        <v>29</v>
      </c>
      <c r="AF1">
        <f>J36</f>
        <v>31</v>
      </c>
    </row>
    <row r="2" spans="1:43">
      <c r="A2" t="s">
        <v>0</v>
      </c>
      <c r="D2" t="s">
        <v>57</v>
      </c>
      <c r="G2" t="s">
        <v>2</v>
      </c>
      <c r="J2" t="s">
        <v>3</v>
      </c>
      <c r="M2" t="s">
        <v>56</v>
      </c>
    </row>
    <row r="3" spans="1:43">
      <c r="A3" t="s">
        <v>49</v>
      </c>
      <c r="B3" s="8">
        <v>0.25</v>
      </c>
      <c r="D3" t="s">
        <v>4</v>
      </c>
      <c r="E3">
        <f ca="1">B6+273.16</f>
        <v>287.42666666666668</v>
      </c>
      <c r="G3" t="s">
        <v>5</v>
      </c>
      <c r="H3">
        <f ca="1">B6-1</f>
        <v>13.266666666666666</v>
      </c>
      <c r="J3" t="s">
        <v>6</v>
      </c>
      <c r="K3">
        <f ca="1">(B7/100)*K4</f>
        <v>13.781965981671821</v>
      </c>
      <c r="M3" t="s">
        <v>58</v>
      </c>
      <c r="N3">
        <f ca="1">(H8*E8*E10/44012 +K6)/(E4+E5+H8*E8)</f>
        <v>1.1702780786220987E-3</v>
      </c>
    </row>
    <row r="4" spans="1:43">
      <c r="A4" t="s">
        <v>47</v>
      </c>
      <c r="B4" s="17">
        <f ca="1">AH4</f>
        <v>5.3999999999999995</v>
      </c>
      <c r="D4" t="s">
        <v>7</v>
      </c>
      <c r="E4">
        <f>1/B3</f>
        <v>4</v>
      </c>
      <c r="G4" t="s">
        <v>8</v>
      </c>
      <c r="H4" s="2">
        <f ca="1">(6.13753 * EXP(H3 * ((18.564 - (H3/254.4)))/(H3 +255.57)))*100</f>
        <v>1530.1534531901209</v>
      </c>
      <c r="J4" t="s">
        <v>9</v>
      </c>
      <c r="K4" s="2">
        <f ca="1">(6.13753 * EXP(B6 * ((18.564 - (B6/254.4)))/(B6 +255.57)))</f>
        <v>16.329343580179881</v>
      </c>
      <c r="AE4" s="2"/>
      <c r="AF4" t="s">
        <v>198</v>
      </c>
      <c r="AG4" t="s">
        <v>199</v>
      </c>
      <c r="AH4">
        <f ca="1">INDIRECT("V"&amp;$AF$1)</f>
        <v>5.3999999999999995</v>
      </c>
      <c r="AI4" s="18"/>
    </row>
    <row r="5" spans="1:43">
      <c r="A5" t="s">
        <v>48</v>
      </c>
      <c r="B5" s="8">
        <v>1.4999999999999999E-2</v>
      </c>
      <c r="D5" t="s">
        <v>11</v>
      </c>
      <c r="E5">
        <f ca="1">0.89*E6</f>
        <v>0.50933032936808253</v>
      </c>
      <c r="G5" t="s">
        <v>12</v>
      </c>
      <c r="H5">
        <f ca="1">H3+273.16</f>
        <v>286.42666666666668</v>
      </c>
      <c r="J5" t="s">
        <v>13</v>
      </c>
      <c r="K5" s="2">
        <f ca="1">(6.13753 * EXP(K9 * ((18.564 - (K9/254.4)))/(K9 +255.57)))</f>
        <v>19.36027556182011</v>
      </c>
      <c r="AE5" s="3"/>
      <c r="AF5" t="s">
        <v>74</v>
      </c>
      <c r="AG5" t="s">
        <v>200</v>
      </c>
      <c r="AH5">
        <f ca="1">INDIRECT("T"&amp;$AF$1)</f>
        <v>14.266666666666666</v>
      </c>
    </row>
    <row r="6" spans="1:43">
      <c r="A6" t="s">
        <v>50</v>
      </c>
      <c r="B6" s="16">
        <f ca="1">AH5</f>
        <v>14.266666666666666</v>
      </c>
      <c r="D6" t="s">
        <v>14</v>
      </c>
      <c r="E6">
        <f ca="1">3.8 * (B5^0.25)*(B4^-0.5)</f>
        <v>0.57228126895290166</v>
      </c>
      <c r="G6" t="s">
        <v>10</v>
      </c>
      <c r="H6">
        <f ca="1">(K4-H4)/(E3-H5)</f>
        <v>-1513.8241096099409</v>
      </c>
      <c r="J6" t="s">
        <v>15</v>
      </c>
      <c r="K6">
        <f ca="1">(K4-K3)/B8</f>
        <v>2.5089076807367629E-3</v>
      </c>
      <c r="AC6">
        <v>31</v>
      </c>
      <c r="AF6" t="s">
        <v>73</v>
      </c>
      <c r="AG6" t="s">
        <v>201</v>
      </c>
      <c r="AH6">
        <f ca="1">INDIRECT("S"&amp;$AF$1)</f>
        <v>84.4</v>
      </c>
    </row>
    <row r="7" spans="1:43">
      <c r="A7" t="s">
        <v>51</v>
      </c>
      <c r="B7" s="16">
        <f ca="1">AH6</f>
        <v>84.4</v>
      </c>
      <c r="D7" t="s">
        <v>16</v>
      </c>
      <c r="E7">
        <f ca="1">(4*0.98*(0.000000056703)*(E3^3))/(29.2)</f>
        <v>0.18075504491556196</v>
      </c>
      <c r="G7" t="s">
        <v>17</v>
      </c>
      <c r="H7">
        <f ca="1">6.13753*(((B6+255.7)*(18.564 - (2*B6/254.4)) - B6*(18.564 - (B6/254.4)))/((B6+255.57)^2))*(EXP(B6*(18.564 - (B6/254.4))/(B6 + 255.57)))</f>
        <v>1.0579461763460885</v>
      </c>
      <c r="J7" t="s">
        <v>18</v>
      </c>
      <c r="K7">
        <f ca="1">K3/K5</f>
        <v>0.71186827572076883</v>
      </c>
      <c r="AC7">
        <v>32</v>
      </c>
      <c r="AF7" t="s">
        <v>75</v>
      </c>
      <c r="AG7" t="s">
        <v>230</v>
      </c>
      <c r="AH7">
        <f ca="1">INDIRECT("U"&amp;$AF$1)</f>
        <v>1015.3333333333334</v>
      </c>
    </row>
    <row r="8" spans="1:43">
      <c r="A8" t="s">
        <v>19</v>
      </c>
      <c r="B8" s="8">
        <f ca="1">AH7</f>
        <v>1015.3333333333334</v>
      </c>
      <c r="D8" t="s">
        <v>20</v>
      </c>
      <c r="E8">
        <f ca="1">1/((1/E6)+E7)</f>
        <v>0.51863250826043616</v>
      </c>
      <c r="G8" t="s">
        <v>21</v>
      </c>
      <c r="H8">
        <f ca="1">(H7*44012)/(29.2*(B8))</f>
        <v>1.5705189529950814</v>
      </c>
      <c r="J8" t="s">
        <v>22</v>
      </c>
      <c r="K8" s="3">
        <f ca="1">(E8*((E10*(E4+E5))-(44012*K6)))/(29.2*(E4+E5+(H8*E8)))</f>
        <v>2.6567603450695985</v>
      </c>
      <c r="AC8">
        <v>33</v>
      </c>
    </row>
    <row r="9" spans="1:43">
      <c r="A9" t="s">
        <v>52</v>
      </c>
      <c r="B9" s="8">
        <v>925</v>
      </c>
      <c r="D9" t="s">
        <v>23</v>
      </c>
      <c r="E9">
        <f>(B9/4.6)*2</f>
        <v>402.17391304347831</v>
      </c>
      <c r="J9" t="s">
        <v>24</v>
      </c>
      <c r="K9">
        <f ca="1">B6+K8</f>
        <v>16.923427011736266</v>
      </c>
      <c r="AC9">
        <v>34</v>
      </c>
    </row>
    <row r="10" spans="1:43">
      <c r="D10" t="s">
        <v>25</v>
      </c>
      <c r="E10">
        <f>E9*0.5</f>
        <v>201.08695652173915</v>
      </c>
      <c r="J10" t="s">
        <v>35</v>
      </c>
      <c r="K10">
        <f ca="1">K9+273.16</f>
        <v>290.08342701173626</v>
      </c>
      <c r="AC10">
        <v>35</v>
      </c>
    </row>
    <row r="11" spans="1:43">
      <c r="AC11">
        <v>36</v>
      </c>
    </row>
    <row r="12" spans="1:43">
      <c r="AC12">
        <v>37</v>
      </c>
    </row>
    <row r="13" spans="1:43">
      <c r="A13" s="1" t="s">
        <v>26</v>
      </c>
      <c r="AC13">
        <v>38</v>
      </c>
    </row>
    <row r="14" spans="1:43">
      <c r="A14" t="s">
        <v>0</v>
      </c>
      <c r="D14" t="s">
        <v>1</v>
      </c>
      <c r="H14" t="s">
        <v>65</v>
      </c>
      <c r="AC14">
        <v>39</v>
      </c>
    </row>
    <row r="15" spans="1:43">
      <c r="A15" s="4" t="s">
        <v>46</v>
      </c>
      <c r="B15" s="8">
        <f ca="1">B16+D45</f>
        <v>-15.228112002233919</v>
      </c>
      <c r="D15" s="4" t="s">
        <v>37</v>
      </c>
      <c r="E15">
        <f ca="1">((B17*E4)+(B18*E5))/(E4+E5)</f>
        <v>31.548198697220339</v>
      </c>
      <c r="H15" t="s">
        <v>63</v>
      </c>
      <c r="AC15">
        <v>40</v>
      </c>
      <c r="AG15" s="1" t="s">
        <v>213</v>
      </c>
      <c r="AH15" s="1"/>
      <c r="AI15" s="1" t="s">
        <v>214</v>
      </c>
      <c r="AJ15" s="1"/>
      <c r="AK15" s="1" t="s">
        <v>215</v>
      </c>
      <c r="AL15" s="1"/>
      <c r="AM15" s="1" t="s">
        <v>216</v>
      </c>
      <c r="AN15" s="1"/>
      <c r="AO15" s="1"/>
      <c r="AP15" s="1"/>
      <c r="AQ15" s="1" t="s">
        <v>238</v>
      </c>
    </row>
    <row r="16" spans="1:43">
      <c r="A16" s="4" t="s">
        <v>42</v>
      </c>
      <c r="B16" s="8">
        <v>-5.17</v>
      </c>
      <c r="D16" s="4" t="s">
        <v>38</v>
      </c>
      <c r="E16">
        <f ca="1">2.644-3.206*((10^3)/K10)+1.534*((10^6)/(K10^2))</f>
        <v>9.8217071408024808</v>
      </c>
      <c r="H16" t="s">
        <v>64</v>
      </c>
      <c r="AC16">
        <v>41</v>
      </c>
    </row>
    <row r="17" spans="1:43">
      <c r="A17" t="s">
        <v>60</v>
      </c>
      <c r="B17" s="9">
        <v>32</v>
      </c>
      <c r="D17" s="4" t="s">
        <v>39</v>
      </c>
      <c r="E17" s="5">
        <f ca="1">((B15/1000)*(1+(B16/1000))+(B16/1000))*1000</f>
        <v>-20.31938266318237</v>
      </c>
      <c r="AC17">
        <v>42</v>
      </c>
      <c r="AG17" s="24" t="s">
        <v>212</v>
      </c>
    </row>
    <row r="18" spans="1:43">
      <c r="A18" t="s">
        <v>61</v>
      </c>
      <c r="B18" s="9">
        <v>28</v>
      </c>
      <c r="D18" s="6" t="s">
        <v>40</v>
      </c>
      <c r="E18" s="7">
        <f ca="1">E15+E16+((B15-E15)*K7)</f>
        <v>8.0713341958233613</v>
      </c>
      <c r="AC18">
        <v>43</v>
      </c>
      <c r="AG18" t="s">
        <v>218</v>
      </c>
      <c r="AI18" t="s">
        <v>229</v>
      </c>
      <c r="AK18">
        <v>5.6</v>
      </c>
      <c r="AM18" t="s">
        <v>254</v>
      </c>
      <c r="AQ18" s="26" t="s">
        <v>256</v>
      </c>
    </row>
    <row r="19" spans="1:43">
      <c r="AC19">
        <v>44</v>
      </c>
      <c r="AG19" t="s">
        <v>222</v>
      </c>
      <c r="AI19" t="s">
        <v>59</v>
      </c>
      <c r="AK19">
        <v>14.6</v>
      </c>
      <c r="AM19" t="s">
        <v>254</v>
      </c>
      <c r="AQ19" s="26" t="s">
        <v>256</v>
      </c>
    </row>
    <row r="20" spans="1:43">
      <c r="A20" s="1" t="s">
        <v>27</v>
      </c>
      <c r="AC20">
        <v>45</v>
      </c>
      <c r="AG20" t="s">
        <v>75</v>
      </c>
      <c r="AI20" t="s">
        <v>228</v>
      </c>
      <c r="AK20">
        <v>1016.1</v>
      </c>
      <c r="AM20" t="s">
        <v>254</v>
      </c>
      <c r="AQ20" s="26" t="s">
        <v>256</v>
      </c>
    </row>
    <row r="21" spans="1:43">
      <c r="A21" t="s">
        <v>0</v>
      </c>
      <c r="D21" t="s">
        <v>1</v>
      </c>
      <c r="AC21">
        <v>46</v>
      </c>
      <c r="AG21" t="s">
        <v>220</v>
      </c>
      <c r="AI21" t="s">
        <v>259</v>
      </c>
      <c r="AK21">
        <v>-5.17</v>
      </c>
      <c r="AQ21" s="26" t="s">
        <v>271</v>
      </c>
    </row>
    <row r="22" spans="1:43">
      <c r="A22" t="s">
        <v>62</v>
      </c>
      <c r="B22" s="8">
        <v>7.7000000000000002E-3</v>
      </c>
      <c r="D22" t="s">
        <v>28</v>
      </c>
      <c r="E22">
        <f ca="1">(N3*B22)/(B23*B24)</f>
        <v>8.7517626877040122E-2</v>
      </c>
      <c r="AC22">
        <v>47</v>
      </c>
      <c r="AG22" t="s">
        <v>221</v>
      </c>
      <c r="AI22" t="s">
        <v>259</v>
      </c>
      <c r="AK22" s="18">
        <v>-15.61</v>
      </c>
      <c r="AM22" t="s">
        <v>270</v>
      </c>
      <c r="AQ22" t="s">
        <v>272</v>
      </c>
    </row>
    <row r="23" spans="1:43">
      <c r="A23" t="s">
        <v>59</v>
      </c>
      <c r="B23" s="10">
        <f>55.5*1000</f>
        <v>55500</v>
      </c>
      <c r="D23" s="6" t="s">
        <v>41</v>
      </c>
      <c r="E23" s="7">
        <f ca="1">(E18*(1-EXP(-E22)))/E22</f>
        <v>7.7282241517160104</v>
      </c>
      <c r="F23" s="4" t="s">
        <v>43</v>
      </c>
      <c r="G23" s="5">
        <f ca="1">((E23/1000)*(1+(B16/1000))+(B16/1000))*1000</f>
        <v>2.5182692328516381</v>
      </c>
      <c r="AC23">
        <v>48</v>
      </c>
      <c r="AG23" t="s">
        <v>83</v>
      </c>
      <c r="AI23" t="s">
        <v>258</v>
      </c>
      <c r="AK23">
        <v>925</v>
      </c>
      <c r="AM23" t="s">
        <v>254</v>
      </c>
      <c r="AQ23" s="26" t="s">
        <v>256</v>
      </c>
    </row>
    <row r="24" spans="1:43" ht="13" thickBot="1">
      <c r="A24" t="s">
        <v>15</v>
      </c>
      <c r="B24" s="11">
        <f ca="1">0.000000119*(EXP(-(637/(K10-137))))</f>
        <v>1.8552023220389644E-9</v>
      </c>
      <c r="AC24">
        <v>49</v>
      </c>
      <c r="AG24" t="s">
        <v>223</v>
      </c>
      <c r="AI24" t="s">
        <v>227</v>
      </c>
      <c r="AK24">
        <v>79.900000000000006</v>
      </c>
      <c r="AM24" t="s">
        <v>254</v>
      </c>
      <c r="AQ24" s="26" t="s">
        <v>256</v>
      </c>
    </row>
    <row r="25" spans="1:43">
      <c r="I25" t="s">
        <v>204</v>
      </c>
      <c r="AC25">
        <v>50</v>
      </c>
    </row>
    <row r="26" spans="1:43">
      <c r="A26" s="1" t="s">
        <v>55</v>
      </c>
      <c r="I26" t="s">
        <v>66</v>
      </c>
      <c r="J26" t="s">
        <v>67</v>
      </c>
      <c r="AC26">
        <v>51</v>
      </c>
      <c r="AG26" s="24" t="s">
        <v>210</v>
      </c>
    </row>
    <row r="27" spans="1:43">
      <c r="A27" t="s">
        <v>0</v>
      </c>
      <c r="D27" t="s">
        <v>1</v>
      </c>
      <c r="I27">
        <v>31.82</v>
      </c>
      <c r="J27">
        <v>1.73</v>
      </c>
      <c r="AC27">
        <v>52</v>
      </c>
      <c r="AG27" t="s">
        <v>219</v>
      </c>
      <c r="AI27" t="s">
        <v>226</v>
      </c>
      <c r="AK27">
        <v>1.4999999999999999E-2</v>
      </c>
      <c r="AM27" t="s">
        <v>243</v>
      </c>
      <c r="AQ27" t="s">
        <v>269</v>
      </c>
    </row>
    <row r="28" spans="1:43">
      <c r="A28" t="s">
        <v>30</v>
      </c>
      <c r="B28" s="9">
        <v>27</v>
      </c>
      <c r="D28" s="12" t="s">
        <v>34</v>
      </c>
      <c r="E28" s="13">
        <f ca="1">E23+B28</f>
        <v>34.728224151716013</v>
      </c>
      <c r="F28" s="12" t="s">
        <v>44</v>
      </c>
      <c r="G28" s="14">
        <f ca="1">((E28/1000)*(1+(B16/1000))+(B16/1000))*1000</f>
        <v>29.378679232851638</v>
      </c>
      <c r="K28" t="s">
        <v>68</v>
      </c>
      <c r="M28" t="s">
        <v>69</v>
      </c>
      <c r="N28">
        <f>STDEV(N31:N58)</f>
        <v>0.45627604658565052</v>
      </c>
      <c r="AC28">
        <v>53</v>
      </c>
      <c r="AG28" t="s">
        <v>211</v>
      </c>
      <c r="AI28" t="s">
        <v>226</v>
      </c>
      <c r="AK28">
        <v>7.7000000000000002E-3</v>
      </c>
      <c r="AM28" t="s">
        <v>242</v>
      </c>
    </row>
    <row r="29" spans="1:43">
      <c r="A29" s="4" t="s">
        <v>32</v>
      </c>
      <c r="B29" s="8">
        <v>9</v>
      </c>
      <c r="N29">
        <f>AVERAGE(N31:N58)</f>
        <v>28.467857142857138</v>
      </c>
      <c r="AC29">
        <v>54</v>
      </c>
      <c r="AG29" t="s">
        <v>217</v>
      </c>
      <c r="AI29" t="s">
        <v>233</v>
      </c>
      <c r="AK29" s="27" t="s">
        <v>264</v>
      </c>
      <c r="AM29" t="s">
        <v>267</v>
      </c>
      <c r="AQ29" t="s">
        <v>268</v>
      </c>
    </row>
    <row r="30" spans="1:43" ht="18">
      <c r="A30" t="s">
        <v>31</v>
      </c>
      <c r="B30" s="8">
        <v>0.45</v>
      </c>
      <c r="D30" s="12" t="s">
        <v>33</v>
      </c>
      <c r="E30" s="13">
        <f ca="1">(E23*(1-(B30*B31)))+B28</f>
        <v>32.78071166548358</v>
      </c>
      <c r="F30" s="12" t="s">
        <v>45</v>
      </c>
      <c r="G30" s="34">
        <f ca="1">((E30/1000)*(1+(B16/1000))+(B16/1000))*1000</f>
        <v>27.441235386173034</v>
      </c>
      <c r="I30" s="2"/>
      <c r="L30" t="s">
        <v>72</v>
      </c>
      <c r="M30" t="s">
        <v>100</v>
      </c>
      <c r="N30" t="s">
        <v>77</v>
      </c>
      <c r="O30" t="s">
        <v>72</v>
      </c>
      <c r="P30" t="s">
        <v>70</v>
      </c>
      <c r="Q30" t="s">
        <v>71</v>
      </c>
      <c r="S30" t="s">
        <v>73</v>
      </c>
      <c r="T30" t="s">
        <v>74</v>
      </c>
      <c r="U30" t="s">
        <v>75</v>
      </c>
      <c r="V30" t="s">
        <v>76</v>
      </c>
      <c r="AC30">
        <v>55</v>
      </c>
      <c r="AG30" t="s">
        <v>234</v>
      </c>
      <c r="AI30" t="s">
        <v>236</v>
      </c>
      <c r="AK30">
        <v>0.45</v>
      </c>
      <c r="AM30" t="s">
        <v>237</v>
      </c>
      <c r="AQ30" t="s">
        <v>240</v>
      </c>
    </row>
    <row r="31" spans="1:43">
      <c r="A31" t="s">
        <v>36</v>
      </c>
      <c r="B31" s="8">
        <v>0.56000000000000005</v>
      </c>
      <c r="D31" s="12" t="s">
        <v>53</v>
      </c>
      <c r="E31" s="13">
        <f ca="1">E30-B29</f>
        <v>23.78071166548358</v>
      </c>
      <c r="F31" s="12" t="s">
        <v>54</v>
      </c>
      <c r="G31" s="14">
        <f ca="1">((E31/1000)*(1+(B16/1000))+(B16/1000))*1000</f>
        <v>18.487765386173031</v>
      </c>
      <c r="L31">
        <v>2009</v>
      </c>
      <c r="M31">
        <f>(N31-$N$29)/$N$28</f>
        <v>-2.3403751979706109</v>
      </c>
      <c r="N31" s="2">
        <v>27.4</v>
      </c>
      <c r="O31">
        <v>2009</v>
      </c>
      <c r="P31">
        <v>-0.29035758142525425</v>
      </c>
      <c r="Q31">
        <v>1.4218073176898842</v>
      </c>
      <c r="R31">
        <v>-0.16936628209470328</v>
      </c>
      <c r="S31">
        <v>84.4</v>
      </c>
      <c r="T31" s="3">
        <v>14.266666666666666</v>
      </c>
      <c r="U31" s="2">
        <v>1015.3333333333334</v>
      </c>
      <c r="V31" s="2">
        <v>5.3999999999999995</v>
      </c>
      <c r="AC31">
        <v>56</v>
      </c>
      <c r="AG31" t="s">
        <v>235</v>
      </c>
      <c r="AI31" t="s">
        <v>236</v>
      </c>
      <c r="AK31">
        <v>0.56000000000000005</v>
      </c>
      <c r="AM31" t="s">
        <v>241</v>
      </c>
      <c r="AQ31" t="s">
        <v>255</v>
      </c>
    </row>
    <row r="32" spans="1:43">
      <c r="L32">
        <v>2008</v>
      </c>
      <c r="M32">
        <f t="shared" ref="M32:M58" si="0">(N32-$N$29)/$N$28</f>
        <v>7.0446076193105986E-2</v>
      </c>
      <c r="N32" s="2">
        <v>28.5</v>
      </c>
      <c r="O32">
        <v>2008</v>
      </c>
      <c r="P32">
        <v>0.23922639121805345</v>
      </c>
      <c r="Q32">
        <v>0.70399440543863179</v>
      </c>
      <c r="R32">
        <v>-0.82179139681122615</v>
      </c>
      <c r="S32">
        <v>79.8</v>
      </c>
      <c r="T32" s="3">
        <v>14.633333333333333</v>
      </c>
      <c r="U32" s="2">
        <v>1018.3000000000001</v>
      </c>
      <c r="V32" s="2">
        <v>5.3</v>
      </c>
      <c r="AC32">
        <v>57</v>
      </c>
    </row>
    <row r="33" spans="1:40">
      <c r="L33">
        <v>2007</v>
      </c>
      <c r="M33">
        <f t="shared" si="0"/>
        <v>1.1662739280857031</v>
      </c>
      <c r="N33" s="2">
        <v>29</v>
      </c>
      <c r="O33">
        <v>2007</v>
      </c>
      <c r="P33">
        <v>0.64452525464297761</v>
      </c>
      <c r="Q33">
        <v>0.43667433977876147</v>
      </c>
      <c r="R33">
        <v>-0.16630718319828436</v>
      </c>
      <c r="S33">
        <v>78.400000000000006</v>
      </c>
      <c r="T33" s="3">
        <v>14.433333333333332</v>
      </c>
      <c r="U33" s="2">
        <v>1017.1</v>
      </c>
      <c r="V33" s="2">
        <v>4.9333333333333327</v>
      </c>
      <c r="AC33">
        <v>58</v>
      </c>
    </row>
    <row r="34" spans="1:40">
      <c r="L34">
        <v>2006</v>
      </c>
      <c r="M34">
        <f t="shared" si="0"/>
        <v>-0.8062162053209686</v>
      </c>
      <c r="N34" s="2">
        <v>28.1</v>
      </c>
      <c r="O34">
        <v>2006</v>
      </c>
      <c r="P34">
        <v>-1.1160250045780256</v>
      </c>
      <c r="Q34">
        <v>1.6101921141930626</v>
      </c>
      <c r="R34">
        <v>-1.3842537895437046E-2</v>
      </c>
      <c r="S34">
        <v>81.25</v>
      </c>
      <c r="T34" s="3">
        <v>14.800000000000002</v>
      </c>
      <c r="U34" s="2">
        <v>1018.6999999999999</v>
      </c>
      <c r="V34" s="2">
        <v>5.3666666666666671</v>
      </c>
    </row>
    <row r="35" spans="1:40">
      <c r="L35">
        <v>2005</v>
      </c>
      <c r="M35">
        <f t="shared" si="0"/>
        <v>-0.58705063494245391</v>
      </c>
      <c r="N35" s="2">
        <v>28.2</v>
      </c>
      <c r="O35">
        <v>2005</v>
      </c>
      <c r="P35">
        <v>-0.28880099197417497</v>
      </c>
      <c r="Q35">
        <v>1.0231984346131211</v>
      </c>
      <c r="R35">
        <v>-0.15409241471607016</v>
      </c>
      <c r="S35">
        <v>81.3</v>
      </c>
      <c r="T35" s="3">
        <v>15.066666666666668</v>
      </c>
      <c r="U35" s="2">
        <v>1016.1666666666666</v>
      </c>
      <c r="V35" s="2">
        <v>4.9333333333333336</v>
      </c>
    </row>
    <row r="36" spans="1:40" ht="18">
      <c r="C36" t="s">
        <v>231</v>
      </c>
      <c r="J36" s="23">
        <v>31</v>
      </c>
      <c r="L36">
        <v>2004</v>
      </c>
      <c r="M36">
        <f t="shared" si="0"/>
        <v>0.28961164657162852</v>
      </c>
      <c r="N36" s="2">
        <v>28.6</v>
      </c>
      <c r="O36">
        <v>2004</v>
      </c>
      <c r="P36">
        <v>0.19530480172227757</v>
      </c>
      <c r="Q36">
        <v>0.59271123876898235</v>
      </c>
      <c r="R36">
        <v>-0.1499196361171608</v>
      </c>
      <c r="S36">
        <v>79.2</v>
      </c>
      <c r="T36" s="3">
        <v>14.300000000000002</v>
      </c>
      <c r="U36" s="2">
        <v>1017</v>
      </c>
      <c r="V36" s="2">
        <v>5.6000000000000005</v>
      </c>
    </row>
    <row r="37" spans="1:40">
      <c r="C37">
        <f>3.86/1000</f>
        <v>3.8599999999999997E-3</v>
      </c>
      <c r="E37">
        <f>C37*100</f>
        <v>0.38599999999999995</v>
      </c>
      <c r="L37">
        <v>2003</v>
      </c>
      <c r="M37">
        <f t="shared" si="0"/>
        <v>-0.58705063494245391</v>
      </c>
      <c r="N37" s="2">
        <v>28.2</v>
      </c>
      <c r="O37">
        <v>2003</v>
      </c>
      <c r="P37">
        <v>-0.71034174115305881</v>
      </c>
      <c r="Q37">
        <v>0.86913085120816502</v>
      </c>
      <c r="R37">
        <v>-1.6550631106982822E-2</v>
      </c>
      <c r="S37">
        <v>81</v>
      </c>
      <c r="T37" s="3">
        <v>14.433333333333332</v>
      </c>
      <c r="U37" s="2">
        <v>1012.9666666666667</v>
      </c>
      <c r="V37" s="2">
        <v>5.6333333333333329</v>
      </c>
    </row>
    <row r="38" spans="1:40">
      <c r="A38" t="s">
        <v>246</v>
      </c>
      <c r="B38">
        <f>-4.17*0.0020052</f>
        <v>-8.3616839999999994E-3</v>
      </c>
      <c r="L38">
        <v>2002</v>
      </c>
      <c r="M38">
        <f t="shared" si="0"/>
        <v>2.2621017799783005</v>
      </c>
      <c r="N38" s="2">
        <v>29.5</v>
      </c>
      <c r="O38">
        <v>2002</v>
      </c>
      <c r="P38">
        <v>0.50458552351828767</v>
      </c>
      <c r="Q38">
        <v>0.49878136778151644</v>
      </c>
      <c r="R38">
        <v>0.39606709097348247</v>
      </c>
      <c r="S38">
        <v>75.7</v>
      </c>
      <c r="T38" s="3">
        <v>13.9</v>
      </c>
      <c r="U38" s="2">
        <v>1015.8666666666668</v>
      </c>
      <c r="V38" s="2">
        <v>5.8</v>
      </c>
    </row>
    <row r="39" spans="1:40">
      <c r="A39" t="s">
        <v>247</v>
      </c>
      <c r="B39">
        <f ca="1">(D45+1)*B38</f>
        <v>7.5741070199287316E-2</v>
      </c>
      <c r="L39">
        <v>2001</v>
      </c>
      <c r="M39">
        <f t="shared" si="0"/>
        <v>0.28961164657162852</v>
      </c>
      <c r="N39" s="2">
        <v>28.6</v>
      </c>
      <c r="O39">
        <v>2001</v>
      </c>
      <c r="P39">
        <v>-3.7464421974805262E-2</v>
      </c>
      <c r="Q39">
        <v>0.87884329652132287</v>
      </c>
      <c r="R39">
        <v>0.15740446073118192</v>
      </c>
      <c r="S39">
        <v>79.7</v>
      </c>
      <c r="T39" s="3">
        <v>15.4</v>
      </c>
      <c r="U39" s="2">
        <v>1017.3333333333334</v>
      </c>
      <c r="V39" s="2">
        <v>4.833333333333333</v>
      </c>
      <c r="AJ39">
        <f>26*2</f>
        <v>52</v>
      </c>
    </row>
    <row r="40" spans="1:40">
      <c r="A40" t="s">
        <v>248</v>
      </c>
      <c r="B40">
        <f ca="1">(B39/B38)-1</f>
        <v>-10.058112002233919</v>
      </c>
      <c r="L40">
        <v>2000</v>
      </c>
      <c r="M40">
        <f t="shared" si="0"/>
        <v>0.9471083577071806</v>
      </c>
      <c r="N40" s="2">
        <v>28.9</v>
      </c>
      <c r="O40">
        <v>2000</v>
      </c>
      <c r="P40">
        <v>0.77435223700628542</v>
      </c>
      <c r="Q40">
        <v>0.55719632761098647</v>
      </c>
      <c r="R40">
        <v>0.65528041456549535</v>
      </c>
      <c r="S40">
        <v>78.349999999999994</v>
      </c>
      <c r="T40" s="3">
        <v>14.333333333333334</v>
      </c>
      <c r="U40" s="2">
        <v>1015.1</v>
      </c>
      <c r="V40" s="2">
        <v>5.5333333333333341</v>
      </c>
    </row>
    <row r="41" spans="1:40">
      <c r="A41">
        <f ca="1">B6</f>
        <v>14.266666666666666</v>
      </c>
      <c r="G41">
        <v>-5.17</v>
      </c>
      <c r="H41" t="s">
        <v>82</v>
      </c>
      <c r="L41">
        <v>1999</v>
      </c>
      <c r="M41">
        <f t="shared" si="0"/>
        <v>0.28961164657162852</v>
      </c>
      <c r="N41" s="2">
        <v>28.6</v>
      </c>
      <c r="O41">
        <v>1999</v>
      </c>
      <c r="P41">
        <v>-5.2562258160025466E-2</v>
      </c>
      <c r="Q41">
        <v>1.0292822060421318</v>
      </c>
      <c r="R41">
        <v>0.49432149286057303</v>
      </c>
      <c r="S41">
        <v>79.75</v>
      </c>
      <c r="T41" s="3">
        <v>15.066666666666668</v>
      </c>
      <c r="U41" s="2">
        <v>1019.6</v>
      </c>
      <c r="V41" s="2">
        <v>4.7</v>
      </c>
    </row>
    <row r="42" spans="1:40">
      <c r="L42">
        <v>1998</v>
      </c>
      <c r="M42">
        <f t="shared" si="0"/>
        <v>-0.36788506456393133</v>
      </c>
      <c r="N42" s="2">
        <v>28.3</v>
      </c>
      <c r="O42">
        <v>1998</v>
      </c>
      <c r="P42">
        <v>-0.27364719536540277</v>
      </c>
      <c r="Q42">
        <v>0.86694427490582371</v>
      </c>
      <c r="R42">
        <v>0.72719431566225523</v>
      </c>
      <c r="S42">
        <v>80.150000000000006</v>
      </c>
      <c r="T42" s="3">
        <v>15.466666666666667</v>
      </c>
      <c r="U42" s="2">
        <v>1017.6666666666666</v>
      </c>
      <c r="V42" s="2">
        <v>5.6000000000000005</v>
      </c>
    </row>
    <row r="43" spans="1:40">
      <c r="L43">
        <v>1997</v>
      </c>
      <c r="M43">
        <f t="shared" si="0"/>
        <v>-0.8062162053209686</v>
      </c>
      <c r="N43" s="2">
        <v>28.1</v>
      </c>
      <c r="O43">
        <v>1997</v>
      </c>
      <c r="P43">
        <v>-0.45727055550893159</v>
      </c>
      <c r="Q43">
        <v>1.0197079232845874</v>
      </c>
      <c r="R43">
        <v>0.56564976863266991</v>
      </c>
      <c r="S43">
        <v>81.45</v>
      </c>
      <c r="T43" s="3">
        <v>14.233333333333334</v>
      </c>
      <c r="U43" s="2">
        <v>1016.4</v>
      </c>
      <c r="V43" s="2">
        <v>5.833333333333333</v>
      </c>
    </row>
    <row r="44" spans="1:40">
      <c r="A44">
        <f ca="1">A41+273.16</f>
        <v>287.42666666666668</v>
      </c>
      <c r="L44">
        <v>1996</v>
      </c>
      <c r="M44">
        <f t="shared" si="0"/>
        <v>7.0446076193105986E-2</v>
      </c>
      <c r="N44" s="2">
        <v>28.5</v>
      </c>
      <c r="O44">
        <v>1996</v>
      </c>
      <c r="P44">
        <v>-0.1419323445225506</v>
      </c>
      <c r="Q44">
        <v>1.6513844891148475</v>
      </c>
      <c r="R44">
        <v>-6.7595328600372567E-2</v>
      </c>
      <c r="S44">
        <v>79.7</v>
      </c>
      <c r="T44" s="3">
        <v>14.866666666666667</v>
      </c>
      <c r="U44" s="2">
        <v>1015.2666666666668</v>
      </c>
      <c r="V44" s="2">
        <v>5.3999999999999995</v>
      </c>
    </row>
    <row r="45" spans="1:40">
      <c r="A45" t="s">
        <v>78</v>
      </c>
      <c r="B45">
        <f ca="1">2.644-3.206*(1000/A44)+1.534*(1000000/(A44*A44))</f>
        <v>10.058112002233919</v>
      </c>
      <c r="C45" t="s">
        <v>81</v>
      </c>
      <c r="D45">
        <f ca="1">B45*-1</f>
        <v>-10.058112002233919</v>
      </c>
      <c r="G45">
        <f ca="1">(D45+1)*E47</f>
        <v>7.5741070199287316E-2</v>
      </c>
      <c r="L45">
        <v>1995</v>
      </c>
      <c r="M45">
        <f t="shared" si="0"/>
        <v>-0.14871949418541655</v>
      </c>
      <c r="N45" s="2">
        <v>28.4</v>
      </c>
      <c r="O45">
        <v>1995</v>
      </c>
      <c r="P45">
        <v>-6.7595328600372567E-2</v>
      </c>
      <c r="Q45">
        <v>0.57174003083917102</v>
      </c>
      <c r="R45">
        <v>-0.1419323445225506</v>
      </c>
      <c r="S45">
        <v>80.8</v>
      </c>
      <c r="T45" s="3">
        <v>14.233333333333334</v>
      </c>
      <c r="U45" s="2">
        <v>1017.6333333333333</v>
      </c>
      <c r="V45" s="2">
        <v>4.9333333333333336</v>
      </c>
    </row>
    <row r="46" spans="1:40">
      <c r="E46" t="s">
        <v>244</v>
      </c>
      <c r="L46">
        <v>1994</v>
      </c>
      <c r="M46">
        <f t="shared" si="0"/>
        <v>-0.36788506456393133</v>
      </c>
      <c r="N46" s="2">
        <v>28.3</v>
      </c>
      <c r="O46">
        <v>1994</v>
      </c>
      <c r="P46">
        <v>0.56564976863266991</v>
      </c>
      <c r="Q46">
        <v>0.40419612619559475</v>
      </c>
      <c r="R46">
        <v>-0.45727055550893159</v>
      </c>
      <c r="S46">
        <v>80.349999999999994</v>
      </c>
      <c r="T46" s="3">
        <v>13.833333333333334</v>
      </c>
      <c r="U46" s="2">
        <v>1012.7666666666668</v>
      </c>
      <c r="V46" s="2">
        <v>6.333333333333333</v>
      </c>
    </row>
    <row r="47" spans="1:40">
      <c r="A47" t="s">
        <v>245</v>
      </c>
      <c r="E47">
        <f>(B16+1)*0.0020052</f>
        <v>-8.3616839999999994E-3</v>
      </c>
      <c r="L47">
        <v>1993</v>
      </c>
      <c r="M47">
        <f t="shared" si="0"/>
        <v>2.0429362095997776</v>
      </c>
      <c r="N47" s="2">
        <v>29.4</v>
      </c>
      <c r="O47">
        <v>1993</v>
      </c>
      <c r="P47">
        <v>0.72719431566225523</v>
      </c>
      <c r="Q47">
        <v>0.4845012562344802</v>
      </c>
      <c r="R47">
        <v>-0.27364719536540277</v>
      </c>
      <c r="S47">
        <v>76.05</v>
      </c>
      <c r="T47" s="25">
        <v>14.6</v>
      </c>
      <c r="U47" s="2">
        <v>1016.5666666666666</v>
      </c>
      <c r="V47" s="2">
        <v>5.5</v>
      </c>
    </row>
    <row r="48" spans="1:40">
      <c r="A48">
        <f ca="1">(D45+1)</f>
        <v>-9.0581120022339192</v>
      </c>
      <c r="L48">
        <v>1992</v>
      </c>
      <c r="M48">
        <f t="shared" si="0"/>
        <v>-0.36788506456393133</v>
      </c>
      <c r="N48" s="2">
        <v>28.3</v>
      </c>
      <c r="O48">
        <v>1992</v>
      </c>
      <c r="P48">
        <v>0.49432149286057303</v>
      </c>
      <c r="Q48">
        <v>0.55823748499546921</v>
      </c>
      <c r="R48">
        <v>-5.2562258160025466E-2</v>
      </c>
      <c r="S48">
        <v>80.3</v>
      </c>
      <c r="T48" s="3">
        <v>14.166666666666666</v>
      </c>
      <c r="U48" s="2">
        <v>1012.5</v>
      </c>
      <c r="V48" s="2">
        <v>6.1333333333333329</v>
      </c>
      <c r="AM48">
        <v>3.8600000000000001E-3</v>
      </c>
      <c r="AN48">
        <f>AM48*100</f>
        <v>0.38600000000000001</v>
      </c>
    </row>
    <row r="49" spans="1:43">
      <c r="A49">
        <f ca="1">A48*E47</f>
        <v>7.5741070199287316E-2</v>
      </c>
      <c r="L49">
        <v>1991</v>
      </c>
      <c r="M49">
        <f t="shared" si="0"/>
        <v>-0.14871949418541655</v>
      </c>
      <c r="N49" s="2">
        <v>28.4</v>
      </c>
      <c r="O49">
        <v>1991</v>
      </c>
      <c r="P49">
        <v>0.65528041456549535</v>
      </c>
      <c r="Q49">
        <v>0.3936999563804473</v>
      </c>
      <c r="R49">
        <v>0.77435223700628542</v>
      </c>
      <c r="S49">
        <v>78.7</v>
      </c>
      <c r="T49" s="3">
        <v>14.5</v>
      </c>
      <c r="U49" s="2">
        <v>1011.5333333333333</v>
      </c>
      <c r="V49" s="2">
        <v>7.2333333333333334</v>
      </c>
      <c r="AH49" t="s">
        <v>232</v>
      </c>
    </row>
    <row r="50" spans="1:43">
      <c r="B50" t="s">
        <v>79</v>
      </c>
      <c r="C50" t="s">
        <v>80</v>
      </c>
      <c r="L50">
        <v>1990</v>
      </c>
      <c r="M50">
        <f t="shared" si="0"/>
        <v>0.7279427873286658</v>
      </c>
      <c r="N50" s="2">
        <v>28.8</v>
      </c>
      <c r="O50">
        <v>1990</v>
      </c>
      <c r="P50">
        <v>0.15740446073118192</v>
      </c>
      <c r="Q50">
        <v>1.1044258274052983</v>
      </c>
      <c r="R50">
        <v>-3.7464421974805262E-2</v>
      </c>
      <c r="S50">
        <v>78.900000000000006</v>
      </c>
      <c r="T50" s="3">
        <v>14.966666666666667</v>
      </c>
      <c r="U50" s="2">
        <v>1017</v>
      </c>
      <c r="V50" s="2">
        <v>5.0666666666666673</v>
      </c>
    </row>
    <row r="51" spans="1:43">
      <c r="L51">
        <v>1989</v>
      </c>
      <c r="M51">
        <f t="shared" si="0"/>
        <v>0.50877721695014333</v>
      </c>
      <c r="N51" s="2">
        <v>28.7</v>
      </c>
      <c r="O51">
        <v>1989</v>
      </c>
      <c r="P51">
        <v>0.39606709097348247</v>
      </c>
      <c r="Q51">
        <v>0.38322260984045381</v>
      </c>
      <c r="R51">
        <v>0.50458552351828767</v>
      </c>
      <c r="S51">
        <v>77.849999999999994</v>
      </c>
      <c r="T51" s="3">
        <v>15.800000000000002</v>
      </c>
      <c r="U51" s="2">
        <v>1014.5333333333333</v>
      </c>
      <c r="V51" s="2">
        <v>6.2</v>
      </c>
    </row>
    <row r="52" spans="1:43">
      <c r="L52">
        <v>1988</v>
      </c>
      <c r="M52">
        <f t="shared" si="0"/>
        <v>-0.36788506456393133</v>
      </c>
      <c r="N52" s="2">
        <v>28.3</v>
      </c>
      <c r="O52">
        <v>1988</v>
      </c>
      <c r="P52">
        <v>-1.6550631106982822E-2</v>
      </c>
      <c r="Q52">
        <v>0.89498866890508966</v>
      </c>
      <c r="R52">
        <v>-0.71034174115305881</v>
      </c>
      <c r="S52">
        <v>79.099999999999994</v>
      </c>
      <c r="T52" s="3">
        <v>15.266666666666666</v>
      </c>
      <c r="U52" s="2">
        <v>1016.4</v>
      </c>
      <c r="V52" s="2">
        <v>6.9000000000000012</v>
      </c>
    </row>
    <row r="53" spans="1:43">
      <c r="L53">
        <v>1987</v>
      </c>
      <c r="M53">
        <f t="shared" si="0"/>
        <v>-0.58705063494245391</v>
      </c>
      <c r="N53" s="2">
        <v>28.2</v>
      </c>
      <c r="O53">
        <v>1987</v>
      </c>
      <c r="P53">
        <v>-0.1499196361171608</v>
      </c>
      <c r="Q53">
        <v>0.8242937275895218</v>
      </c>
      <c r="R53">
        <v>0.19530480172227757</v>
      </c>
      <c r="S53">
        <v>80.099999999999994</v>
      </c>
      <c r="T53" s="3">
        <v>14.700000000000001</v>
      </c>
      <c r="U53" s="2">
        <v>1014.7666666666668</v>
      </c>
      <c r="V53" s="2">
        <v>6.5333333333333341</v>
      </c>
      <c r="AH53" t="s">
        <v>205</v>
      </c>
    </row>
    <row r="54" spans="1:43">
      <c r="L54">
        <v>1986</v>
      </c>
      <c r="M54">
        <f t="shared" si="0"/>
        <v>7.0446076193105986E-2</v>
      </c>
      <c r="N54" s="2">
        <v>28.5</v>
      </c>
      <c r="O54">
        <v>1986</v>
      </c>
      <c r="P54">
        <v>-0.15409241471607016</v>
      </c>
      <c r="Q54">
        <v>1.1135397275602175</v>
      </c>
      <c r="R54">
        <v>-0.28880099197417497</v>
      </c>
      <c r="S54">
        <v>79.400000000000006</v>
      </c>
      <c r="T54" s="3">
        <v>14.6</v>
      </c>
      <c r="U54" s="2">
        <v>1013.9</v>
      </c>
      <c r="V54" s="2">
        <v>5.9666666666666659</v>
      </c>
      <c r="AP54">
        <v>0.56000000000000005</v>
      </c>
      <c r="AQ54" t="s">
        <v>235</v>
      </c>
    </row>
    <row r="55" spans="1:43">
      <c r="A55" t="s">
        <v>91</v>
      </c>
      <c r="B55" t="s">
        <v>83</v>
      </c>
      <c r="L55">
        <v>1985</v>
      </c>
      <c r="M55">
        <f t="shared" si="0"/>
        <v>7.0446076193105986E-2</v>
      </c>
      <c r="N55" s="2">
        <v>28.5</v>
      </c>
      <c r="O55">
        <v>1985</v>
      </c>
      <c r="P55">
        <v>-1.3842537895437046E-2</v>
      </c>
      <c r="Q55">
        <v>0.70532841683025749</v>
      </c>
      <c r="R55">
        <v>-1.1160250045780256</v>
      </c>
      <c r="S55">
        <v>79.3</v>
      </c>
      <c r="T55" s="3">
        <v>14.200000000000001</v>
      </c>
      <c r="U55" s="2">
        <v>1018.6</v>
      </c>
      <c r="V55" s="2">
        <v>6.3666666666666671</v>
      </c>
      <c r="AH55">
        <v>0.1</v>
      </c>
      <c r="AI55" t="s">
        <v>209</v>
      </c>
      <c r="AK55" t="s">
        <v>208</v>
      </c>
      <c r="AP55">
        <v>0.45</v>
      </c>
      <c r="AQ55" t="s">
        <v>234</v>
      </c>
    </row>
    <row r="56" spans="1:43">
      <c r="L56">
        <v>1984</v>
      </c>
      <c r="M56">
        <f t="shared" si="0"/>
        <v>1.1662739280857031</v>
      </c>
      <c r="N56" s="2">
        <v>29</v>
      </c>
      <c r="O56">
        <v>1984</v>
      </c>
      <c r="P56">
        <v>-0.16630718319828436</v>
      </c>
      <c r="Q56">
        <v>1.2293521957105378</v>
      </c>
      <c r="R56">
        <v>0.64452525464297761</v>
      </c>
      <c r="S56">
        <v>80.150000000000006</v>
      </c>
      <c r="T56" s="3">
        <v>14.466666666666669</v>
      </c>
      <c r="U56" s="2">
        <v>1017.7000000000002</v>
      </c>
      <c r="V56" s="2">
        <v>3.6</v>
      </c>
      <c r="AH56">
        <v>6.3E-2</v>
      </c>
      <c r="AI56" t="s">
        <v>206</v>
      </c>
      <c r="AK56" t="s">
        <v>207</v>
      </c>
    </row>
    <row r="57" spans="1:43">
      <c r="C57">
        <f>2500*0.6</f>
        <v>1500</v>
      </c>
      <c r="L57">
        <v>1983</v>
      </c>
      <c r="M57">
        <f t="shared" si="0"/>
        <v>-2.1212096275920884</v>
      </c>
      <c r="N57" s="2">
        <v>27.5</v>
      </c>
      <c r="O57">
        <v>1983</v>
      </c>
      <c r="P57">
        <v>-0.82179139681122615</v>
      </c>
      <c r="Q57">
        <v>1.0916486584284206</v>
      </c>
      <c r="R57">
        <v>0.23922639121805345</v>
      </c>
      <c r="S57">
        <v>83.7</v>
      </c>
      <c r="T57" s="3">
        <v>14.666666666666666</v>
      </c>
      <c r="U57" s="2">
        <v>1017.4</v>
      </c>
      <c r="V57" s="2">
        <v>5.5</v>
      </c>
      <c r="AH57">
        <v>0.19</v>
      </c>
      <c r="AI57" t="s">
        <v>224</v>
      </c>
      <c r="AK57" t="s">
        <v>225</v>
      </c>
      <c r="AP57">
        <f>AP54*AP55</f>
        <v>0.25200000000000006</v>
      </c>
    </row>
    <row r="58" spans="1:43">
      <c r="K58">
        <f>COUNT(L31:L57)</f>
        <v>27</v>
      </c>
      <c r="L58">
        <v>1982</v>
      </c>
      <c r="M58">
        <f t="shared" si="0"/>
        <v>-0.36788506456393133</v>
      </c>
      <c r="N58" s="2">
        <v>28.3</v>
      </c>
      <c r="O58">
        <v>1982</v>
      </c>
      <c r="P58">
        <v>-0.16936628209470328</v>
      </c>
      <c r="Q58">
        <v>0.67322331513603362</v>
      </c>
      <c r="R58">
        <v>-0.29035758142525425</v>
      </c>
      <c r="S58">
        <v>81.25</v>
      </c>
      <c r="T58" s="3">
        <v>13.966666666666667</v>
      </c>
      <c r="U58" s="2">
        <v>1016.1333333333332</v>
      </c>
      <c r="V58" s="2">
        <v>5.3</v>
      </c>
    </row>
    <row r="59" spans="1:43">
      <c r="A59" t="s">
        <v>92</v>
      </c>
    </row>
    <row r="60" spans="1:43">
      <c r="S60" s="3">
        <f>AVERAGE(S31:S58)</f>
        <v>79.860714285714266</v>
      </c>
      <c r="T60" s="3">
        <f>AVERAGE(T31:T58)</f>
        <v>14.613095238095241</v>
      </c>
      <c r="U60" s="3">
        <f t="shared" ref="U60:V60" si="1">AVERAGE(U31:U58)</f>
        <v>1016.079761904762</v>
      </c>
      <c r="V60" s="3">
        <f t="shared" si="1"/>
        <v>5.5869047619047629</v>
      </c>
    </row>
    <row r="61" spans="1:43">
      <c r="N61">
        <f>CORREL(M31:M58,P31:P58)</f>
        <v>0.64958929723820402</v>
      </c>
      <c r="Z61">
        <v>-15.61</v>
      </c>
      <c r="AA61">
        <v>-15.61</v>
      </c>
      <c r="AB61">
        <v>-15.61</v>
      </c>
      <c r="AC61">
        <v>-15.61</v>
      </c>
      <c r="AE61" t="s">
        <v>257</v>
      </c>
    </row>
    <row r="63" spans="1:43">
      <c r="J63" t="s">
        <v>203</v>
      </c>
      <c r="K63">
        <v>29.45</v>
      </c>
      <c r="L63">
        <v>29.57</v>
      </c>
      <c r="M63">
        <v>29.71</v>
      </c>
      <c r="N63">
        <v>31.33</v>
      </c>
      <c r="O63">
        <v>33.47</v>
      </c>
      <c r="P63">
        <v>28.35</v>
      </c>
      <c r="Q63" s="21">
        <v>28.44</v>
      </c>
      <c r="R63">
        <v>28.54</v>
      </c>
      <c r="S63">
        <v>29.77</v>
      </c>
      <c r="U63">
        <v>29.87</v>
      </c>
      <c r="V63">
        <v>31.6</v>
      </c>
      <c r="W63">
        <v>30.65</v>
      </c>
      <c r="X63">
        <v>30.65</v>
      </c>
      <c r="Z63">
        <v>29.25</v>
      </c>
      <c r="AA63">
        <v>27.89</v>
      </c>
      <c r="AB63">
        <v>29.25</v>
      </c>
      <c r="AC63">
        <v>28.84</v>
      </c>
      <c r="AE63">
        <v>28.47</v>
      </c>
    </row>
    <row r="64" spans="1:43">
      <c r="J64" t="s">
        <v>71</v>
      </c>
      <c r="K64">
        <v>0.31</v>
      </c>
      <c r="L64">
        <v>0.3</v>
      </c>
      <c r="M64">
        <v>0.31</v>
      </c>
      <c r="N64">
        <v>0.3</v>
      </c>
      <c r="O64">
        <v>0.3</v>
      </c>
      <c r="P64">
        <v>0.25</v>
      </c>
      <c r="Q64" s="21">
        <v>0.25</v>
      </c>
      <c r="R64">
        <v>0.25</v>
      </c>
      <c r="S64">
        <v>0.23</v>
      </c>
      <c r="U64">
        <v>0.38</v>
      </c>
      <c r="V64">
        <v>0.44</v>
      </c>
      <c r="W64">
        <v>0.4</v>
      </c>
      <c r="X64">
        <v>0.41</v>
      </c>
      <c r="Z64">
        <v>0.52</v>
      </c>
      <c r="AA64">
        <v>0.47</v>
      </c>
      <c r="AB64">
        <v>0.52</v>
      </c>
      <c r="AC64">
        <v>0.51</v>
      </c>
      <c r="AE64">
        <v>0.47</v>
      </c>
    </row>
    <row r="65" spans="1:38">
      <c r="J65" s="33" t="s">
        <v>197</v>
      </c>
      <c r="K65">
        <v>0.1</v>
      </c>
      <c r="L65">
        <v>0.1</v>
      </c>
      <c r="M65">
        <v>0.1</v>
      </c>
      <c r="N65">
        <v>0.1</v>
      </c>
      <c r="O65">
        <v>0.1</v>
      </c>
      <c r="P65">
        <v>0.25</v>
      </c>
      <c r="Q65" s="21">
        <v>0.25</v>
      </c>
      <c r="R65">
        <v>0.25</v>
      </c>
      <c r="S65">
        <v>0.25</v>
      </c>
      <c r="U65">
        <v>0.1</v>
      </c>
      <c r="V65">
        <v>0.1</v>
      </c>
      <c r="W65">
        <v>0.25</v>
      </c>
      <c r="X65">
        <v>0.25</v>
      </c>
      <c r="Z65">
        <v>0.25</v>
      </c>
      <c r="AA65">
        <v>0.25</v>
      </c>
      <c r="AB65">
        <v>0.1</v>
      </c>
      <c r="AC65">
        <v>0.1</v>
      </c>
      <c r="AE65">
        <v>0.25</v>
      </c>
    </row>
    <row r="66" spans="1:38">
      <c r="C66" t="s">
        <v>88</v>
      </c>
      <c r="F66">
        <v>2009</v>
      </c>
      <c r="G66">
        <v>-2.5126284302452584</v>
      </c>
      <c r="J66" t="s">
        <v>202</v>
      </c>
      <c r="K66">
        <v>0.57999999999999996</v>
      </c>
      <c r="L66">
        <v>0.56000000000000005</v>
      </c>
      <c r="M66">
        <v>0.57999999999999996</v>
      </c>
      <c r="N66" s="15">
        <v>0.4</v>
      </c>
      <c r="O66">
        <v>0.25</v>
      </c>
      <c r="P66">
        <v>0.62</v>
      </c>
      <c r="Q66" s="21">
        <v>0.6</v>
      </c>
      <c r="R66">
        <v>0.59</v>
      </c>
      <c r="S66">
        <v>0.49</v>
      </c>
      <c r="U66">
        <v>0.62</v>
      </c>
      <c r="V66">
        <v>0.62</v>
      </c>
      <c r="W66">
        <v>0.65</v>
      </c>
      <c r="X66">
        <v>0.65</v>
      </c>
      <c r="Z66">
        <v>0.65</v>
      </c>
      <c r="AA66">
        <v>0.65</v>
      </c>
      <c r="AB66">
        <v>0.61</v>
      </c>
      <c r="AC66">
        <v>0.63</v>
      </c>
      <c r="AE66">
        <v>0.65</v>
      </c>
      <c r="AI66" s="15"/>
    </row>
    <row r="67" spans="1:38" ht="15">
      <c r="F67">
        <v>2008</v>
      </c>
      <c r="G67">
        <v>8.488609561629841E-3</v>
      </c>
      <c r="J67" s="33" t="s">
        <v>239</v>
      </c>
      <c r="N67" s="15"/>
      <c r="Q67" s="22"/>
      <c r="U67">
        <v>0.38</v>
      </c>
      <c r="V67">
        <v>0.25</v>
      </c>
      <c r="W67">
        <v>0.25</v>
      </c>
      <c r="X67">
        <v>0.25</v>
      </c>
      <c r="Z67">
        <v>0.25</v>
      </c>
      <c r="AA67">
        <v>0.25</v>
      </c>
      <c r="AB67">
        <v>0.25</v>
      </c>
      <c r="AC67">
        <v>0.25</v>
      </c>
      <c r="AE67">
        <v>0.25</v>
      </c>
    </row>
    <row r="68" spans="1:38">
      <c r="A68">
        <f>13.5/3600</f>
        <v>3.7499999999999999E-3</v>
      </c>
      <c r="B68" t="s">
        <v>85</v>
      </c>
      <c r="F68">
        <v>2007</v>
      </c>
      <c r="G68">
        <v>0.92525844221868681</v>
      </c>
      <c r="J68" s="33" t="s">
        <v>83</v>
      </c>
      <c r="K68">
        <v>840</v>
      </c>
      <c r="L68">
        <v>880</v>
      </c>
      <c r="M68">
        <v>925</v>
      </c>
      <c r="N68" s="15">
        <v>1500</v>
      </c>
      <c r="O68">
        <v>2500</v>
      </c>
      <c r="P68">
        <v>840</v>
      </c>
      <c r="Q68" s="21">
        <v>880</v>
      </c>
      <c r="R68">
        <v>925</v>
      </c>
      <c r="S68" s="15">
        <v>1500</v>
      </c>
      <c r="U68">
        <v>840</v>
      </c>
      <c r="V68">
        <v>840</v>
      </c>
      <c r="W68">
        <v>840</v>
      </c>
      <c r="X68" s="15">
        <v>840</v>
      </c>
      <c r="Z68">
        <v>925</v>
      </c>
      <c r="AA68">
        <v>840</v>
      </c>
      <c r="AB68">
        <v>925</v>
      </c>
      <c r="AC68" s="15">
        <v>840</v>
      </c>
      <c r="AE68">
        <v>925</v>
      </c>
    </row>
    <row r="69" spans="1:38" ht="15">
      <c r="C69" t="s">
        <v>86</v>
      </c>
      <c r="F69">
        <v>2006</v>
      </c>
      <c r="G69">
        <v>-0.67908876493115267</v>
      </c>
      <c r="N69" s="15"/>
      <c r="Q69" s="22"/>
    </row>
    <row r="70" spans="1:38" ht="15">
      <c r="C70" t="s">
        <v>87</v>
      </c>
      <c r="F70">
        <v>2005</v>
      </c>
      <c r="G70">
        <v>-0.67908876493115267</v>
      </c>
      <c r="J70" t="s">
        <v>72</v>
      </c>
      <c r="K70" t="s">
        <v>100</v>
      </c>
      <c r="Q70" s="22"/>
    </row>
    <row r="71" spans="1:38">
      <c r="A71">
        <f>A68*1000000</f>
        <v>3750</v>
      </c>
      <c r="B71" t="s">
        <v>89</v>
      </c>
      <c r="F71">
        <v>2004</v>
      </c>
      <c r="G71">
        <v>0.4668735258901624</v>
      </c>
      <c r="J71">
        <v>2009</v>
      </c>
      <c r="K71" s="19">
        <v>-2.390149551687732</v>
      </c>
      <c r="L71" s="19">
        <v>-2.2412449150685174</v>
      </c>
      <c r="M71" s="19">
        <v>-2.3315051627656533</v>
      </c>
      <c r="N71" s="20">
        <v>-1.8010176893492367</v>
      </c>
      <c r="O71" s="19">
        <v>-1.2599433340846153</v>
      </c>
      <c r="P71" s="19">
        <v>-2.2184028982006083</v>
      </c>
      <c r="Q71" s="21">
        <v>-2.19</v>
      </c>
      <c r="R71" s="19">
        <v>-2.1909702523093602</v>
      </c>
      <c r="S71" s="19">
        <v>-2.0344092207667077</v>
      </c>
      <c r="T71" s="19"/>
      <c r="U71" s="19">
        <v>-2.2996289928115394</v>
      </c>
      <c r="V71" s="19">
        <v>-2.2570643815898266</v>
      </c>
      <c r="W71" s="19">
        <v>-2.3595729222922333</v>
      </c>
      <c r="X71" s="19">
        <v>-2.3261264165840245</v>
      </c>
      <c r="Y71" s="19"/>
      <c r="Z71" s="19">
        <v>-2.3318429274790979</v>
      </c>
      <c r="AA71">
        <v>-2.3185761271466157</v>
      </c>
      <c r="AB71" s="19">
        <v>-2.2162181996964563</v>
      </c>
      <c r="AC71" s="19">
        <v>-2.2330064220892138</v>
      </c>
      <c r="AD71" s="19"/>
      <c r="AE71" s="19">
        <v>-2.3403751979706109</v>
      </c>
    </row>
    <row r="72" spans="1:38">
      <c r="F72">
        <v>2003</v>
      </c>
      <c r="G72">
        <v>-0.67908876493115267</v>
      </c>
      <c r="J72">
        <v>2008</v>
      </c>
      <c r="K72" s="19">
        <v>0.16565392932489961</v>
      </c>
      <c r="L72" s="19">
        <v>0.41869410501280241</v>
      </c>
      <c r="M72" s="19">
        <v>0.27371554781993174</v>
      </c>
      <c r="N72" s="20">
        <v>0.22512721116866807</v>
      </c>
      <c r="O72" s="19">
        <v>0.42413934018690352</v>
      </c>
      <c r="P72" s="19">
        <v>0.20984892280277073</v>
      </c>
      <c r="Q72" s="21">
        <v>0.223</v>
      </c>
      <c r="R72" s="19">
        <v>0.207253942786014</v>
      </c>
      <c r="S72" s="19">
        <v>0.11125675426070838</v>
      </c>
      <c r="T72" s="19"/>
      <c r="U72" s="19">
        <v>7.5397671895460164E-2</v>
      </c>
      <c r="V72" s="19">
        <v>0.22570643815898669</v>
      </c>
      <c r="W72" s="19">
        <v>0.11488557299549119</v>
      </c>
      <c r="X72" s="19">
        <v>0.1316675330141861</v>
      </c>
      <c r="Y72" s="19"/>
      <c r="Z72" s="19">
        <v>8.636455286961299E-2</v>
      </c>
      <c r="AA72">
        <v>0.22731138501437539</v>
      </c>
      <c r="AB72" s="19">
        <v>9.6357313030267899E-2</v>
      </c>
      <c r="AC72" s="19">
        <v>0.12639658992957592</v>
      </c>
      <c r="AD72" s="19"/>
      <c r="AE72" s="19">
        <v>7.0446076193105986E-2</v>
      </c>
    </row>
    <row r="73" spans="1:38">
      <c r="A73">
        <f>A71*4.6</f>
        <v>17250</v>
      </c>
      <c r="B73" t="s">
        <v>90</v>
      </c>
      <c r="F73">
        <v>2002</v>
      </c>
      <c r="G73">
        <v>2.5296056493685262</v>
      </c>
      <c r="J73">
        <v>2007</v>
      </c>
      <c r="K73" s="19">
        <v>1.4435556698312098</v>
      </c>
      <c r="L73" s="19">
        <v>1.4161712375432989</v>
      </c>
      <c r="M73" s="19">
        <v>1.2506733142895277</v>
      </c>
      <c r="N73" s="20">
        <v>1.2381996614276265</v>
      </c>
      <c r="O73" s="19">
        <v>1.4345889447498053</v>
      </c>
      <c r="P73" s="19">
        <v>1.4239748333044675</v>
      </c>
      <c r="Q73" s="21">
        <v>1.43</v>
      </c>
      <c r="R73" s="19">
        <v>1.4063660403336868</v>
      </c>
      <c r="S73" s="19">
        <v>1.3986563392771612</v>
      </c>
      <c r="T73" s="19"/>
      <c r="U73" s="19">
        <v>1.1309650784319119</v>
      </c>
      <c r="V73" s="19">
        <v>1.1285321907949253</v>
      </c>
      <c r="W73" s="19">
        <v>1.1046689711105862</v>
      </c>
      <c r="X73" s="19">
        <v>1.1147851128534756</v>
      </c>
      <c r="Y73" s="19"/>
      <c r="Z73" s="19">
        <v>1.1855497712099345</v>
      </c>
      <c r="AA73">
        <v>1.0759405557347033</v>
      </c>
      <c r="AB73" s="19">
        <v>1.2526450693936264</v>
      </c>
      <c r="AC73" s="19">
        <v>1.109481178270739</v>
      </c>
      <c r="AD73" s="19"/>
      <c r="AE73" s="19">
        <v>1.1662739280857031</v>
      </c>
    </row>
    <row r="74" spans="1:38">
      <c r="F74">
        <v>2001</v>
      </c>
      <c r="G74">
        <v>0.23768106772589612</v>
      </c>
      <c r="J74">
        <v>2006</v>
      </c>
      <c r="K74" s="19">
        <v>-0.79277237605483863</v>
      </c>
      <c r="L74" s="19">
        <v>-0.57878302751769395</v>
      </c>
      <c r="M74" s="19">
        <v>-0.70324221864966407</v>
      </c>
      <c r="N74" s="20">
        <v>-0.45025442233730012</v>
      </c>
      <c r="O74" s="19">
        <v>-0.24949372952171361</v>
      </c>
      <c r="P74" s="19">
        <v>-0.59956835086502225</v>
      </c>
      <c r="Q74" s="21">
        <v>-0.58099999999999996</v>
      </c>
      <c r="R74" s="19">
        <v>-0.59215412224578678</v>
      </c>
      <c r="S74" s="19">
        <v>-0.74700963575025503</v>
      </c>
      <c r="T74" s="19"/>
      <c r="U74" s="19">
        <v>-0.71627788300686679</v>
      </c>
      <c r="V74" s="19">
        <v>-0.67711931447694396</v>
      </c>
      <c r="W74" s="19">
        <v>-0.62745197559082788</v>
      </c>
      <c r="X74" s="19">
        <v>-0.85145004682509462</v>
      </c>
      <c r="Y74" s="19"/>
      <c r="Z74" s="19">
        <v>-0.79298362180264903</v>
      </c>
      <c r="AA74">
        <v>-0.62131778570595242</v>
      </c>
      <c r="AB74" s="19">
        <v>-0.67450119121197805</v>
      </c>
      <c r="AC74" s="19">
        <v>-0.66007108074335175</v>
      </c>
      <c r="AD74" s="19"/>
      <c r="AE74" s="19">
        <v>-0.8062162053209686</v>
      </c>
    </row>
    <row r="75" spans="1:38">
      <c r="F75">
        <v>2000</v>
      </c>
      <c r="G75">
        <v>0.92525844221868681</v>
      </c>
      <c r="J75">
        <v>2005</v>
      </c>
      <c r="K75" s="19">
        <v>-0.47329694092825542</v>
      </c>
      <c r="L75" s="19">
        <v>-0.57878302751769395</v>
      </c>
      <c r="M75" s="19">
        <v>-0.43106314870027135</v>
      </c>
      <c r="N75" s="20">
        <v>-0.11256360558431004</v>
      </c>
      <c r="O75" s="19">
        <v>8.7322805332594969E-2</v>
      </c>
      <c r="P75" s="19">
        <v>-0.59956835086502225</v>
      </c>
      <c r="Q75" s="21">
        <v>-0.58099999999999996</v>
      </c>
      <c r="R75" s="19">
        <v>-0.59215412224578678</v>
      </c>
      <c r="S75" s="19">
        <v>-0.31787644074478094</v>
      </c>
      <c r="T75" s="19"/>
      <c r="U75" s="19">
        <v>-0.45238603137276096</v>
      </c>
      <c r="V75" s="19">
        <v>-0.45141287631796534</v>
      </c>
      <c r="W75" s="19">
        <v>-0.62745197559082788</v>
      </c>
      <c r="X75" s="19">
        <v>-0.6056706518652788</v>
      </c>
      <c r="Y75" s="19"/>
      <c r="Z75" s="19">
        <v>-0.57314657813458159</v>
      </c>
      <c r="AA75">
        <v>-0.62131778570595242</v>
      </c>
      <c r="AB75" s="19">
        <v>-0.48178656515141483</v>
      </c>
      <c r="AC75" s="19">
        <v>-0.46345416307511633</v>
      </c>
      <c r="AD75" s="19"/>
      <c r="AE75" s="19">
        <v>-0.58705063494245391</v>
      </c>
    </row>
    <row r="76" spans="1:38">
      <c r="F76">
        <v>1999</v>
      </c>
      <c r="G76">
        <v>0.23768106772589612</v>
      </c>
      <c r="J76">
        <v>2004</v>
      </c>
      <c r="K76" s="19">
        <v>0.4851293644514828</v>
      </c>
      <c r="L76" s="19">
        <v>0.41869410501280241</v>
      </c>
      <c r="M76" s="19">
        <v>0.49219907539183982</v>
      </c>
      <c r="N76" s="20">
        <v>0.56281802792165814</v>
      </c>
      <c r="O76" s="19">
        <v>0.42413934018690352</v>
      </c>
      <c r="P76" s="19">
        <v>0.61455755963667447</v>
      </c>
      <c r="Q76" s="21">
        <v>0.626</v>
      </c>
      <c r="R76" s="19">
        <v>0.60695797530190021</v>
      </c>
      <c r="S76" s="19">
        <v>0.54038994926618245</v>
      </c>
      <c r="T76" s="19"/>
      <c r="U76" s="19">
        <v>0.33928952352957542</v>
      </c>
      <c r="V76" s="19">
        <v>0.45141287631797339</v>
      </c>
      <c r="W76" s="19">
        <v>0.36233142252426714</v>
      </c>
      <c r="X76" s="19">
        <v>0.37744692797401064</v>
      </c>
      <c r="Y76" s="19"/>
      <c r="Z76" s="19">
        <v>0.52603864020574009</v>
      </c>
      <c r="AA76">
        <v>0.43946867769446113</v>
      </c>
      <c r="AB76" s="19">
        <v>0.48178656515138746</v>
      </c>
      <c r="AC76" s="19">
        <v>0.32301350759781128</v>
      </c>
      <c r="AD76" s="19"/>
      <c r="AE76" s="19">
        <v>0.28961164657162852</v>
      </c>
    </row>
    <row r="77" spans="1:38">
      <c r="F77">
        <v>1998</v>
      </c>
      <c r="G77">
        <v>-0.22070384860262829</v>
      </c>
      <c r="J77">
        <v>2003</v>
      </c>
      <c r="K77" s="19">
        <v>-0.47329694092825542</v>
      </c>
      <c r="L77" s="19">
        <v>-0.57878302751769395</v>
      </c>
      <c r="M77" s="19">
        <v>-0.58255503292003574</v>
      </c>
      <c r="N77" s="20">
        <v>-0.45025442233730012</v>
      </c>
      <c r="O77" s="19">
        <v>-0.24949372952171361</v>
      </c>
      <c r="P77" s="19">
        <v>-0.59956835086502225</v>
      </c>
      <c r="Q77" s="21">
        <v>-0.58099999999999996</v>
      </c>
      <c r="R77" s="19">
        <v>-0.59215412224578678</v>
      </c>
      <c r="S77" s="19">
        <v>-0.31787644074478094</v>
      </c>
      <c r="T77" s="19"/>
      <c r="U77" s="19">
        <v>-0.71627788300686679</v>
      </c>
      <c r="V77" s="19">
        <v>-0.67711931447694396</v>
      </c>
      <c r="W77" s="19">
        <v>-0.62745197559082788</v>
      </c>
      <c r="X77" s="19">
        <v>-0.6056706518652788</v>
      </c>
      <c r="Y77" s="19"/>
      <c r="Z77" s="19">
        <v>-0.57314657813458159</v>
      </c>
      <c r="AA77">
        <v>-0.62131778570595242</v>
      </c>
      <c r="AB77" s="19">
        <v>-0.67450119121197805</v>
      </c>
      <c r="AC77" s="19">
        <v>-0.66007108074335175</v>
      </c>
      <c r="AD77" s="19"/>
      <c r="AE77" s="19">
        <v>-0.58705063494245391</v>
      </c>
      <c r="AK77" t="s">
        <v>263</v>
      </c>
    </row>
    <row r="78" spans="1:38">
      <c r="F78">
        <v>1997</v>
      </c>
      <c r="G78">
        <v>-0.90828122309541892</v>
      </c>
      <c r="J78">
        <v>2002</v>
      </c>
      <c r="K78" s="19">
        <v>2.4019819752109481</v>
      </c>
      <c r="L78" s="19">
        <v>2.413648370073795</v>
      </c>
      <c r="M78" s="19">
        <v>2.456735276987978</v>
      </c>
      <c r="N78" s="20">
        <v>2.2512721116865846</v>
      </c>
      <c r="O78" s="19">
        <v>1.7714054796041139</v>
      </c>
      <c r="P78" s="19">
        <v>2.6381007438061643</v>
      </c>
      <c r="Q78" s="21">
        <v>2.637</v>
      </c>
      <c r="R78" s="19">
        <v>2.6054781378813736</v>
      </c>
      <c r="S78" s="19">
        <v>2.2569227292881244</v>
      </c>
      <c r="T78" s="19"/>
      <c r="U78" s="19">
        <v>2.1865324849683541</v>
      </c>
      <c r="V78" s="19">
        <v>2.2570643815898426</v>
      </c>
      <c r="W78" s="19">
        <v>2.3418982187544484</v>
      </c>
      <c r="X78" s="19">
        <v>2.343682087652581</v>
      </c>
      <c r="Y78" s="19"/>
      <c r="Z78" s="19">
        <v>2.2847349895502562</v>
      </c>
      <c r="AA78">
        <v>2.3488843118152025</v>
      </c>
      <c r="AB78" s="19">
        <v>2.2162181996964287</v>
      </c>
      <c r="AC78" s="19">
        <v>2.2891826842801373</v>
      </c>
      <c r="AD78" s="19"/>
      <c r="AE78" s="19">
        <v>2.2621017799783005</v>
      </c>
      <c r="AK78" t="s">
        <v>260</v>
      </c>
      <c r="AL78" t="s">
        <v>261</v>
      </c>
    </row>
    <row r="79" spans="1:38">
      <c r="A79" t="s">
        <v>107</v>
      </c>
      <c r="F79">
        <v>1996</v>
      </c>
      <c r="G79">
        <v>0.23768106772589612</v>
      </c>
      <c r="J79">
        <v>2001</v>
      </c>
      <c r="K79" s="19">
        <v>0.4851293644514828</v>
      </c>
      <c r="L79" s="19">
        <v>0.41869410501280241</v>
      </c>
      <c r="M79" s="19">
        <v>0.43130498795483097</v>
      </c>
      <c r="N79" s="20">
        <v>0.56281802792165814</v>
      </c>
      <c r="O79" s="19">
        <v>0.42413934018690352</v>
      </c>
      <c r="P79" s="19">
        <v>0.20984892280277073</v>
      </c>
      <c r="Q79" s="21">
        <v>0.223</v>
      </c>
      <c r="R79" s="19">
        <v>0.207253942786014</v>
      </c>
      <c r="S79" s="19">
        <v>0.11125675426070838</v>
      </c>
      <c r="T79" s="19"/>
      <c r="U79" s="19">
        <v>0.33928952352957542</v>
      </c>
      <c r="V79" s="19">
        <v>0.22570643815898669</v>
      </c>
      <c r="W79" s="19">
        <v>0.11488557299549119</v>
      </c>
      <c r="X79" s="19">
        <v>0.1316675330141861</v>
      </c>
      <c r="Y79" s="19"/>
      <c r="Z79" s="19">
        <v>8.636455286961299E-2</v>
      </c>
      <c r="AA79">
        <v>0.22731138501437539</v>
      </c>
      <c r="AB79" s="19">
        <v>0.28907193909082424</v>
      </c>
      <c r="AC79" s="19">
        <v>0.32301350759781128</v>
      </c>
      <c r="AD79" s="19"/>
      <c r="AE79" s="19">
        <v>0.28961164657162852</v>
      </c>
      <c r="AK79" t="s">
        <v>262</v>
      </c>
    </row>
    <row r="80" spans="1:38">
      <c r="A80" t="s">
        <v>108</v>
      </c>
      <c r="F80">
        <v>1995</v>
      </c>
      <c r="G80">
        <v>-0.44989630676689457</v>
      </c>
      <c r="J80">
        <v>2000</v>
      </c>
      <c r="K80" s="19">
        <v>1.1240802347046379</v>
      </c>
      <c r="L80" s="19">
        <v>1.0836788600331293</v>
      </c>
      <c r="M80" s="19">
        <v>1.0036248241159047</v>
      </c>
      <c r="N80" s="20">
        <v>0.90050884467464831</v>
      </c>
      <c r="O80" s="19">
        <v>0.76095587504121209</v>
      </c>
      <c r="P80" s="19">
        <v>1.019266196470578</v>
      </c>
      <c r="Q80" s="21">
        <v>1.028</v>
      </c>
      <c r="R80" s="19">
        <v>1.0066620078178006</v>
      </c>
      <c r="S80" s="19">
        <v>0.96952314427167174</v>
      </c>
      <c r="T80" s="19"/>
      <c r="U80" s="19">
        <v>0.86707322679779653</v>
      </c>
      <c r="V80" s="19">
        <v>0.90282575263593867</v>
      </c>
      <c r="W80" s="19">
        <v>0.85722312158181024</v>
      </c>
      <c r="X80" s="19">
        <v>0.869005717893651</v>
      </c>
      <c r="Y80" s="19"/>
      <c r="Z80" s="19">
        <v>0.96571272754186721</v>
      </c>
      <c r="AA80">
        <v>0.86378326305462494</v>
      </c>
      <c r="AB80" s="19">
        <v>0.86721581727250696</v>
      </c>
      <c r="AC80" s="19">
        <v>0.91286426060251047</v>
      </c>
      <c r="AD80" s="19"/>
      <c r="AE80" s="19">
        <v>0.9471083577071806</v>
      </c>
    </row>
    <row r="81" spans="1:38">
      <c r="A81">
        <v>17.48</v>
      </c>
      <c r="B81" t="s">
        <v>84</v>
      </c>
      <c r="C81" t="s">
        <v>98</v>
      </c>
      <c r="F81">
        <v>1994</v>
      </c>
      <c r="G81">
        <v>-0.22070384860262829</v>
      </c>
      <c r="J81">
        <v>1999</v>
      </c>
      <c r="K81" s="19">
        <v>0.4851293644514828</v>
      </c>
      <c r="L81" s="19">
        <v>0.75118648252297182</v>
      </c>
      <c r="M81" s="19">
        <v>0.59936813664312261</v>
      </c>
      <c r="N81" s="20">
        <v>0.90050884467464831</v>
      </c>
      <c r="O81" s="19">
        <v>0.76095587504121209</v>
      </c>
      <c r="P81" s="19">
        <v>0.20984892280277073</v>
      </c>
      <c r="Q81" s="21">
        <v>0.223</v>
      </c>
      <c r="R81" s="19">
        <v>0.60695797530190021</v>
      </c>
      <c r="S81" s="19">
        <v>0.54038994926618245</v>
      </c>
      <c r="T81" s="19"/>
      <c r="U81" s="19">
        <v>0.60318137516369064</v>
      </c>
      <c r="V81" s="19">
        <v>0.45141287631797339</v>
      </c>
      <c r="W81" s="19">
        <v>0.36233142252426714</v>
      </c>
      <c r="X81" s="19">
        <v>0.37744692797401064</v>
      </c>
      <c r="Y81" s="19"/>
      <c r="Z81" s="19">
        <v>0.30620159653767265</v>
      </c>
      <c r="AA81">
        <v>0.22731138501437539</v>
      </c>
      <c r="AB81" s="19">
        <v>0.48178656515138746</v>
      </c>
      <c r="AC81" s="19">
        <v>0.51963042526604675</v>
      </c>
      <c r="AD81" s="19"/>
      <c r="AE81" s="19">
        <v>0.28961164657162852</v>
      </c>
    </row>
    <row r="82" spans="1:38">
      <c r="D82" t="s">
        <v>99</v>
      </c>
      <c r="F82">
        <v>1993</v>
      </c>
      <c r="J82">
        <v>1998</v>
      </c>
      <c r="K82" s="19">
        <v>-0.47329694092825542</v>
      </c>
      <c r="L82" s="19">
        <v>-0.24629065000752456</v>
      </c>
      <c r="M82" s="19">
        <v>-0.37758962982646166</v>
      </c>
      <c r="N82" s="20">
        <v>-0.45025442233730012</v>
      </c>
      <c r="O82" s="19">
        <v>-0.58631026437602218</v>
      </c>
      <c r="P82" s="19">
        <v>-0.59956835086502225</v>
      </c>
      <c r="Q82" s="21">
        <v>-0.58099999999999996</v>
      </c>
      <c r="R82" s="19">
        <v>-0.59215412224578678</v>
      </c>
      <c r="S82" s="19">
        <v>-0.74700963575025503</v>
      </c>
      <c r="T82" s="19"/>
      <c r="U82" s="19">
        <v>-0.45238603137276096</v>
      </c>
      <c r="V82" s="19">
        <v>-0.45141287631796534</v>
      </c>
      <c r="W82" s="19">
        <v>-0.38000612606205192</v>
      </c>
      <c r="X82" s="19">
        <v>-0.35989125690545426</v>
      </c>
      <c r="Y82" s="19"/>
      <c r="Z82" s="19">
        <v>-0.57314657813458159</v>
      </c>
      <c r="AA82">
        <v>-0.40916049302587421</v>
      </c>
      <c r="AB82" s="19">
        <v>-0.48178656515141483</v>
      </c>
      <c r="AC82" s="19">
        <v>-0.46345416307511633</v>
      </c>
      <c r="AD82" s="19"/>
      <c r="AE82" s="19">
        <v>-0.36788506456393133</v>
      </c>
    </row>
    <row r="83" spans="1:38">
      <c r="F83">
        <v>1992</v>
      </c>
      <c r="G83">
        <v>-0.22070384860262829</v>
      </c>
      <c r="J83">
        <v>1997</v>
      </c>
      <c r="K83" s="19">
        <v>-0.79277237605483863</v>
      </c>
      <c r="L83" s="19">
        <v>-0.91127540502785154</v>
      </c>
      <c r="M83" s="19">
        <v>-1.0288948074728665</v>
      </c>
      <c r="N83" s="20">
        <v>-0.78794523909027825</v>
      </c>
      <c r="O83" s="19">
        <v>-0.58631026437602218</v>
      </c>
      <c r="P83" s="19">
        <v>-1.0042769876989115</v>
      </c>
      <c r="Q83" s="21">
        <v>-0.98299999999999998</v>
      </c>
      <c r="R83" s="19">
        <v>-0.99185815476167294</v>
      </c>
      <c r="S83" s="19">
        <v>-0.74700963575025503</v>
      </c>
      <c r="T83" s="19"/>
      <c r="U83" s="19">
        <v>-0.98016973464098212</v>
      </c>
      <c r="V83" s="19">
        <v>-0.90282575263593068</v>
      </c>
      <c r="W83" s="19">
        <v>-0.87489782511959502</v>
      </c>
      <c r="X83" s="19">
        <v>-0.85145004682509462</v>
      </c>
      <c r="Y83" s="19"/>
      <c r="Z83" s="19">
        <v>-0.79298362180264903</v>
      </c>
      <c r="AA83">
        <v>-0.83347507838603807</v>
      </c>
      <c r="AB83" s="19">
        <v>-0.86721581727253438</v>
      </c>
      <c r="AC83" s="19">
        <v>-0.85668799841158716</v>
      </c>
      <c r="AD83" s="19"/>
      <c r="AE83" s="19">
        <v>-0.8062162053209686</v>
      </c>
    </row>
    <row r="84" spans="1:38">
      <c r="A84">
        <f>A81/G99</f>
        <v>2.0231481481481481E-4</v>
      </c>
      <c r="B84" t="s">
        <v>95</v>
      </c>
      <c r="F84">
        <v>1991</v>
      </c>
      <c r="G84">
        <v>0.69606598405442055</v>
      </c>
      <c r="J84">
        <v>1996</v>
      </c>
      <c r="K84" s="19">
        <v>0.16565392932489961</v>
      </c>
      <c r="L84" s="19">
        <v>8.620172750264482E-2</v>
      </c>
      <c r="M84" s="19">
        <v>0.27371554781993174</v>
      </c>
      <c r="N84" s="20">
        <v>0.22512721116866807</v>
      </c>
      <c r="O84" s="19">
        <v>8.7322805332594969E-2</v>
      </c>
      <c r="P84" s="19">
        <v>0.20984892280277073</v>
      </c>
      <c r="Q84" s="21">
        <v>0.223</v>
      </c>
      <c r="R84" s="19">
        <v>0.207253942786014</v>
      </c>
      <c r="S84" s="19">
        <v>0.11125675426070838</v>
      </c>
      <c r="T84" s="19"/>
      <c r="U84" s="19">
        <v>7.5397671895460164E-2</v>
      </c>
      <c r="V84" s="19">
        <v>8.0187035024075988E-15</v>
      </c>
      <c r="W84" s="19">
        <v>0.11488557299549119</v>
      </c>
      <c r="X84" s="19">
        <v>0.1316675330141861</v>
      </c>
      <c r="Y84" s="19"/>
      <c r="Z84" s="19">
        <v>8.636455286961299E-2</v>
      </c>
      <c r="AA84">
        <v>1.5154092334289684E-2</v>
      </c>
      <c r="AB84" s="19">
        <v>9.6357313030267899E-2</v>
      </c>
      <c r="AC84" s="19">
        <v>0.12639658992957592</v>
      </c>
      <c r="AD84" s="19"/>
      <c r="AE84" s="19">
        <v>7.0446076193105986E-2</v>
      </c>
    </row>
    <row r="85" spans="1:38">
      <c r="F85">
        <v>1990</v>
      </c>
      <c r="G85">
        <v>0.69606598405442055</v>
      </c>
      <c r="J85">
        <v>1995</v>
      </c>
      <c r="K85" s="19">
        <v>0.16565392932489961</v>
      </c>
      <c r="L85" s="19">
        <v>8.620172750264482E-2</v>
      </c>
      <c r="M85" s="19">
        <v>-5.1937041003270734E-2</v>
      </c>
      <c r="N85" s="20">
        <v>0.22512721116866807</v>
      </c>
      <c r="O85" s="19">
        <v>0.76095587504121209</v>
      </c>
      <c r="P85" s="19">
        <v>-0.19485971403111857</v>
      </c>
      <c r="Q85" s="21">
        <v>0.223</v>
      </c>
      <c r="R85" s="19">
        <v>0.207253942786014</v>
      </c>
      <c r="S85" s="19">
        <v>0.54038994926618245</v>
      </c>
      <c r="T85" s="19"/>
      <c r="U85" s="19">
        <v>7.5397671895460164E-2</v>
      </c>
      <c r="V85" s="19">
        <v>8.0187035024075988E-15</v>
      </c>
      <c r="W85" s="19">
        <v>-0.13256027653327598</v>
      </c>
      <c r="X85" s="19">
        <v>-0.11411186194562971</v>
      </c>
      <c r="Y85" s="19"/>
      <c r="Z85" s="19">
        <v>8.636455286961299E-2</v>
      </c>
      <c r="AA85">
        <v>1.5154092334289684E-2</v>
      </c>
      <c r="AB85" s="19">
        <v>9.6357313030267899E-2</v>
      </c>
      <c r="AC85" s="19">
        <v>-7.0220327738652499E-2</v>
      </c>
      <c r="AD85" s="19"/>
      <c r="AE85" s="19">
        <v>-0.14871949418541655</v>
      </c>
    </row>
    <row r="86" spans="1:38">
      <c r="A86">
        <f>A84*1000000</f>
        <v>202.31481481481481</v>
      </c>
      <c r="B86" t="s">
        <v>94</v>
      </c>
      <c r="F86">
        <v>1989</v>
      </c>
      <c r="G86">
        <v>1.1544509003829448</v>
      </c>
      <c r="J86">
        <v>1994</v>
      </c>
      <c r="K86" s="19">
        <v>-0.47329694092825542</v>
      </c>
      <c r="L86" s="19">
        <v>-0.57878302751769395</v>
      </c>
      <c r="M86" s="19">
        <v>-0.37758962982646166</v>
      </c>
      <c r="N86" s="20">
        <v>-0.78794523909027825</v>
      </c>
      <c r="O86" s="19">
        <v>-0.58631026437602218</v>
      </c>
      <c r="P86" s="19">
        <v>-0.19485971403111857</v>
      </c>
      <c r="Q86" s="21">
        <v>-0.17899999999999999</v>
      </c>
      <c r="R86" s="19">
        <v>-0.19245008972988639</v>
      </c>
      <c r="S86" s="19">
        <v>-0.31787644074478094</v>
      </c>
      <c r="T86" s="19"/>
      <c r="U86" s="19">
        <v>-0.45238603137276096</v>
      </c>
      <c r="V86" s="19">
        <v>-0.45141287631796534</v>
      </c>
      <c r="W86" s="19">
        <v>-0.38000612606205192</v>
      </c>
      <c r="X86" s="19">
        <v>-0.35989125690545426</v>
      </c>
      <c r="Y86" s="19"/>
      <c r="Z86" s="19">
        <v>-0.35330953446651409</v>
      </c>
      <c r="AA86">
        <v>-0.40916049302587421</v>
      </c>
      <c r="AB86" s="19">
        <v>-0.48178656515141483</v>
      </c>
      <c r="AC86" s="19">
        <v>-0.46345416307511633</v>
      </c>
      <c r="AD86" s="19"/>
      <c r="AE86" s="19">
        <v>-0.36788506456393133</v>
      </c>
    </row>
    <row r="87" spans="1:38" ht="15">
      <c r="F87">
        <v>1988</v>
      </c>
      <c r="G87">
        <v>0.4668735258901624</v>
      </c>
      <c r="J87">
        <v>1993</v>
      </c>
      <c r="K87" s="19"/>
      <c r="L87" s="19"/>
      <c r="M87" s="19"/>
      <c r="N87" s="20"/>
      <c r="O87" s="19"/>
      <c r="P87" s="19"/>
      <c r="Q87" s="22"/>
      <c r="R87" s="19"/>
      <c r="S87" s="19"/>
      <c r="T87" s="19"/>
      <c r="U87" s="19">
        <v>1.9226406333342481</v>
      </c>
      <c r="V87" s="19">
        <v>2.031357943430856</v>
      </c>
      <c r="W87" s="19">
        <v>2.0944523692256727</v>
      </c>
      <c r="X87" s="19">
        <v>2.0979026926927564</v>
      </c>
      <c r="Y87" s="19"/>
      <c r="Z87" s="19">
        <v>2.0648979458821888</v>
      </c>
      <c r="AA87">
        <v>2.1367270191351166</v>
      </c>
      <c r="AB87" s="19">
        <v>2.0235035736358724</v>
      </c>
      <c r="AC87" s="19">
        <v>2.092565766611902</v>
      </c>
      <c r="AD87" s="19"/>
      <c r="AE87" s="19">
        <v>2.0429362095997776</v>
      </c>
    </row>
    <row r="88" spans="1:38">
      <c r="A88">
        <f>A86*4.6</f>
        <v>930.64814814814804</v>
      </c>
      <c r="B88" t="s">
        <v>96</v>
      </c>
      <c r="F88">
        <v>1987</v>
      </c>
      <c r="G88">
        <v>8.488609561629841E-3</v>
      </c>
      <c r="J88">
        <v>1992</v>
      </c>
      <c r="K88" s="19">
        <v>-0.47329694092825542</v>
      </c>
      <c r="L88" s="19">
        <v>-0.57878302751769395</v>
      </c>
      <c r="M88" s="19">
        <v>-0.37758962982646166</v>
      </c>
      <c r="N88" s="20">
        <v>-0.45025442233730012</v>
      </c>
      <c r="O88" s="19">
        <v>-0.58631026437602218</v>
      </c>
      <c r="P88" s="19">
        <v>-0.19485971403111857</v>
      </c>
      <c r="Q88" s="21">
        <v>-0.17899999999999999</v>
      </c>
      <c r="R88" s="19">
        <v>-0.19245008972988639</v>
      </c>
      <c r="S88" s="19">
        <v>-0.31787644074478094</v>
      </c>
      <c r="T88" s="19"/>
      <c r="U88" s="19">
        <v>-0.45238603137276096</v>
      </c>
      <c r="V88" s="19">
        <v>-0.45141287631796534</v>
      </c>
      <c r="W88" s="19">
        <v>-0.38000612606205192</v>
      </c>
      <c r="X88" s="19">
        <v>-0.35989125690545426</v>
      </c>
      <c r="Y88" s="19"/>
      <c r="Z88" s="19">
        <v>-0.35330953446651409</v>
      </c>
      <c r="AA88">
        <v>-0.40916049302587421</v>
      </c>
      <c r="AB88" s="19">
        <v>-0.48178656515141483</v>
      </c>
      <c r="AC88" s="19">
        <v>-0.46345416307511633</v>
      </c>
      <c r="AD88" s="19"/>
      <c r="AE88" s="19">
        <v>-0.36788506456393133</v>
      </c>
    </row>
    <row r="89" spans="1:38">
      <c r="F89">
        <v>1986</v>
      </c>
      <c r="G89">
        <v>0.4668735258901624</v>
      </c>
      <c r="J89">
        <v>1991</v>
      </c>
      <c r="K89" s="19">
        <v>-0.15382150580168358</v>
      </c>
      <c r="L89" s="19">
        <v>-0.24629065000752456</v>
      </c>
      <c r="M89" s="19">
        <v>-5.1937041003270734E-2</v>
      </c>
      <c r="N89" s="20">
        <v>-0.78794523909027825</v>
      </c>
      <c r="O89" s="19">
        <v>-1.2599433340846153</v>
      </c>
      <c r="P89" s="19">
        <v>0.20984892280277073</v>
      </c>
      <c r="Q89" s="21">
        <v>-0.17899999999999999</v>
      </c>
      <c r="R89" s="19">
        <v>-0.19245008972988639</v>
      </c>
      <c r="S89" s="19">
        <v>-0.31787644074478094</v>
      </c>
      <c r="T89" s="19"/>
      <c r="U89" s="19">
        <v>-0.18849417973864571</v>
      </c>
      <c r="V89" s="19">
        <v>-0.22570643815897867</v>
      </c>
      <c r="W89" s="19">
        <v>0.11488557299549119</v>
      </c>
      <c r="X89" s="19">
        <v>-0.11411186194562971</v>
      </c>
      <c r="Y89" s="19"/>
      <c r="Z89" s="19">
        <v>-0.13347249079845447</v>
      </c>
      <c r="AA89">
        <v>1.5154092334289684E-2</v>
      </c>
      <c r="AB89" s="19">
        <v>-0.28907193909085166</v>
      </c>
      <c r="AC89" s="19">
        <v>-7.0220327738652499E-2</v>
      </c>
      <c r="AD89" s="19"/>
      <c r="AE89" s="19">
        <v>-0.14871949418541655</v>
      </c>
    </row>
    <row r="90" spans="1:38">
      <c r="F90">
        <v>1985</v>
      </c>
      <c r="G90">
        <v>0.4668735258901624</v>
      </c>
      <c r="J90">
        <v>1990</v>
      </c>
      <c r="K90" s="19">
        <v>0.80460479957805464</v>
      </c>
      <c r="L90" s="19">
        <v>0.75118648252297182</v>
      </c>
      <c r="M90" s="19">
        <v>0.92502072546632508</v>
      </c>
      <c r="N90" s="20">
        <v>0.90050884467464831</v>
      </c>
      <c r="O90" s="19">
        <v>0.76095587504121209</v>
      </c>
      <c r="P90" s="19">
        <v>0.61455755963667447</v>
      </c>
      <c r="Q90" s="21">
        <v>0.626</v>
      </c>
      <c r="R90" s="19">
        <v>0.60695797530190021</v>
      </c>
      <c r="S90" s="19">
        <v>0.54038994926618245</v>
      </c>
      <c r="T90" s="19"/>
      <c r="U90" s="19">
        <v>0.60318137516369064</v>
      </c>
      <c r="V90" s="19">
        <v>0.67711931447695206</v>
      </c>
      <c r="W90" s="19">
        <v>0.60977727205303434</v>
      </c>
      <c r="X90" s="19">
        <v>0.62322632293382652</v>
      </c>
      <c r="Y90" s="19"/>
      <c r="Z90" s="19">
        <v>0.52603864020574009</v>
      </c>
      <c r="AA90">
        <v>0.65162597037453929</v>
      </c>
      <c r="AB90" s="19">
        <v>0.67450119121195062</v>
      </c>
      <c r="AC90" s="19">
        <v>0.71624734293427517</v>
      </c>
      <c r="AD90" s="19"/>
      <c r="AE90" s="19">
        <v>0.7279427873286658</v>
      </c>
      <c r="AI90" t="s">
        <v>72</v>
      </c>
      <c r="AJ90" t="s">
        <v>191</v>
      </c>
      <c r="AK90" t="s">
        <v>265</v>
      </c>
      <c r="AL90" t="s">
        <v>266</v>
      </c>
    </row>
    <row r="91" spans="1:38">
      <c r="F91">
        <v>1984</v>
      </c>
      <c r="G91">
        <v>8.488609561629841E-3</v>
      </c>
      <c r="J91">
        <v>1989</v>
      </c>
      <c r="K91" s="19">
        <v>0.4851293644514828</v>
      </c>
      <c r="L91" s="19">
        <v>0.41869410501280241</v>
      </c>
      <c r="M91" s="19">
        <v>0.59936813664312261</v>
      </c>
      <c r="N91" s="20">
        <v>-0.11256360558431004</v>
      </c>
      <c r="O91" s="19">
        <v>-0.58631026437602218</v>
      </c>
      <c r="P91" s="19">
        <v>0.20984892280277073</v>
      </c>
      <c r="Q91" s="21">
        <v>0.223</v>
      </c>
      <c r="R91" s="19">
        <v>0.207253942786014</v>
      </c>
      <c r="S91" s="19">
        <v>-0.31787644074478094</v>
      </c>
      <c r="T91" s="19"/>
      <c r="U91" s="19">
        <v>0.60318137516369064</v>
      </c>
      <c r="V91" s="19">
        <v>0.45141287631797339</v>
      </c>
      <c r="W91" s="19">
        <v>0.36233142252426714</v>
      </c>
      <c r="X91" s="19">
        <v>0.37744692797401064</v>
      </c>
      <c r="Y91" s="19"/>
      <c r="Z91" s="19">
        <v>0.30620159653767265</v>
      </c>
      <c r="AA91">
        <v>0.43946867769446113</v>
      </c>
      <c r="AB91" s="19">
        <v>0.28907193909082424</v>
      </c>
      <c r="AC91" s="19">
        <v>0.32301350759781128</v>
      </c>
      <c r="AD91" s="19"/>
      <c r="AE91" s="19">
        <v>0.50877721695014333</v>
      </c>
      <c r="AI91">
        <v>2009</v>
      </c>
      <c r="AJ91">
        <v>-0.29035758142525425</v>
      </c>
      <c r="AK91" s="19">
        <v>-2.3318429274790979</v>
      </c>
      <c r="AL91">
        <v>1.4218073176898842</v>
      </c>
    </row>
    <row r="92" spans="1:38">
      <c r="F92">
        <v>1983</v>
      </c>
      <c r="G92">
        <v>-2.2834359720810005</v>
      </c>
      <c r="J92">
        <v>1988</v>
      </c>
      <c r="K92" s="19">
        <v>-0.47329694092825542</v>
      </c>
      <c r="L92" s="19">
        <v>-0.24629065000752456</v>
      </c>
      <c r="M92" s="19">
        <v>-0.37758962982646166</v>
      </c>
      <c r="N92" s="20">
        <v>-0.78794523909027825</v>
      </c>
      <c r="O92" s="19">
        <v>-1.2599433340846153</v>
      </c>
      <c r="P92" s="19">
        <v>-0.19485971403111857</v>
      </c>
      <c r="Q92" s="21">
        <v>-0.58099999999999996</v>
      </c>
      <c r="R92" s="19">
        <v>-0.59215412224578678</v>
      </c>
      <c r="S92" s="19">
        <v>-0.74700963575025503</v>
      </c>
      <c r="T92" s="19"/>
      <c r="U92" s="19">
        <v>-0.45238603137276096</v>
      </c>
      <c r="V92" s="19">
        <v>-0.45141287631796534</v>
      </c>
      <c r="W92" s="19">
        <v>-0.38000612606205192</v>
      </c>
      <c r="X92" s="19">
        <v>-0.35989125690545426</v>
      </c>
      <c r="Y92" s="19"/>
      <c r="Z92" s="19">
        <v>-0.35330953446651409</v>
      </c>
      <c r="AA92">
        <v>-0.40916049302587421</v>
      </c>
      <c r="AB92" s="19">
        <v>-0.48178656515141483</v>
      </c>
      <c r="AC92" s="19">
        <v>-0.46345416307511633</v>
      </c>
      <c r="AD92" s="19"/>
      <c r="AE92" s="19">
        <v>-0.36788506456393133</v>
      </c>
      <c r="AI92">
        <v>2008</v>
      </c>
      <c r="AJ92">
        <v>0.23922639121805345</v>
      </c>
      <c r="AK92" s="19">
        <v>8.636455286961299E-2</v>
      </c>
      <c r="AL92">
        <v>0.70399440543863179</v>
      </c>
    </row>
    <row r="93" spans="1:38">
      <c r="F93">
        <v>1982</v>
      </c>
      <c r="G93">
        <v>-0.67908876493115267</v>
      </c>
      <c r="J93">
        <v>1987</v>
      </c>
      <c r="K93" s="19">
        <v>-0.47329694092825542</v>
      </c>
      <c r="L93" s="19">
        <v>-0.57878302751769395</v>
      </c>
      <c r="M93" s="19">
        <v>-0.70324221864966407</v>
      </c>
      <c r="N93" s="20">
        <v>-1.1256360558432683</v>
      </c>
      <c r="O93" s="19">
        <v>-1.2599433340846153</v>
      </c>
      <c r="P93" s="19">
        <v>-0.59956835086502225</v>
      </c>
      <c r="Q93" s="21">
        <v>-0.58099999999999996</v>
      </c>
      <c r="R93" s="19">
        <v>-0.59215412224578678</v>
      </c>
      <c r="S93" s="19">
        <v>-0.74700963575025503</v>
      </c>
      <c r="T93" s="19"/>
      <c r="U93" s="19">
        <v>-0.71627788300686679</v>
      </c>
      <c r="V93" s="19">
        <v>-0.67711931447694396</v>
      </c>
      <c r="W93" s="19">
        <v>-0.62745197559082788</v>
      </c>
      <c r="X93" s="19">
        <v>-0.6056706518652788</v>
      </c>
      <c r="Y93" s="19"/>
      <c r="Z93" s="19">
        <v>-0.57314657813458159</v>
      </c>
      <c r="AA93">
        <v>-0.62131778570595242</v>
      </c>
      <c r="AB93" s="19">
        <v>-0.67450119121197805</v>
      </c>
      <c r="AC93" s="19">
        <v>-0.66007108074335175</v>
      </c>
      <c r="AD93" s="19"/>
      <c r="AE93" s="19">
        <v>-0.58705063494245391</v>
      </c>
      <c r="AI93">
        <v>2007</v>
      </c>
      <c r="AJ93">
        <v>0.64452525464297761</v>
      </c>
      <c r="AK93" s="19">
        <v>1.1855497712099345</v>
      </c>
      <c r="AL93">
        <v>0.43667433977876147</v>
      </c>
    </row>
    <row r="94" spans="1:38">
      <c r="J94">
        <v>1986</v>
      </c>
      <c r="K94" s="19">
        <v>0.16565392932489961</v>
      </c>
      <c r="L94" s="19">
        <v>8.620172750264482E-2</v>
      </c>
      <c r="M94" s="19">
        <v>-5.1937041003270734E-2</v>
      </c>
      <c r="N94" s="19">
        <v>-0.11256360558431004</v>
      </c>
      <c r="O94" s="19">
        <v>-0.24949372952171361</v>
      </c>
      <c r="P94" s="19">
        <v>0.20984892280277073</v>
      </c>
      <c r="Q94" s="21">
        <v>0.223</v>
      </c>
      <c r="R94" s="19">
        <v>0.207253942786014</v>
      </c>
      <c r="S94" s="19">
        <v>0.11125675426070838</v>
      </c>
      <c r="T94" s="19"/>
      <c r="U94" s="19">
        <v>7.5397671895460164E-2</v>
      </c>
      <c r="V94" s="19">
        <v>8.0187035024075988E-15</v>
      </c>
      <c r="W94" s="19">
        <v>0.11488557299549119</v>
      </c>
      <c r="X94" s="19">
        <v>0.1316675330141861</v>
      </c>
      <c r="Y94" s="19"/>
      <c r="Z94" s="19">
        <v>8.636455286961299E-2</v>
      </c>
      <c r="AA94">
        <v>1.5154092334289684E-2</v>
      </c>
      <c r="AB94" s="19">
        <v>-9.6357313030295294E-2</v>
      </c>
      <c r="AC94" s="19">
        <v>-7.0220327738652499E-2</v>
      </c>
      <c r="AD94" s="19"/>
      <c r="AE94" s="19">
        <v>7.0446076193105986E-2</v>
      </c>
      <c r="AI94">
        <v>2006</v>
      </c>
      <c r="AJ94">
        <v>-1.1160250045780256</v>
      </c>
      <c r="AK94" s="19">
        <v>-0.79298362180264903</v>
      </c>
      <c r="AL94">
        <v>1.6101921141930626</v>
      </c>
    </row>
    <row r="95" spans="1:38">
      <c r="J95">
        <v>1985</v>
      </c>
      <c r="K95" s="19">
        <v>0.16565392932489961</v>
      </c>
      <c r="L95" s="19">
        <v>8.620172750264482E-2</v>
      </c>
      <c r="M95" s="19">
        <v>-5.1937041003270734E-2</v>
      </c>
      <c r="N95" s="19">
        <v>-0.11256360558431004</v>
      </c>
      <c r="O95" s="19">
        <v>-0.58631026437602218</v>
      </c>
      <c r="P95" s="19">
        <v>0.20984892280277073</v>
      </c>
      <c r="Q95" s="21">
        <v>0.223</v>
      </c>
      <c r="R95" s="19">
        <v>0.207253942786014</v>
      </c>
      <c r="S95" s="19">
        <v>0.11125675426070838</v>
      </c>
      <c r="T95" s="19"/>
      <c r="U95" s="19">
        <v>7.5397671895460164E-2</v>
      </c>
      <c r="V95" s="19">
        <v>8.0187035024075988E-15</v>
      </c>
      <c r="W95" s="19">
        <v>0.11488557299549119</v>
      </c>
      <c r="X95" s="19">
        <v>0.1316675330141861</v>
      </c>
      <c r="Y95" s="19"/>
      <c r="Z95" s="19">
        <v>8.636455286961299E-2</v>
      </c>
      <c r="AA95">
        <v>1.5154092334289684E-2</v>
      </c>
      <c r="AB95" s="19">
        <v>-9.6357313030295294E-2</v>
      </c>
      <c r="AC95" s="19">
        <v>-7.0220327738652499E-2</v>
      </c>
      <c r="AD95" s="19"/>
      <c r="AE95" s="19">
        <v>7.0446076193105986E-2</v>
      </c>
      <c r="AI95">
        <v>2005</v>
      </c>
      <c r="AJ95">
        <v>-0.28880099197417497</v>
      </c>
      <c r="AK95" s="19">
        <v>-0.57314657813458159</v>
      </c>
      <c r="AL95">
        <v>1.0231984346131211</v>
      </c>
    </row>
    <row r="96" spans="1:38">
      <c r="J96">
        <v>1984</v>
      </c>
      <c r="K96" s="19">
        <v>1.4435556698312098</v>
      </c>
      <c r="L96" s="19">
        <v>1.4161712375432989</v>
      </c>
      <c r="M96" s="19">
        <v>1.5763259031127186</v>
      </c>
      <c r="N96" s="19">
        <v>2.2512721116865846</v>
      </c>
      <c r="O96" s="19">
        <v>2.7818550841670158</v>
      </c>
      <c r="P96" s="19">
        <v>1.4239748333044675</v>
      </c>
      <c r="Q96" s="21">
        <v>1.43</v>
      </c>
      <c r="R96" s="19">
        <v>1.4063660403336868</v>
      </c>
      <c r="S96" s="19">
        <v>2.2569227292881244</v>
      </c>
      <c r="T96" s="19"/>
      <c r="U96" s="19">
        <v>1.3948569300660176</v>
      </c>
      <c r="V96" s="19">
        <v>1.3542386289539121</v>
      </c>
      <c r="W96" s="19">
        <v>1.1046689711105862</v>
      </c>
      <c r="X96" s="19">
        <v>1.1147851128534756</v>
      </c>
      <c r="Y96" s="19"/>
      <c r="Z96" s="19">
        <v>1.1855497712099345</v>
      </c>
      <c r="AA96">
        <v>1.0759405557347033</v>
      </c>
      <c r="AB96" s="19">
        <v>1.4453596954541896</v>
      </c>
      <c r="AC96" s="19">
        <v>1.3060980959389743</v>
      </c>
      <c r="AD96" s="19"/>
      <c r="AE96" s="19">
        <v>1.1662739280857031</v>
      </c>
      <c r="AI96">
        <v>2004</v>
      </c>
      <c r="AJ96">
        <v>0.19530480172227757</v>
      </c>
      <c r="AK96" s="19">
        <v>0.52603864020574009</v>
      </c>
      <c r="AL96">
        <v>0.59271123876898235</v>
      </c>
    </row>
    <row r="97" spans="1:38">
      <c r="J97">
        <v>1983</v>
      </c>
      <c r="K97" s="19">
        <v>-2.0706741165611486</v>
      </c>
      <c r="L97" s="19">
        <v>-2.2412449150685174</v>
      </c>
      <c r="M97" s="19">
        <v>-2.0058525739424509</v>
      </c>
      <c r="N97" s="19">
        <v>-1.8010176893492367</v>
      </c>
      <c r="O97" s="19">
        <v>-1.2599433340846153</v>
      </c>
      <c r="P97" s="19">
        <v>-2.2184028982006083</v>
      </c>
      <c r="Q97" s="21">
        <v>-2.19</v>
      </c>
      <c r="R97" s="19">
        <v>-2.1909702523093602</v>
      </c>
      <c r="S97" s="19">
        <v>-2.0344092207667077</v>
      </c>
      <c r="T97" s="19"/>
      <c r="U97" s="19">
        <v>-2.0357371411774241</v>
      </c>
      <c r="V97" s="19">
        <v>-2.031357943430848</v>
      </c>
      <c r="W97" s="19">
        <v>-2.1121270727634571</v>
      </c>
      <c r="X97" s="19">
        <v>-2.0803470216241999</v>
      </c>
      <c r="Y97" s="19"/>
      <c r="Z97" s="19">
        <v>-2.1120058838110305</v>
      </c>
      <c r="AA97">
        <v>-2.1064188344665373</v>
      </c>
      <c r="AB97" s="19">
        <v>-2.0235035736358999</v>
      </c>
      <c r="AC97" s="19">
        <v>-2.0363895044209785</v>
      </c>
      <c r="AD97" s="19"/>
      <c r="AE97" s="19">
        <v>-2.1212096275920884</v>
      </c>
      <c r="AI97">
        <v>2003</v>
      </c>
      <c r="AJ97">
        <v>-0.71034174115305881</v>
      </c>
      <c r="AK97" s="19">
        <v>-0.57314657813458159</v>
      </c>
      <c r="AL97">
        <v>0.86913085120816502</v>
      </c>
    </row>
    <row r="98" spans="1:38">
      <c r="J98">
        <v>1982</v>
      </c>
      <c r="K98" s="19">
        <v>-0.47329694092825542</v>
      </c>
      <c r="L98" s="19">
        <v>-0.24629065000752456</v>
      </c>
      <c r="M98" s="19">
        <v>-0.37758962982646166</v>
      </c>
      <c r="N98" s="19">
        <v>-0.11256360558431004</v>
      </c>
      <c r="O98" s="19">
        <v>8.7322805332594969E-2</v>
      </c>
      <c r="P98" s="19">
        <v>-0.19485971403111857</v>
      </c>
      <c r="Q98" s="21">
        <v>-0.17899999999999999</v>
      </c>
      <c r="R98" s="19">
        <v>-0.19245008972988639</v>
      </c>
      <c r="S98" s="19">
        <v>0.11125675426070838</v>
      </c>
      <c r="T98" s="19"/>
      <c r="U98" s="19">
        <v>-0.45238603137276096</v>
      </c>
      <c r="V98" s="19">
        <v>-0.45141287631796534</v>
      </c>
      <c r="W98" s="19">
        <v>-0.38000612606205192</v>
      </c>
      <c r="X98" s="19">
        <v>-0.35989125690545426</v>
      </c>
      <c r="Y98" s="19"/>
      <c r="Z98" s="19">
        <v>-0.35330953446651409</v>
      </c>
      <c r="AA98">
        <v>-0.40916049302587421</v>
      </c>
      <c r="AB98" s="19">
        <v>-0.28907193909085166</v>
      </c>
      <c r="AC98" s="19">
        <v>-0.46345416307511633</v>
      </c>
      <c r="AD98" s="19"/>
      <c r="AE98" s="19">
        <v>-0.36788506456393133</v>
      </c>
      <c r="AI98">
        <v>2002</v>
      </c>
      <c r="AJ98">
        <v>0.50458552351828767</v>
      </c>
      <c r="AK98" s="19">
        <v>2.2847349895502562</v>
      </c>
      <c r="AL98">
        <v>0.49878136778151644</v>
      </c>
    </row>
    <row r="99" spans="1:38">
      <c r="A99">
        <f>A81*2.07</f>
        <v>36.183599999999998</v>
      </c>
      <c r="B99" t="s">
        <v>97</v>
      </c>
      <c r="G99">
        <f>24*60*60</f>
        <v>86400</v>
      </c>
      <c r="AI99">
        <v>2001</v>
      </c>
      <c r="AJ99">
        <v>-3.7464421974805262E-2</v>
      </c>
      <c r="AK99" s="19">
        <v>8.636455286961299E-2</v>
      </c>
      <c r="AL99">
        <v>0.87884329652132287</v>
      </c>
    </row>
    <row r="100" spans="1:38">
      <c r="AI100">
        <v>2000</v>
      </c>
      <c r="AJ100">
        <v>0.77435223700628542</v>
      </c>
      <c r="AK100" s="19">
        <v>0.96571272754186721</v>
      </c>
      <c r="AL100">
        <v>0.55719632761098647</v>
      </c>
    </row>
    <row r="101" spans="1:38">
      <c r="AI101">
        <v>1999</v>
      </c>
      <c r="AJ101">
        <v>-5.2562258160025466E-2</v>
      </c>
      <c r="AK101" s="19">
        <v>0.30620159653767265</v>
      </c>
      <c r="AL101">
        <v>1.0292822060421318</v>
      </c>
    </row>
    <row r="102" spans="1:38">
      <c r="AI102">
        <v>1998</v>
      </c>
      <c r="AJ102">
        <v>-0.27364719536540277</v>
      </c>
      <c r="AK102" s="19">
        <v>-0.57314657813458159</v>
      </c>
      <c r="AL102">
        <v>0.86694427490582371</v>
      </c>
    </row>
    <row r="103" spans="1:38">
      <c r="AI103">
        <v>1997</v>
      </c>
      <c r="AJ103">
        <v>-0.45727055550893159</v>
      </c>
      <c r="AK103" s="19">
        <v>-0.79298362180264903</v>
      </c>
      <c r="AL103">
        <v>1.0197079232845874</v>
      </c>
    </row>
    <row r="104" spans="1:38">
      <c r="G104">
        <v>17.48</v>
      </c>
      <c r="H104" t="s">
        <v>93</v>
      </c>
      <c r="AI104">
        <v>1996</v>
      </c>
      <c r="AJ104">
        <v>-0.1419323445225506</v>
      </c>
      <c r="AK104" s="19">
        <v>8.636455286961299E-2</v>
      </c>
      <c r="AL104">
        <v>1.6513844891148475</v>
      </c>
    </row>
    <row r="105" spans="1:38">
      <c r="G105" t="s">
        <v>106</v>
      </c>
      <c r="AI105">
        <v>1995</v>
      </c>
      <c r="AJ105">
        <v>-6.7595328600372567E-2</v>
      </c>
      <c r="AK105" s="19">
        <v>8.636455286961299E-2</v>
      </c>
      <c r="AL105">
        <v>0.57174003083917102</v>
      </c>
    </row>
    <row r="106" spans="1:38">
      <c r="AI106">
        <v>1994</v>
      </c>
      <c r="AJ106">
        <v>0.56564976863266991</v>
      </c>
      <c r="AK106" s="19">
        <v>-0.35330953446651409</v>
      </c>
      <c r="AL106">
        <v>0.40419612619559475</v>
      </c>
    </row>
    <row r="107" spans="1:38">
      <c r="AI107">
        <v>1993</v>
      </c>
      <c r="AJ107">
        <v>0.72719431566225523</v>
      </c>
      <c r="AK107" s="19">
        <v>2.0648979458821888</v>
      </c>
      <c r="AL107">
        <v>0.4845012562344802</v>
      </c>
    </row>
    <row r="108" spans="1:38">
      <c r="B108" t="s">
        <v>84</v>
      </c>
      <c r="AI108">
        <v>1992</v>
      </c>
      <c r="AJ108">
        <v>0.49432149286057303</v>
      </c>
      <c r="AK108" s="19">
        <v>-0.35330953446651409</v>
      </c>
      <c r="AL108">
        <v>0.55823748499546921</v>
      </c>
    </row>
    <row r="109" spans="1:38">
      <c r="AI109">
        <v>1991</v>
      </c>
      <c r="AJ109">
        <v>0.65528041456549535</v>
      </c>
      <c r="AK109" s="19">
        <v>-0.13347249079845447</v>
      </c>
      <c r="AL109">
        <v>0.3936999563804473</v>
      </c>
    </row>
    <row r="110" spans="1:38">
      <c r="AI110">
        <v>1990</v>
      </c>
      <c r="AJ110">
        <v>0.15740446073118192</v>
      </c>
      <c r="AK110" s="19">
        <v>0.52603864020574009</v>
      </c>
      <c r="AL110">
        <v>1.1044258274052983</v>
      </c>
    </row>
    <row r="111" spans="1:38">
      <c r="B111" t="s">
        <v>101</v>
      </c>
      <c r="H111" t="s">
        <v>104</v>
      </c>
      <c r="AI111">
        <v>1989</v>
      </c>
      <c r="AJ111">
        <v>0.39606709097348247</v>
      </c>
      <c r="AK111" s="19">
        <v>0.30620159653767265</v>
      </c>
      <c r="AL111">
        <v>0.38322260984045381</v>
      </c>
    </row>
    <row r="112" spans="1:38">
      <c r="AI112">
        <v>1988</v>
      </c>
      <c r="AJ112">
        <v>-1.6550631106982822E-2</v>
      </c>
      <c r="AK112" s="19">
        <v>-0.35330953446651409</v>
      </c>
      <c r="AL112">
        <v>0.89498866890508966</v>
      </c>
    </row>
    <row r="113" spans="2:38">
      <c r="G113" t="s">
        <v>105</v>
      </c>
      <c r="AI113">
        <v>1987</v>
      </c>
      <c r="AJ113">
        <v>-0.1499196361171608</v>
      </c>
      <c r="AK113" s="19">
        <v>-0.57314657813458159</v>
      </c>
      <c r="AL113">
        <v>0.8242937275895218</v>
      </c>
    </row>
    <row r="114" spans="2:38">
      <c r="B114">
        <v>17480000</v>
      </c>
      <c r="C114" t="s">
        <v>102</v>
      </c>
      <c r="AI114">
        <v>1986</v>
      </c>
      <c r="AJ114">
        <v>-0.15409241471607016</v>
      </c>
      <c r="AK114" s="19">
        <v>8.636455286961299E-2</v>
      </c>
      <c r="AL114">
        <v>1.1135397275602175</v>
      </c>
    </row>
    <row r="115" spans="2:38">
      <c r="AI115">
        <v>1985</v>
      </c>
      <c r="AJ115">
        <v>-1.3842537895437046E-2</v>
      </c>
      <c r="AK115" s="19">
        <v>8.636455286961299E-2</v>
      </c>
      <c r="AL115">
        <v>0.70532841683025749</v>
      </c>
    </row>
    <row r="116" spans="2:38">
      <c r="C116" t="s">
        <v>103</v>
      </c>
      <c r="AI116">
        <v>1984</v>
      </c>
      <c r="AJ116">
        <v>-0.16630718319828436</v>
      </c>
      <c r="AK116" s="19">
        <v>1.1855497712099345</v>
      </c>
      <c r="AL116">
        <v>1.2293521957105378</v>
      </c>
    </row>
    <row r="117" spans="2:38">
      <c r="AI117">
        <v>1983</v>
      </c>
      <c r="AJ117">
        <v>-0.82179139681122615</v>
      </c>
      <c r="AK117" s="19">
        <v>-2.1120058838110305</v>
      </c>
      <c r="AL117">
        <v>1.0916486584284206</v>
      </c>
    </row>
    <row r="118" spans="2:38">
      <c r="AI118">
        <v>1982</v>
      </c>
      <c r="AJ118">
        <v>-0.16936628209470328</v>
      </c>
      <c r="AK118" s="19">
        <v>-0.35330953446651409</v>
      </c>
      <c r="AL118">
        <v>0.67322331513603362</v>
      </c>
    </row>
    <row r="122" spans="2:38">
      <c r="B122">
        <f>20*1000000</f>
        <v>20000000</v>
      </c>
    </row>
    <row r="123" spans="2:38">
      <c r="B123">
        <f>B122/G99</f>
        <v>231.4814814814815</v>
      </c>
    </row>
    <row r="126" spans="2:38">
      <c r="F126" t="s">
        <v>181</v>
      </c>
      <c r="H126" t="s">
        <v>182</v>
      </c>
      <c r="I126" t="s">
        <v>183</v>
      </c>
      <c r="J126" t="s">
        <v>184</v>
      </c>
      <c r="L126" t="s">
        <v>185</v>
      </c>
    </row>
    <row r="127" spans="2:38">
      <c r="F127" t="s">
        <v>186</v>
      </c>
      <c r="H127" t="s">
        <v>187</v>
      </c>
      <c r="J127" t="s">
        <v>188</v>
      </c>
      <c r="L127" t="s">
        <v>189</v>
      </c>
    </row>
    <row r="128" spans="2:38">
      <c r="F128" t="s">
        <v>190</v>
      </c>
      <c r="H128" t="s">
        <v>191</v>
      </c>
      <c r="I128" t="s">
        <v>192</v>
      </c>
      <c r="J128" t="s">
        <v>193</v>
      </c>
      <c r="L128" t="s">
        <v>194</v>
      </c>
      <c r="P128">
        <f>2500*0.6</f>
        <v>1500</v>
      </c>
    </row>
    <row r="129" spans="8:12">
      <c r="H129" t="s">
        <v>107</v>
      </c>
      <c r="I129" t="s">
        <v>195</v>
      </c>
      <c r="J129" t="s">
        <v>196</v>
      </c>
      <c r="L129" t="s">
        <v>194</v>
      </c>
    </row>
  </sheetData>
  <sortState ref="Q66:R93">
    <sortCondition descending="1" ref="Q66:Q93"/>
  </sortState>
  <phoneticPr fontId="0" type="noConversion"/>
  <hyperlinks>
    <hyperlink ref="AQ18" r:id="rId1"/>
    <hyperlink ref="AQ19" r:id="rId2"/>
    <hyperlink ref="AQ20" r:id="rId3"/>
    <hyperlink ref="AQ24" r:id="rId4"/>
    <hyperlink ref="AQ23" r:id="rId5"/>
    <hyperlink ref="AQ21" r:id="rId6"/>
  </hyperlinks>
  <pageMargins left="0.75" right="0.75" top="1" bottom="1" header="0.5" footer="0.5"/>
  <pageSetup orientation="portrait"/>
  <headerFooter alignWithMargins="0"/>
  <drawing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J63" sqref="J63"/>
    </sheetView>
  </sheetViews>
  <sheetFormatPr baseColWidth="10" defaultRowHeight="12" x14ac:dyDescent="0"/>
  <sheetData>
    <row r="1" spans="1:6">
      <c r="D1" t="s">
        <v>180</v>
      </c>
    </row>
    <row r="2" spans="1:6">
      <c r="A2" t="s">
        <v>109</v>
      </c>
      <c r="B2">
        <v>-50.2</v>
      </c>
      <c r="C2">
        <v>149.80000000000001</v>
      </c>
      <c r="D2">
        <v>0</v>
      </c>
      <c r="E2">
        <v>0</v>
      </c>
      <c r="F2">
        <v>0</v>
      </c>
    </row>
    <row r="3" spans="1:6">
      <c r="A3" t="s">
        <v>110</v>
      </c>
      <c r="B3">
        <v>-42.5</v>
      </c>
      <c r="C3">
        <v>131.1</v>
      </c>
      <c r="D3">
        <v>0</v>
      </c>
      <c r="E3">
        <v>0</v>
      </c>
      <c r="F3">
        <v>0</v>
      </c>
    </row>
    <row r="4" spans="1:6">
      <c r="A4" t="s">
        <v>111</v>
      </c>
      <c r="B4">
        <v>-32.5</v>
      </c>
      <c r="C4">
        <v>116.9</v>
      </c>
      <c r="D4">
        <v>0</v>
      </c>
      <c r="E4">
        <v>0</v>
      </c>
      <c r="F4">
        <v>0</v>
      </c>
    </row>
    <row r="5" spans="1:6">
      <c r="A5" t="s">
        <v>112</v>
      </c>
      <c r="B5">
        <v>-21.3</v>
      </c>
      <c r="C5">
        <v>105.6</v>
      </c>
      <c r="D5">
        <v>0</v>
      </c>
      <c r="E5">
        <v>0</v>
      </c>
      <c r="F5">
        <v>0</v>
      </c>
    </row>
    <row r="6" spans="1:6">
      <c r="A6" t="s">
        <v>113</v>
      </c>
      <c r="B6">
        <v>-9.6</v>
      </c>
      <c r="C6">
        <v>96</v>
      </c>
      <c r="D6">
        <v>0</v>
      </c>
      <c r="E6">
        <v>0</v>
      </c>
      <c r="F6">
        <v>0</v>
      </c>
    </row>
    <row r="7" spans="1:6">
      <c r="A7" t="s">
        <v>114</v>
      </c>
      <c r="B7">
        <v>2.4</v>
      </c>
      <c r="C7">
        <v>87</v>
      </c>
      <c r="D7">
        <v>16</v>
      </c>
      <c r="E7">
        <v>0.02</v>
      </c>
      <c r="F7">
        <v>15</v>
      </c>
    </row>
    <row r="8" spans="1:6">
      <c r="A8" t="s">
        <v>115</v>
      </c>
      <c r="B8">
        <v>14.3</v>
      </c>
      <c r="C8">
        <v>77.7</v>
      </c>
      <c r="D8">
        <v>128</v>
      </c>
      <c r="E8">
        <v>0.14000000000000001</v>
      </c>
      <c r="F8">
        <v>260</v>
      </c>
    </row>
    <row r="9" spans="1:6">
      <c r="A9" t="s">
        <v>116</v>
      </c>
      <c r="B9">
        <v>25.8</v>
      </c>
      <c r="C9">
        <v>67.400000000000006</v>
      </c>
      <c r="D9">
        <v>268</v>
      </c>
      <c r="E9">
        <v>0.41</v>
      </c>
      <c r="F9">
        <v>521</v>
      </c>
    </row>
    <row r="10" spans="1:6">
      <c r="A10" t="s">
        <v>117</v>
      </c>
      <c r="B10">
        <v>36.299999999999997</v>
      </c>
      <c r="C10">
        <v>54.8</v>
      </c>
      <c r="D10">
        <v>396</v>
      </c>
      <c r="E10">
        <v>0.81</v>
      </c>
      <c r="F10">
        <v>758</v>
      </c>
    </row>
    <row r="11" spans="1:6">
      <c r="A11" t="s">
        <v>118</v>
      </c>
      <c r="B11">
        <v>45.1</v>
      </c>
      <c r="C11">
        <v>38.700000000000003</v>
      </c>
      <c r="D11">
        <v>492</v>
      </c>
      <c r="E11">
        <v>1.3</v>
      </c>
      <c r="F11">
        <v>942</v>
      </c>
    </row>
    <row r="12" spans="1:6">
      <c r="A12" t="s">
        <v>119</v>
      </c>
      <c r="B12">
        <v>50.8</v>
      </c>
      <c r="C12">
        <v>17.899999999999999</v>
      </c>
      <c r="D12">
        <v>545</v>
      </c>
      <c r="E12">
        <v>1.84</v>
      </c>
      <c r="F12">
        <v>1052</v>
      </c>
    </row>
    <row r="13" spans="1:6">
      <c r="A13" t="s">
        <v>120</v>
      </c>
      <c r="B13">
        <v>52.1</v>
      </c>
      <c r="C13">
        <v>-6.2</v>
      </c>
      <c r="D13">
        <v>565</v>
      </c>
      <c r="E13">
        <v>2.41</v>
      </c>
      <c r="F13">
        <v>1074</v>
      </c>
    </row>
    <row r="14" spans="1:6">
      <c r="A14" t="s">
        <v>121</v>
      </c>
      <c r="B14">
        <v>48.4</v>
      </c>
      <c r="C14">
        <v>-29.1</v>
      </c>
      <c r="D14">
        <v>535</v>
      </c>
      <c r="E14">
        <v>2.94</v>
      </c>
      <c r="F14">
        <v>1007</v>
      </c>
    </row>
    <row r="15" spans="1:6">
      <c r="A15" t="s">
        <v>122</v>
      </c>
      <c r="B15">
        <v>41</v>
      </c>
      <c r="C15">
        <v>-47.5</v>
      </c>
      <c r="D15">
        <v>458</v>
      </c>
      <c r="E15">
        <v>3.4</v>
      </c>
      <c r="F15">
        <v>858</v>
      </c>
    </row>
    <row r="16" spans="1:6">
      <c r="A16" t="s">
        <v>123</v>
      </c>
      <c r="B16">
        <v>31.2</v>
      </c>
      <c r="C16">
        <v>-61.6</v>
      </c>
      <c r="D16">
        <v>335</v>
      </c>
      <c r="E16">
        <v>3.74</v>
      </c>
      <c r="F16">
        <v>643</v>
      </c>
    </row>
    <row r="17" spans="1:6">
      <c r="A17" t="s">
        <v>124</v>
      </c>
      <c r="B17">
        <v>20.2</v>
      </c>
      <c r="C17">
        <v>-72.900000000000006</v>
      </c>
      <c r="D17">
        <v>201</v>
      </c>
      <c r="E17">
        <v>3.94</v>
      </c>
      <c r="F17">
        <v>390</v>
      </c>
    </row>
    <row r="18" spans="1:6">
      <c r="A18" t="s">
        <v>125</v>
      </c>
      <c r="B18">
        <v>8.4</v>
      </c>
      <c r="C18">
        <v>-82.6</v>
      </c>
      <c r="D18">
        <v>63</v>
      </c>
      <c r="E18">
        <v>4</v>
      </c>
      <c r="F18">
        <v>134</v>
      </c>
    </row>
    <row r="19" spans="1:6">
      <c r="A19" t="s">
        <v>126</v>
      </c>
      <c r="B19">
        <v>-3.5</v>
      </c>
      <c r="C19">
        <v>-91.7</v>
      </c>
      <c r="D19">
        <v>4</v>
      </c>
      <c r="E19">
        <v>4.01</v>
      </c>
      <c r="F19">
        <v>0</v>
      </c>
    </row>
    <row r="20" spans="1:6">
      <c r="A20" t="s">
        <v>127</v>
      </c>
      <c r="B20">
        <v>-15.4</v>
      </c>
      <c r="C20">
        <v>-100.9</v>
      </c>
      <c r="D20">
        <v>0</v>
      </c>
      <c r="E20">
        <v>4.01</v>
      </c>
      <c r="F20">
        <v>0</v>
      </c>
    </row>
    <row r="21" spans="1:6">
      <c r="A21" t="s">
        <v>128</v>
      </c>
      <c r="B21">
        <v>-27</v>
      </c>
      <c r="C21">
        <v>-111.3</v>
      </c>
      <c r="D21">
        <v>0</v>
      </c>
      <c r="E21">
        <v>4.01</v>
      </c>
      <c r="F21">
        <v>0</v>
      </c>
    </row>
    <row r="22" spans="1:6">
      <c r="A22" t="s">
        <v>129</v>
      </c>
      <c r="B22">
        <v>-37.6</v>
      </c>
      <c r="C22">
        <v>-123.9</v>
      </c>
      <c r="D22">
        <v>0</v>
      </c>
      <c r="E22">
        <v>4.01</v>
      </c>
      <c r="F22">
        <v>0</v>
      </c>
    </row>
    <row r="23" spans="1:6">
      <c r="A23" t="s">
        <v>130</v>
      </c>
      <c r="B23">
        <v>-46.5</v>
      </c>
      <c r="C23">
        <v>-140.19999999999999</v>
      </c>
      <c r="D23">
        <v>0</v>
      </c>
      <c r="E23">
        <v>4.01</v>
      </c>
      <c r="F23">
        <v>0</v>
      </c>
    </row>
    <row r="24" spans="1:6">
      <c r="A24" t="s">
        <v>131</v>
      </c>
      <c r="B24">
        <v>-52.4</v>
      </c>
      <c r="C24">
        <v>-161.5</v>
      </c>
      <c r="D24">
        <v>0</v>
      </c>
      <c r="E24">
        <v>4.01</v>
      </c>
      <c r="F24">
        <v>0</v>
      </c>
    </row>
    <row r="25" spans="1:6">
      <c r="A25" t="s">
        <v>132</v>
      </c>
      <c r="B25">
        <v>-42.4</v>
      </c>
      <c r="C25">
        <v>172.1</v>
      </c>
      <c r="D25">
        <v>0</v>
      </c>
      <c r="E25">
        <v>0</v>
      </c>
      <c r="F25">
        <v>0</v>
      </c>
    </row>
    <row r="26" spans="1:6">
      <c r="A26" t="s">
        <v>133</v>
      </c>
      <c r="B26">
        <v>-38.799999999999997</v>
      </c>
      <c r="C26">
        <v>153.19999999999999</v>
      </c>
      <c r="D26">
        <v>0</v>
      </c>
      <c r="E26">
        <v>0</v>
      </c>
      <c r="F26">
        <v>0</v>
      </c>
    </row>
    <row r="27" spans="1:6">
      <c r="A27" t="s">
        <v>134</v>
      </c>
      <c r="B27">
        <v>-31.9</v>
      </c>
      <c r="C27">
        <v>137.19999999999999</v>
      </c>
      <c r="D27">
        <v>0</v>
      </c>
      <c r="E27">
        <v>0</v>
      </c>
      <c r="F27">
        <v>0</v>
      </c>
    </row>
    <row r="28" spans="1:6">
      <c r="A28" t="s">
        <v>135</v>
      </c>
      <c r="B28">
        <v>-22.8</v>
      </c>
      <c r="C28">
        <v>124.1</v>
      </c>
      <c r="D28">
        <v>0</v>
      </c>
      <c r="E28">
        <v>0</v>
      </c>
      <c r="F28">
        <v>0</v>
      </c>
    </row>
    <row r="29" spans="1:6">
      <c r="A29" t="s">
        <v>136</v>
      </c>
      <c r="B29">
        <v>-12.3</v>
      </c>
      <c r="C29">
        <v>113.2</v>
      </c>
      <c r="D29">
        <v>0</v>
      </c>
      <c r="E29">
        <v>0</v>
      </c>
      <c r="F29">
        <v>0</v>
      </c>
    </row>
    <row r="30" spans="1:6">
      <c r="A30" t="s">
        <v>137</v>
      </c>
      <c r="B30">
        <v>-0.9</v>
      </c>
      <c r="C30">
        <v>103.8</v>
      </c>
      <c r="D30">
        <v>8</v>
      </c>
      <c r="E30">
        <v>0.01</v>
      </c>
      <c r="F30">
        <v>0</v>
      </c>
    </row>
    <row r="31" spans="1:6">
      <c r="A31" t="s">
        <v>138</v>
      </c>
      <c r="B31">
        <v>11</v>
      </c>
      <c r="C31">
        <v>94.9</v>
      </c>
      <c r="D31">
        <v>53</v>
      </c>
      <c r="E31">
        <v>0.06</v>
      </c>
      <c r="F31">
        <v>96</v>
      </c>
    </row>
    <row r="32" spans="1:6">
      <c r="A32" t="s">
        <v>139</v>
      </c>
      <c r="B32">
        <v>23</v>
      </c>
      <c r="C32">
        <v>85.9</v>
      </c>
      <c r="D32">
        <v>151</v>
      </c>
      <c r="E32">
        <v>0.21</v>
      </c>
      <c r="F32">
        <v>333</v>
      </c>
    </row>
    <row r="33" spans="1:6">
      <c r="A33" t="s">
        <v>140</v>
      </c>
      <c r="B33">
        <v>34.799999999999997</v>
      </c>
      <c r="C33">
        <v>75.900000000000006</v>
      </c>
      <c r="D33">
        <v>324</v>
      </c>
      <c r="E33">
        <v>0.54</v>
      </c>
      <c r="F33">
        <v>587</v>
      </c>
    </row>
    <row r="34" spans="1:6">
      <c r="A34" t="s">
        <v>141</v>
      </c>
      <c r="B34">
        <v>46.1</v>
      </c>
      <c r="C34">
        <v>63.3</v>
      </c>
      <c r="D34">
        <v>442</v>
      </c>
      <c r="E34">
        <v>0.98</v>
      </c>
      <c r="F34">
        <v>815</v>
      </c>
    </row>
    <row r="35" spans="1:6">
      <c r="A35" t="s">
        <v>142</v>
      </c>
      <c r="B35">
        <v>55.9</v>
      </c>
      <c r="C35">
        <v>45.6</v>
      </c>
      <c r="D35">
        <v>542</v>
      </c>
      <c r="E35">
        <v>1.52</v>
      </c>
      <c r="F35">
        <v>986</v>
      </c>
    </row>
    <row r="36" spans="1:6">
      <c r="A36" t="s">
        <v>143</v>
      </c>
      <c r="B36">
        <v>62.4</v>
      </c>
      <c r="C36">
        <v>19.5</v>
      </c>
      <c r="D36">
        <v>606</v>
      </c>
      <c r="E36">
        <v>2.13</v>
      </c>
      <c r="F36">
        <v>1081</v>
      </c>
    </row>
    <row r="37" spans="1:6">
      <c r="A37" t="s">
        <v>144</v>
      </c>
      <c r="B37">
        <v>63.1</v>
      </c>
      <c r="C37">
        <v>-13</v>
      </c>
      <c r="D37">
        <v>589</v>
      </c>
      <c r="E37">
        <v>2.72</v>
      </c>
      <c r="F37">
        <v>1091</v>
      </c>
    </row>
    <row r="38" spans="1:6">
      <c r="A38" t="s">
        <v>145</v>
      </c>
      <c r="B38">
        <v>57.6</v>
      </c>
      <c r="C38">
        <v>-41</v>
      </c>
      <c r="D38">
        <v>549</v>
      </c>
      <c r="E38">
        <v>3.27</v>
      </c>
      <c r="F38">
        <v>1012</v>
      </c>
    </row>
    <row r="39" spans="1:6">
      <c r="A39" t="s">
        <v>146</v>
      </c>
      <c r="B39">
        <v>48.3</v>
      </c>
      <c r="C39">
        <v>-60.2</v>
      </c>
      <c r="D39">
        <v>476</v>
      </c>
      <c r="E39">
        <v>3.74</v>
      </c>
      <c r="F39">
        <v>856</v>
      </c>
    </row>
    <row r="40" spans="1:6">
      <c r="A40" t="s">
        <v>147</v>
      </c>
      <c r="B40">
        <v>37.299999999999997</v>
      </c>
      <c r="C40">
        <v>-73.599999999999994</v>
      </c>
      <c r="D40">
        <v>347</v>
      </c>
      <c r="E40">
        <v>4.09</v>
      </c>
      <c r="F40">
        <v>638</v>
      </c>
    </row>
    <row r="41" spans="1:6">
      <c r="A41" t="s">
        <v>148</v>
      </c>
      <c r="B41">
        <v>25.5</v>
      </c>
      <c r="C41">
        <v>-84.1</v>
      </c>
      <c r="D41">
        <v>215</v>
      </c>
      <c r="E41">
        <v>4.3</v>
      </c>
      <c r="F41">
        <v>387</v>
      </c>
    </row>
    <row r="42" spans="1:6">
      <c r="A42" t="s">
        <v>149</v>
      </c>
      <c r="B42">
        <v>13.5</v>
      </c>
      <c r="C42">
        <v>-93.2</v>
      </c>
      <c r="D42">
        <v>84</v>
      </c>
      <c r="E42">
        <v>4.3899999999999997</v>
      </c>
      <c r="F42">
        <v>141</v>
      </c>
    </row>
    <row r="43" spans="1:6">
      <c r="A43" t="s">
        <v>150</v>
      </c>
      <c r="B43">
        <v>1.7</v>
      </c>
      <c r="C43">
        <v>-102.1</v>
      </c>
      <c r="D43">
        <v>13</v>
      </c>
      <c r="E43">
        <v>4.4000000000000004</v>
      </c>
      <c r="F43">
        <v>11</v>
      </c>
    </row>
    <row r="44" spans="1:6">
      <c r="A44" t="s">
        <v>151</v>
      </c>
      <c r="B44">
        <v>-9.8000000000000007</v>
      </c>
      <c r="C44">
        <v>-111.3</v>
      </c>
      <c r="D44">
        <v>1</v>
      </c>
      <c r="E44">
        <v>4.4000000000000004</v>
      </c>
      <c r="F44">
        <v>0</v>
      </c>
    </row>
    <row r="45" spans="1:6">
      <c r="A45" t="s">
        <v>152</v>
      </c>
      <c r="B45">
        <v>-20.5</v>
      </c>
      <c r="C45">
        <v>-121.9</v>
      </c>
      <c r="D45">
        <v>0</v>
      </c>
      <c r="E45">
        <v>4.4000000000000004</v>
      </c>
      <c r="F45">
        <v>0</v>
      </c>
    </row>
    <row r="46" spans="1:6">
      <c r="A46" t="s">
        <v>153</v>
      </c>
      <c r="B46">
        <v>-30</v>
      </c>
      <c r="C46">
        <v>-134.4</v>
      </c>
      <c r="D46">
        <v>0</v>
      </c>
      <c r="E46">
        <v>4.4000000000000004</v>
      </c>
      <c r="F46">
        <v>0</v>
      </c>
    </row>
    <row r="47" spans="1:6">
      <c r="A47" t="s">
        <v>154</v>
      </c>
      <c r="B47">
        <v>-37.4</v>
      </c>
      <c r="C47">
        <v>-149.80000000000001</v>
      </c>
      <c r="D47">
        <v>0</v>
      </c>
      <c r="E47">
        <v>4.4000000000000004</v>
      </c>
      <c r="F47">
        <v>0</v>
      </c>
    </row>
    <row r="48" spans="1:6">
      <c r="A48" t="s">
        <v>155</v>
      </c>
      <c r="B48">
        <v>-41.7</v>
      </c>
      <c r="C48">
        <v>-168.1</v>
      </c>
      <c r="D48">
        <v>0</v>
      </c>
      <c r="E48">
        <v>4.4000000000000004</v>
      </c>
      <c r="F48">
        <v>0</v>
      </c>
    </row>
    <row r="49" spans="1:10">
      <c r="A49" t="s">
        <v>156</v>
      </c>
      <c r="B49">
        <v>-33.200000000000003</v>
      </c>
      <c r="C49">
        <v>173.6</v>
      </c>
      <c r="D49">
        <v>0</v>
      </c>
      <c r="E49">
        <v>0</v>
      </c>
      <c r="F49">
        <v>0</v>
      </c>
    </row>
    <row r="50" spans="1:10">
      <c r="A50" t="s">
        <v>157</v>
      </c>
      <c r="B50">
        <v>-30.1</v>
      </c>
      <c r="C50">
        <v>157.30000000000001</v>
      </c>
      <c r="D50">
        <v>0</v>
      </c>
      <c r="E50">
        <v>0</v>
      </c>
      <c r="F50">
        <v>0</v>
      </c>
    </row>
    <row r="51" spans="1:10">
      <c r="A51" t="s">
        <v>158</v>
      </c>
      <c r="B51">
        <v>-24.1</v>
      </c>
      <c r="C51">
        <v>143</v>
      </c>
      <c r="D51">
        <v>0</v>
      </c>
      <c r="E51">
        <v>0</v>
      </c>
      <c r="F51">
        <v>0</v>
      </c>
    </row>
    <row r="52" spans="1:10">
      <c r="A52" t="s">
        <v>159</v>
      </c>
      <c r="B52">
        <v>-15.9</v>
      </c>
      <c r="C52">
        <v>130.69999999999999</v>
      </c>
      <c r="D52">
        <v>0</v>
      </c>
      <c r="E52">
        <v>0</v>
      </c>
      <c r="F52">
        <v>0</v>
      </c>
    </row>
    <row r="53" spans="1:10">
      <c r="A53" t="s">
        <v>160</v>
      </c>
      <c r="B53">
        <v>-6.1</v>
      </c>
      <c r="C53">
        <v>120.4</v>
      </c>
      <c r="D53">
        <v>0</v>
      </c>
      <c r="E53">
        <v>0</v>
      </c>
      <c r="F53">
        <v>0</v>
      </c>
    </row>
    <row r="54" spans="1:10">
      <c r="A54" t="s">
        <v>161</v>
      </c>
      <c r="B54">
        <v>4.7</v>
      </c>
      <c r="C54">
        <v>111.3</v>
      </c>
      <c r="D54">
        <v>20</v>
      </c>
      <c r="E54">
        <v>0.02</v>
      </c>
      <c r="F54">
        <v>23</v>
      </c>
    </row>
    <row r="55" spans="1:10">
      <c r="A55" t="s">
        <v>162</v>
      </c>
      <c r="B55">
        <v>16.100000000000001</v>
      </c>
      <c r="C55">
        <v>102.9</v>
      </c>
      <c r="D55">
        <v>86</v>
      </c>
      <c r="E55">
        <v>0.11</v>
      </c>
      <c r="F55">
        <v>107</v>
      </c>
    </row>
    <row r="56" spans="1:10">
      <c r="A56" t="s">
        <v>163</v>
      </c>
      <c r="B56">
        <v>28</v>
      </c>
      <c r="C56">
        <v>94.6</v>
      </c>
      <c r="D56">
        <v>164</v>
      </c>
      <c r="E56">
        <v>0.27</v>
      </c>
      <c r="F56">
        <v>339</v>
      </c>
    </row>
    <row r="57" spans="1:10">
      <c r="A57" t="s">
        <v>164</v>
      </c>
      <c r="B57">
        <v>40</v>
      </c>
      <c r="C57">
        <v>85.6</v>
      </c>
      <c r="D57">
        <v>289</v>
      </c>
      <c r="E57">
        <v>0.56000000000000005</v>
      </c>
      <c r="F57">
        <v>582</v>
      </c>
    </row>
    <row r="58" spans="1:10">
      <c r="A58" t="s">
        <v>165</v>
      </c>
      <c r="B58">
        <v>51.8</v>
      </c>
      <c r="C58">
        <v>74.400000000000006</v>
      </c>
      <c r="D58">
        <v>458</v>
      </c>
      <c r="E58">
        <v>1.02</v>
      </c>
      <c r="F58">
        <v>800</v>
      </c>
    </row>
    <row r="59" spans="1:10">
      <c r="A59" t="s">
        <v>166</v>
      </c>
      <c r="B59">
        <v>62.8</v>
      </c>
      <c r="C59">
        <v>57.8</v>
      </c>
      <c r="D59">
        <v>548</v>
      </c>
      <c r="E59">
        <v>1.57</v>
      </c>
      <c r="F59">
        <v>964</v>
      </c>
      <c r="J59">
        <f>-10*-0.016723368</f>
        <v>0.16723368</v>
      </c>
    </row>
    <row r="60" spans="1:10">
      <c r="A60" t="s">
        <v>167</v>
      </c>
      <c r="B60">
        <v>71.099999999999994</v>
      </c>
      <c r="C60">
        <v>28</v>
      </c>
      <c r="D60">
        <v>618</v>
      </c>
      <c r="E60">
        <v>2.1800000000000002</v>
      </c>
      <c r="F60">
        <v>1056</v>
      </c>
      <c r="J60">
        <f>-9*-0.016723368</f>
        <v>0.15051031199999998</v>
      </c>
    </row>
    <row r="61" spans="1:10">
      <c r="A61" t="s">
        <v>168</v>
      </c>
      <c r="B61">
        <v>72.2</v>
      </c>
      <c r="C61">
        <v>-17.8</v>
      </c>
      <c r="D61">
        <v>618</v>
      </c>
      <c r="E61">
        <v>2.8</v>
      </c>
      <c r="F61">
        <v>1066</v>
      </c>
      <c r="J61">
        <f>J60*0.0020052</f>
        <v>3.0180327762239996E-4</v>
      </c>
    </row>
    <row r="62" spans="1:10">
      <c r="A62" t="s">
        <v>169</v>
      </c>
      <c r="B62">
        <v>65.2</v>
      </c>
      <c r="C62">
        <v>-52.3</v>
      </c>
      <c r="D62">
        <v>575</v>
      </c>
      <c r="E62">
        <v>3.38</v>
      </c>
      <c r="F62">
        <v>993</v>
      </c>
      <c r="J62">
        <f>J61-1</f>
        <v>-0.99969819672237759</v>
      </c>
    </row>
    <row r="63" spans="1:10">
      <c r="A63" t="s">
        <v>170</v>
      </c>
      <c r="B63">
        <v>54.6</v>
      </c>
      <c r="C63">
        <v>-71.2</v>
      </c>
      <c r="D63">
        <v>504</v>
      </c>
      <c r="E63">
        <v>3.88</v>
      </c>
      <c r="F63">
        <v>844</v>
      </c>
    </row>
    <row r="64" spans="1:10">
      <c r="A64" t="s">
        <v>171</v>
      </c>
      <c r="B64">
        <v>42.9</v>
      </c>
      <c r="C64">
        <v>-83.3</v>
      </c>
      <c r="D64">
        <v>388</v>
      </c>
      <c r="E64">
        <v>4.2699999999999996</v>
      </c>
      <c r="F64">
        <v>638</v>
      </c>
    </row>
    <row r="65" spans="1:6">
      <c r="A65" t="s">
        <v>172</v>
      </c>
      <c r="B65">
        <v>30.9</v>
      </c>
      <c r="C65">
        <v>-92.6</v>
      </c>
      <c r="D65">
        <v>254</v>
      </c>
      <c r="E65">
        <v>4.5199999999999996</v>
      </c>
      <c r="F65">
        <v>398</v>
      </c>
    </row>
    <row r="66" spans="1:6">
      <c r="A66" t="s">
        <v>173</v>
      </c>
      <c r="B66">
        <v>19</v>
      </c>
      <c r="C66">
        <v>-101</v>
      </c>
      <c r="D66">
        <v>118</v>
      </c>
      <c r="E66">
        <v>4.6399999999999997</v>
      </c>
      <c r="F66">
        <v>159</v>
      </c>
    </row>
    <row r="67" spans="1:6">
      <c r="A67" t="s">
        <v>174</v>
      </c>
      <c r="B67">
        <v>7.4</v>
      </c>
      <c r="C67">
        <v>-109.3</v>
      </c>
      <c r="D67">
        <v>30</v>
      </c>
      <c r="E67">
        <v>4.67</v>
      </c>
      <c r="F67">
        <v>29</v>
      </c>
    </row>
    <row r="68" spans="1:6">
      <c r="A68" t="s">
        <v>175</v>
      </c>
      <c r="B68">
        <v>-3.5</v>
      </c>
      <c r="C68">
        <v>-118.2</v>
      </c>
      <c r="D68">
        <v>4</v>
      </c>
      <c r="E68">
        <v>4.67</v>
      </c>
      <c r="F68">
        <v>0</v>
      </c>
    </row>
    <row r="69" spans="1:6">
      <c r="A69" t="s">
        <v>176</v>
      </c>
      <c r="B69">
        <v>-13.6</v>
      </c>
      <c r="C69">
        <v>-128.19999999999999</v>
      </c>
      <c r="D69">
        <v>0</v>
      </c>
      <c r="E69">
        <v>4.67</v>
      </c>
      <c r="F69">
        <v>0</v>
      </c>
    </row>
    <row r="70" spans="1:6">
      <c r="A70" t="s">
        <v>177</v>
      </c>
      <c r="B70">
        <v>-22.2</v>
      </c>
      <c r="C70">
        <v>-139.9</v>
      </c>
      <c r="D70">
        <v>0</v>
      </c>
      <c r="E70">
        <v>4.67</v>
      </c>
      <c r="F70">
        <v>0</v>
      </c>
    </row>
    <row r="71" spans="1:6">
      <c r="A71" t="s">
        <v>178</v>
      </c>
      <c r="B71">
        <v>-28.8</v>
      </c>
      <c r="C71">
        <v>-153.80000000000001</v>
      </c>
      <c r="D71">
        <v>0</v>
      </c>
      <c r="E71">
        <v>4.67</v>
      </c>
      <c r="F71">
        <v>0</v>
      </c>
    </row>
    <row r="72" spans="1:6">
      <c r="A72" t="s">
        <v>179</v>
      </c>
      <c r="B72">
        <v>-32.5</v>
      </c>
      <c r="C72">
        <v>-169.6</v>
      </c>
      <c r="D72">
        <v>0</v>
      </c>
      <c r="E72">
        <v>4.67</v>
      </c>
      <c r="F72">
        <v>0</v>
      </c>
    </row>
    <row r="74" spans="1:6">
      <c r="D74">
        <f>AVERAGE(D2:D72)</f>
        <v>184.22535211267606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7" sqref="B37"/>
    </sheetView>
  </sheetViews>
  <sheetFormatPr baseColWidth="10" defaultRowHeight="12" x14ac:dyDescent="0"/>
  <sheetData>
    <row r="1" spans="1:3">
      <c r="A1" t="s">
        <v>220</v>
      </c>
      <c r="B1" t="s">
        <v>221</v>
      </c>
    </row>
    <row r="2" spans="1:3">
      <c r="A2">
        <v>-17.2</v>
      </c>
      <c r="B2">
        <v>-26.9</v>
      </c>
      <c r="C2" t="s">
        <v>249</v>
      </c>
    </row>
    <row r="3" spans="1:3">
      <c r="A3">
        <v>-4.5</v>
      </c>
      <c r="B3">
        <v>-13.8</v>
      </c>
      <c r="C3" t="s">
        <v>249</v>
      </c>
    </row>
    <row r="4" spans="1:3">
      <c r="A4">
        <v>-17.2</v>
      </c>
      <c r="B4">
        <v>-27.5</v>
      </c>
      <c r="C4" t="s">
        <v>249</v>
      </c>
    </row>
    <row r="5" spans="1:3">
      <c r="A5">
        <v>-17.2</v>
      </c>
      <c r="B5">
        <v>-27.3</v>
      </c>
      <c r="C5" t="s">
        <v>249</v>
      </c>
    </row>
    <row r="6" spans="1:3">
      <c r="A6">
        <v>-9.4</v>
      </c>
      <c r="B6">
        <v>-20.7</v>
      </c>
      <c r="C6" t="s">
        <v>250</v>
      </c>
    </row>
    <row r="7" spans="1:3">
      <c r="A7">
        <v>-14.3</v>
      </c>
      <c r="B7">
        <v>-26.3</v>
      </c>
      <c r="C7" t="s">
        <v>250</v>
      </c>
    </row>
    <row r="8" spans="1:3">
      <c r="A8">
        <v>-6.6</v>
      </c>
      <c r="B8">
        <v>-18.2</v>
      </c>
      <c r="C8" t="s">
        <v>250</v>
      </c>
    </row>
    <row r="9" spans="1:3">
      <c r="A9">
        <v>-9</v>
      </c>
      <c r="B9">
        <v>-20.100000000000001</v>
      </c>
      <c r="C9" t="s">
        <v>250</v>
      </c>
    </row>
    <row r="10" spans="1:3">
      <c r="A10">
        <v>-7.8</v>
      </c>
      <c r="B10">
        <v>-18.399999999999999</v>
      </c>
      <c r="C10" t="s">
        <v>250</v>
      </c>
    </row>
    <row r="11" spans="1:3">
      <c r="A11">
        <v>-5.0999999999999996</v>
      </c>
      <c r="B11">
        <v>-15.2</v>
      </c>
      <c r="C11" t="s">
        <v>250</v>
      </c>
    </row>
    <row r="12" spans="1:3">
      <c r="A12">
        <v>-4.8</v>
      </c>
      <c r="B12">
        <v>-14.6</v>
      </c>
      <c r="C12" t="s">
        <v>250</v>
      </c>
    </row>
    <row r="13" spans="1:3">
      <c r="A13">
        <v>-5.9</v>
      </c>
      <c r="B13">
        <v>-15.4</v>
      </c>
      <c r="C13" t="s">
        <v>250</v>
      </c>
    </row>
    <row r="14" spans="1:3">
      <c r="A14">
        <v>-8.4</v>
      </c>
      <c r="B14">
        <v>-17.899999999999999</v>
      </c>
      <c r="C14" t="s">
        <v>250</v>
      </c>
    </row>
    <row r="15" spans="1:3">
      <c r="A15">
        <v>-6</v>
      </c>
      <c r="B15">
        <v>-15.7</v>
      </c>
      <c r="C15" t="s">
        <v>250</v>
      </c>
    </row>
    <row r="16" spans="1:3">
      <c r="A16">
        <v>-9.8000000000000007</v>
      </c>
      <c r="B16">
        <v>-19.7</v>
      </c>
      <c r="C16" t="s">
        <v>250</v>
      </c>
    </row>
    <row r="17" spans="1:4">
      <c r="A17">
        <v>-4.4000000000000004</v>
      </c>
      <c r="B17">
        <v>-20.100000000000001</v>
      </c>
      <c r="C17" t="s">
        <v>250</v>
      </c>
    </row>
    <row r="18" spans="1:4">
      <c r="A18">
        <v>-9.1</v>
      </c>
      <c r="B18">
        <v>-18.8</v>
      </c>
      <c r="C18" t="s">
        <v>250</v>
      </c>
    </row>
    <row r="19" spans="1:4">
      <c r="A19">
        <v>-7.8</v>
      </c>
      <c r="B19">
        <v>-17.399999999999999</v>
      </c>
      <c r="C19" t="s">
        <v>250</v>
      </c>
    </row>
    <row r="20" spans="1:4">
      <c r="A20">
        <v>-4.5999999999999996</v>
      </c>
      <c r="B20">
        <v>-14.2</v>
      </c>
      <c r="C20" t="s">
        <v>250</v>
      </c>
    </row>
    <row r="21" spans="1:4">
      <c r="A21">
        <v>-3.8</v>
      </c>
      <c r="B21">
        <v>-13.7</v>
      </c>
      <c r="C21" t="s">
        <v>250</v>
      </c>
    </row>
    <row r="22" spans="1:4">
      <c r="A22">
        <v>-7.6</v>
      </c>
      <c r="B22">
        <v>-17.7</v>
      </c>
      <c r="C22" t="s">
        <v>250</v>
      </c>
    </row>
    <row r="23" spans="1:4">
      <c r="A23">
        <v>-4.09</v>
      </c>
      <c r="B23">
        <v>-13.92</v>
      </c>
      <c r="C23" t="s">
        <v>251</v>
      </c>
      <c r="D23" t="s">
        <v>252</v>
      </c>
    </row>
    <row r="24" spans="1:4">
      <c r="A24">
        <v>-7.07</v>
      </c>
      <c r="B24">
        <v>-17.21</v>
      </c>
      <c r="C24" t="s">
        <v>251</v>
      </c>
    </row>
    <row r="25" spans="1:4">
      <c r="A25">
        <v>-7.8</v>
      </c>
      <c r="B25">
        <v>-18.5</v>
      </c>
      <c r="C25" t="s">
        <v>253</v>
      </c>
    </row>
    <row r="36" spans="2:2">
      <c r="B36">
        <f>0.9912*(-5.17)-10.481</f>
        <v>-15.605504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8"/>
  <sheetViews>
    <sheetView topLeftCell="A36" workbookViewId="0">
      <selection activeCell="O106" sqref="O106"/>
    </sheetView>
  </sheetViews>
  <sheetFormatPr baseColWidth="10" defaultRowHeight="12" x14ac:dyDescent="0"/>
  <sheetData>
    <row r="1" spans="3:38">
      <c r="C1" t="s">
        <v>72</v>
      </c>
      <c r="D1" t="s">
        <v>191</v>
      </c>
      <c r="E1" t="s">
        <v>273</v>
      </c>
      <c r="F1" t="s">
        <v>274</v>
      </c>
      <c r="G1" t="s">
        <v>73</v>
      </c>
      <c r="H1" t="s">
        <v>277</v>
      </c>
      <c r="I1" t="s">
        <v>276</v>
      </c>
      <c r="J1" t="s">
        <v>286</v>
      </c>
      <c r="K1" t="s">
        <v>280</v>
      </c>
      <c r="L1" t="s">
        <v>281</v>
      </c>
      <c r="M1" t="s">
        <v>282</v>
      </c>
      <c r="N1" t="s">
        <v>284</v>
      </c>
      <c r="O1" t="s">
        <v>283</v>
      </c>
      <c r="Q1" t="s">
        <v>72</v>
      </c>
      <c r="R1" t="s">
        <v>200</v>
      </c>
      <c r="S1" t="s">
        <v>287</v>
      </c>
      <c r="T1" t="s">
        <v>288</v>
      </c>
    </row>
    <row r="2" spans="3:38">
      <c r="C2">
        <v>2009</v>
      </c>
      <c r="D2">
        <v>-0.29035758142525425</v>
      </c>
      <c r="G2">
        <v>84.4</v>
      </c>
      <c r="H2">
        <v>81.716666666666654</v>
      </c>
      <c r="I2">
        <v>81.429999999999993</v>
      </c>
      <c r="J2">
        <v>12.849999999999998</v>
      </c>
      <c r="K2">
        <v>13.137500000000001</v>
      </c>
      <c r="L2">
        <v>13.2225</v>
      </c>
      <c r="M2">
        <v>13.633333333333333</v>
      </c>
      <c r="Q2">
        <v>2009</v>
      </c>
      <c r="R2">
        <v>14.266666666666666</v>
      </c>
      <c r="S2">
        <v>14.588888888888889</v>
      </c>
      <c r="T2">
        <v>14.559999999999999</v>
      </c>
    </row>
    <row r="3" spans="3:38">
      <c r="C3">
        <v>2008</v>
      </c>
      <c r="D3">
        <v>0.23922639121805345</v>
      </c>
      <c r="E3">
        <f>AVERAGE(D2:D4)</f>
        <v>0.19779802147859227</v>
      </c>
      <c r="G3">
        <v>79.8</v>
      </c>
      <c r="H3">
        <v>80.86666666666666</v>
      </c>
      <c r="I3">
        <v>80.959999999999994</v>
      </c>
      <c r="J3">
        <v>12.7875</v>
      </c>
      <c r="K3">
        <v>12.904166666666663</v>
      </c>
      <c r="L3">
        <v>13.012499999999999</v>
      </c>
      <c r="M3">
        <v>13</v>
      </c>
      <c r="N3">
        <v>13.177777777777777</v>
      </c>
      <c r="Q3">
        <v>2008</v>
      </c>
      <c r="R3">
        <v>14.633333333333333</v>
      </c>
      <c r="S3">
        <v>14.444444444444443</v>
      </c>
      <c r="T3">
        <v>14.6</v>
      </c>
    </row>
    <row r="4" spans="3:38">
      <c r="C4">
        <v>2007</v>
      </c>
      <c r="D4">
        <v>0.64452525464297761</v>
      </c>
      <c r="E4">
        <f t="shared" ref="E4:E28" si="0">AVERAGE(D3:D5)</f>
        <v>-7.742445290566484E-2</v>
      </c>
      <c r="F4">
        <f>AVERAGE(D2:D6)</f>
        <v>-0.16228638642328475</v>
      </c>
      <c r="G4">
        <v>78.400000000000006</v>
      </c>
      <c r="H4">
        <v>79.816666666666663</v>
      </c>
      <c r="I4">
        <v>81.03</v>
      </c>
      <c r="J4">
        <v>13.074999999999999</v>
      </c>
      <c r="K4">
        <v>12.8125</v>
      </c>
      <c r="L4">
        <v>12.95</v>
      </c>
      <c r="M4">
        <v>12.9</v>
      </c>
      <c r="N4">
        <v>13.111111111111109</v>
      </c>
      <c r="O4">
        <v>13.266666666666666</v>
      </c>
      <c r="Q4">
        <v>2007</v>
      </c>
      <c r="R4">
        <v>14.433333333333332</v>
      </c>
      <c r="S4">
        <v>14.622222222222222</v>
      </c>
      <c r="T4">
        <v>14.64</v>
      </c>
    </row>
    <row r="5" spans="3:38">
      <c r="C5">
        <v>2006</v>
      </c>
      <c r="D5">
        <v>-1.1160250045780256</v>
      </c>
      <c r="E5">
        <f t="shared" si="0"/>
        <v>-0.25343358063640764</v>
      </c>
      <c r="F5">
        <f t="shared" ref="F5:F27" si="1">AVERAGE(D3:D7)</f>
        <v>-6.5153909793778372E-2</v>
      </c>
      <c r="G5">
        <v>81.25</v>
      </c>
      <c r="H5">
        <v>80.316666666666677</v>
      </c>
      <c r="I5">
        <v>79.989999999999995</v>
      </c>
      <c r="J5">
        <v>12.574999999999999</v>
      </c>
      <c r="K5">
        <v>13.0375</v>
      </c>
      <c r="L5">
        <v>12.865</v>
      </c>
      <c r="M5">
        <v>13.433333333333332</v>
      </c>
      <c r="N5">
        <v>13.233333333333334</v>
      </c>
      <c r="O5">
        <v>13.113333333333333</v>
      </c>
      <c r="Q5">
        <v>2006</v>
      </c>
      <c r="R5">
        <v>14.800000000000002</v>
      </c>
      <c r="S5">
        <v>14.766666666666667</v>
      </c>
      <c r="T5">
        <v>14.646666666666667</v>
      </c>
    </row>
    <row r="6" spans="3:38">
      <c r="C6">
        <v>2005</v>
      </c>
      <c r="D6">
        <v>-0.28880099197417497</v>
      </c>
      <c r="E6">
        <f t="shared" si="0"/>
        <v>-0.40317373160997433</v>
      </c>
      <c r="F6">
        <f t="shared" si="1"/>
        <v>-0.25506753626800083</v>
      </c>
      <c r="G6">
        <v>81.300000000000011</v>
      </c>
      <c r="H6">
        <v>80.583333333333329</v>
      </c>
      <c r="I6">
        <v>80.22999999999999</v>
      </c>
      <c r="J6">
        <v>13.4625</v>
      </c>
      <c r="K6">
        <v>12.820833333333333</v>
      </c>
      <c r="L6">
        <v>12.9475</v>
      </c>
      <c r="M6">
        <v>13.366666666666667</v>
      </c>
      <c r="N6">
        <v>13.222222222222221</v>
      </c>
      <c r="O6">
        <v>13.160000000000002</v>
      </c>
      <c r="Q6">
        <v>2005</v>
      </c>
      <c r="R6">
        <v>15.066666666666668</v>
      </c>
      <c r="S6">
        <v>14.722222222222223</v>
      </c>
      <c r="T6">
        <v>14.606666666666669</v>
      </c>
    </row>
    <row r="7" spans="3:38">
      <c r="C7">
        <v>2004</v>
      </c>
      <c r="D7">
        <v>0.19530480172227757</v>
      </c>
      <c r="E7">
        <f t="shared" si="0"/>
        <v>-0.26794597713498541</v>
      </c>
      <c r="F7">
        <f t="shared" si="1"/>
        <v>-0.28305548249293883</v>
      </c>
      <c r="G7">
        <v>79.199999999999989</v>
      </c>
      <c r="H7">
        <v>80.5</v>
      </c>
      <c r="I7">
        <v>79.69</v>
      </c>
      <c r="J7">
        <v>12.424999999999999</v>
      </c>
      <c r="K7">
        <v>13.029166666666667</v>
      </c>
      <c r="L7">
        <v>12.85</v>
      </c>
      <c r="M7">
        <v>12.866666666666667</v>
      </c>
      <c r="N7">
        <v>13.155555555555557</v>
      </c>
      <c r="O7">
        <v>13.006666666666666</v>
      </c>
      <c r="Q7">
        <v>2004</v>
      </c>
      <c r="R7">
        <v>14.300000000000002</v>
      </c>
      <c r="S7">
        <v>14.600000000000001</v>
      </c>
      <c r="T7">
        <v>14.5</v>
      </c>
    </row>
    <row r="8" spans="3:38">
      <c r="C8">
        <v>2003</v>
      </c>
      <c r="D8">
        <v>-0.71034174115305881</v>
      </c>
      <c r="E8">
        <f t="shared" si="0"/>
        <v>-3.4838053041645147E-3</v>
      </c>
      <c r="F8">
        <f t="shared" si="1"/>
        <v>-6.7343365972294761E-2</v>
      </c>
      <c r="G8">
        <v>81</v>
      </c>
      <c r="H8">
        <v>78.633333333333326</v>
      </c>
      <c r="I8">
        <v>79.38</v>
      </c>
      <c r="J8">
        <v>13.2</v>
      </c>
      <c r="K8">
        <v>12.737499999999999</v>
      </c>
      <c r="L8">
        <v>13.035</v>
      </c>
      <c r="M8">
        <v>13.233333333333334</v>
      </c>
      <c r="N8">
        <v>12.744444444444445</v>
      </c>
      <c r="O8">
        <v>13.093333333333334</v>
      </c>
      <c r="Q8">
        <v>2003</v>
      </c>
      <c r="R8">
        <v>14.433333333333332</v>
      </c>
      <c r="S8">
        <v>14.21111111111111</v>
      </c>
      <c r="T8">
        <v>14.620000000000001</v>
      </c>
    </row>
    <row r="9" spans="3:38">
      <c r="C9">
        <v>2002</v>
      </c>
      <c r="D9">
        <v>0.50458552351828767</v>
      </c>
      <c r="E9">
        <f t="shared" si="0"/>
        <v>-8.1073546536525473E-2</v>
      </c>
      <c r="F9">
        <f t="shared" si="1"/>
        <v>0.14528727982379733</v>
      </c>
      <c r="G9">
        <v>75.7</v>
      </c>
      <c r="H9">
        <v>78.8</v>
      </c>
      <c r="I9">
        <v>78.789999999999992</v>
      </c>
      <c r="J9">
        <v>12.587499999999999</v>
      </c>
      <c r="K9">
        <v>13.095833333333331</v>
      </c>
      <c r="L9">
        <v>12.944999999999999</v>
      </c>
      <c r="M9">
        <v>12.133333333333333</v>
      </c>
      <c r="N9">
        <v>13.077777777777778</v>
      </c>
      <c r="O9">
        <v>12.993333333333334</v>
      </c>
      <c r="Q9">
        <v>2002</v>
      </c>
      <c r="R9">
        <v>13.9</v>
      </c>
      <c r="S9">
        <v>14.577777777777778</v>
      </c>
      <c r="T9">
        <v>14.473333333333333</v>
      </c>
    </row>
    <row r="10" spans="3:38">
      <c r="C10">
        <v>2001</v>
      </c>
      <c r="D10">
        <v>-3.7464421974805262E-2</v>
      </c>
      <c r="E10">
        <f t="shared" si="0"/>
        <v>0.41382444618325592</v>
      </c>
      <c r="F10">
        <f t="shared" si="1"/>
        <v>9.5713867847336709E-2</v>
      </c>
      <c r="G10">
        <v>79.699999999999989</v>
      </c>
      <c r="H10">
        <v>77.916666666666657</v>
      </c>
      <c r="I10">
        <v>78.900000000000006</v>
      </c>
      <c r="J10">
        <v>13.5</v>
      </c>
      <c r="K10">
        <v>13.033333333333331</v>
      </c>
      <c r="L10">
        <v>13.065000000000001</v>
      </c>
      <c r="M10">
        <v>13.866666666666667</v>
      </c>
      <c r="N10">
        <v>12.955555555555556</v>
      </c>
      <c r="O10">
        <v>13.180000000000001</v>
      </c>
      <c r="Q10">
        <v>2001</v>
      </c>
      <c r="R10">
        <v>15.4</v>
      </c>
      <c r="S10">
        <v>14.544444444444444</v>
      </c>
      <c r="T10">
        <v>14.626666666666669</v>
      </c>
    </row>
    <row r="11" spans="3:38">
      <c r="C11">
        <v>2000</v>
      </c>
      <c r="D11">
        <v>0.77435223700628542</v>
      </c>
      <c r="E11">
        <f t="shared" si="0"/>
        <v>0.22810851895715156</v>
      </c>
      <c r="F11">
        <f t="shared" si="1"/>
        <v>0.18305277700486794</v>
      </c>
      <c r="G11">
        <v>78.349999999999994</v>
      </c>
      <c r="H11">
        <v>79.266666666666666</v>
      </c>
      <c r="I11">
        <v>78.72999999999999</v>
      </c>
      <c r="J11">
        <v>13.012499999999999</v>
      </c>
      <c r="K11">
        <v>13.179166666666667</v>
      </c>
      <c r="L11">
        <v>13.190000000000001</v>
      </c>
      <c r="M11">
        <v>12.866666666666665</v>
      </c>
      <c r="N11">
        <v>13.511111111111111</v>
      </c>
      <c r="O11">
        <v>13.306666666666667</v>
      </c>
      <c r="Q11">
        <v>2000</v>
      </c>
      <c r="R11">
        <v>14.333333333333334</v>
      </c>
      <c r="S11">
        <v>14.933333333333335</v>
      </c>
      <c r="T11">
        <v>14.833333333333334</v>
      </c>
    </row>
    <row r="12" spans="3:38">
      <c r="C12">
        <v>1999</v>
      </c>
      <c r="D12">
        <v>-5.2562258160025466E-2</v>
      </c>
      <c r="E12">
        <f t="shared" si="0"/>
        <v>0.14938092782695239</v>
      </c>
      <c r="F12">
        <f t="shared" si="1"/>
        <v>-9.3184388005759337E-3</v>
      </c>
      <c r="G12">
        <v>79.75</v>
      </c>
      <c r="H12">
        <v>79.416666666666671</v>
      </c>
      <c r="I12">
        <v>79.88</v>
      </c>
      <c r="J12">
        <v>13.025000000000002</v>
      </c>
      <c r="K12">
        <v>13.287500000000001</v>
      </c>
      <c r="L12">
        <v>13.192500000000001</v>
      </c>
      <c r="M12">
        <v>13.799999999999999</v>
      </c>
      <c r="N12">
        <v>13.511111111111111</v>
      </c>
      <c r="O12">
        <v>13.473333333333333</v>
      </c>
      <c r="Q12">
        <v>1999</v>
      </c>
      <c r="R12">
        <v>15.066666666666668</v>
      </c>
      <c r="S12">
        <v>14.955555555555556</v>
      </c>
      <c r="T12">
        <v>14.9</v>
      </c>
    </row>
    <row r="13" spans="3:38">
      <c r="C13">
        <v>1998</v>
      </c>
      <c r="D13">
        <v>-0.27364719536540277</v>
      </c>
      <c r="E13">
        <f t="shared" si="0"/>
        <v>-0.26116000301145331</v>
      </c>
      <c r="F13">
        <f t="shared" si="1"/>
        <v>-3.0212023310125003E-2</v>
      </c>
      <c r="G13">
        <v>80.150000000000006</v>
      </c>
      <c r="H13">
        <v>80.45</v>
      </c>
      <c r="I13">
        <v>79.88</v>
      </c>
      <c r="J13">
        <v>13.825000000000001</v>
      </c>
      <c r="K13">
        <v>13.15</v>
      </c>
      <c r="L13">
        <v>12.992500000000001</v>
      </c>
      <c r="M13">
        <v>13.866666666666667</v>
      </c>
      <c r="N13">
        <v>13.544444444444444</v>
      </c>
      <c r="O13">
        <v>13.319999999999999</v>
      </c>
      <c r="Q13">
        <v>1998</v>
      </c>
      <c r="R13">
        <v>15.466666666666667</v>
      </c>
      <c r="S13">
        <v>14.922222222222222</v>
      </c>
      <c r="T13">
        <v>14.793333333333333</v>
      </c>
    </row>
    <row r="14" spans="3:38">
      <c r="C14">
        <v>1997</v>
      </c>
      <c r="D14">
        <v>-0.45727055550893159</v>
      </c>
      <c r="E14">
        <f t="shared" si="0"/>
        <v>-0.29095003179896167</v>
      </c>
      <c r="F14">
        <f t="shared" si="1"/>
        <v>-0.19860153643145662</v>
      </c>
      <c r="G14">
        <v>81.45</v>
      </c>
      <c r="H14">
        <v>80.433333333333337</v>
      </c>
      <c r="I14">
        <v>80.37</v>
      </c>
      <c r="J14">
        <v>12.600000000000001</v>
      </c>
      <c r="K14">
        <v>12.975000000000001</v>
      </c>
      <c r="L14">
        <v>13.017500000000002</v>
      </c>
      <c r="M14">
        <v>12.966666666666667</v>
      </c>
      <c r="N14">
        <v>13.311111111111112</v>
      </c>
      <c r="O14">
        <v>13.386666666666667</v>
      </c>
      <c r="Q14">
        <v>1997</v>
      </c>
      <c r="R14">
        <v>14.233333333333334</v>
      </c>
      <c r="S14">
        <v>14.855555555555556</v>
      </c>
      <c r="T14">
        <v>14.773333333333335</v>
      </c>
      <c r="X14" t="s">
        <v>285</v>
      </c>
      <c r="Z14" t="s">
        <v>282</v>
      </c>
      <c r="AA14" t="s">
        <v>284</v>
      </c>
      <c r="AB14" t="s">
        <v>283</v>
      </c>
      <c r="AC14" t="s">
        <v>286</v>
      </c>
      <c r="AD14" t="s">
        <v>280</v>
      </c>
      <c r="AE14" t="s">
        <v>281</v>
      </c>
      <c r="AF14" t="s">
        <v>275</v>
      </c>
      <c r="AG14" t="s">
        <v>277</v>
      </c>
      <c r="AH14" t="s">
        <v>276</v>
      </c>
      <c r="AJ14" t="s">
        <v>200</v>
      </c>
      <c r="AK14" t="s">
        <v>287</v>
      </c>
      <c r="AL14" t="s">
        <v>288</v>
      </c>
    </row>
    <row r="15" spans="3:38">
      <c r="C15">
        <v>1996</v>
      </c>
      <c r="D15">
        <v>-0.1419323445225506</v>
      </c>
      <c r="E15">
        <f t="shared" si="0"/>
        <v>-0.22226607621061825</v>
      </c>
      <c r="F15">
        <f t="shared" si="1"/>
        <v>-7.4959131072917518E-2</v>
      </c>
      <c r="G15">
        <v>79.7</v>
      </c>
      <c r="H15">
        <v>80.649999999999991</v>
      </c>
      <c r="I15">
        <v>80.490000000000009</v>
      </c>
      <c r="J15">
        <v>12.5</v>
      </c>
      <c r="K15">
        <v>12.745833333333335</v>
      </c>
      <c r="L15">
        <v>12.907500000000002</v>
      </c>
      <c r="M15">
        <v>13.1</v>
      </c>
      <c r="N15">
        <v>13.088888888888889</v>
      </c>
      <c r="O15">
        <v>13.126666666666669</v>
      </c>
      <c r="Q15">
        <v>1996</v>
      </c>
      <c r="R15">
        <v>14.866666666666667</v>
      </c>
      <c r="S15">
        <v>14.444444444444445</v>
      </c>
      <c r="T15">
        <v>14.526666666666667</v>
      </c>
    </row>
    <row r="16" spans="3:38">
      <c r="C16">
        <v>1995</v>
      </c>
      <c r="D16">
        <v>-6.7595328600372567E-2</v>
      </c>
      <c r="E16">
        <f t="shared" si="0"/>
        <v>0.11870736516991558</v>
      </c>
      <c r="F16">
        <f t="shared" si="1"/>
        <v>0.12520917113261407</v>
      </c>
      <c r="G16">
        <v>80.8</v>
      </c>
      <c r="H16">
        <v>80.283333333333331</v>
      </c>
      <c r="I16">
        <v>79.669999999999987</v>
      </c>
      <c r="J16">
        <v>13.137500000000001</v>
      </c>
      <c r="K16">
        <v>12.704166666666667</v>
      </c>
      <c r="L16">
        <v>12.572500000000002</v>
      </c>
      <c r="M16">
        <v>13.200000000000001</v>
      </c>
      <c r="N16">
        <v>12.933333333333332</v>
      </c>
      <c r="O16">
        <v>12.733333333333333</v>
      </c>
      <c r="Q16">
        <v>1995</v>
      </c>
      <c r="R16">
        <v>14.233333333333334</v>
      </c>
      <c r="S16">
        <v>14.311111111111112</v>
      </c>
      <c r="X16">
        <v>1995</v>
      </c>
      <c r="Y16">
        <v>0.24734605506511997</v>
      </c>
      <c r="Z16">
        <v>13.200000000000001</v>
      </c>
      <c r="AA16">
        <v>12.933333333333332</v>
      </c>
      <c r="AB16">
        <v>12.733333333333333</v>
      </c>
      <c r="AC16">
        <v>13.137500000000001</v>
      </c>
      <c r="AD16">
        <v>12.704166666666667</v>
      </c>
      <c r="AE16">
        <v>12.572500000000002</v>
      </c>
      <c r="AF16">
        <v>80.8</v>
      </c>
      <c r="AG16">
        <v>80.283333333333331</v>
      </c>
      <c r="AH16">
        <v>79.669999999999987</v>
      </c>
      <c r="AI16">
        <v>1995</v>
      </c>
      <c r="AJ16">
        <v>14.233333333333334</v>
      </c>
      <c r="AK16">
        <v>14.311111111111112</v>
      </c>
    </row>
    <row r="17" spans="3:38">
      <c r="C17">
        <v>1994</v>
      </c>
      <c r="D17">
        <v>0.56564976863266991</v>
      </c>
      <c r="E17">
        <f t="shared" si="0"/>
        <v>0.4084162518981842</v>
      </c>
      <c r="F17">
        <f t="shared" si="1"/>
        <v>0.315527580806515</v>
      </c>
      <c r="G17">
        <v>80.349999999999994</v>
      </c>
      <c r="H17">
        <v>79.066666666666663</v>
      </c>
      <c r="I17">
        <v>79.44</v>
      </c>
      <c r="J17">
        <v>12.475</v>
      </c>
      <c r="K17">
        <v>12.5875</v>
      </c>
      <c r="L17">
        <v>12.5075</v>
      </c>
      <c r="M17">
        <v>12.5</v>
      </c>
      <c r="N17">
        <v>12.533333333333333</v>
      </c>
      <c r="O17">
        <v>12.626666666666665</v>
      </c>
      <c r="Q17">
        <v>1994</v>
      </c>
      <c r="R17">
        <v>13.833333333333334</v>
      </c>
      <c r="W17">
        <f>AVERAGE(Y16:Y18)</f>
        <v>0.13553047720859604</v>
      </c>
      <c r="X17">
        <v>1994</v>
      </c>
      <c r="Y17">
        <v>0.10701894707684623</v>
      </c>
      <c r="Z17">
        <v>12.5</v>
      </c>
      <c r="AA17">
        <v>12.533333333333333</v>
      </c>
      <c r="AB17">
        <v>12.626666666666665</v>
      </c>
      <c r="AC17">
        <v>12.475</v>
      </c>
      <c r="AD17">
        <v>12.5875</v>
      </c>
      <c r="AE17">
        <v>12.5075</v>
      </c>
      <c r="AF17">
        <v>80.349999999999994</v>
      </c>
      <c r="AG17">
        <v>79.066666666666663</v>
      </c>
      <c r="AH17">
        <v>79.44</v>
      </c>
      <c r="AI17">
        <v>1994</v>
      </c>
      <c r="AJ17">
        <v>13.833333333333334</v>
      </c>
    </row>
    <row r="18" spans="3:38">
      <c r="C18">
        <v>1993</v>
      </c>
      <c r="D18">
        <v>0.72719431566225523</v>
      </c>
      <c r="E18">
        <f t="shared" si="0"/>
        <v>0.59572185905183273</v>
      </c>
      <c r="F18">
        <f t="shared" si="1"/>
        <v>0.47497013262412419</v>
      </c>
      <c r="G18">
        <v>76.05</v>
      </c>
      <c r="H18">
        <v>78.899999999999991</v>
      </c>
      <c r="I18">
        <v>79.239999999999995</v>
      </c>
      <c r="J18">
        <v>12.15</v>
      </c>
      <c r="K18">
        <v>12.299999999999999</v>
      </c>
      <c r="L18">
        <v>12.440000000000001</v>
      </c>
      <c r="M18">
        <v>11.9</v>
      </c>
      <c r="N18">
        <v>12.277777777777777</v>
      </c>
      <c r="O18">
        <v>12.459999999999999</v>
      </c>
      <c r="Q18">
        <v>1993</v>
      </c>
      <c r="V18">
        <f>AVERAGE(Y16:Y20)</f>
        <v>2.3173731866757929E-2</v>
      </c>
      <c r="W18">
        <f t="shared" ref="W18:W50" si="2">AVERAGE(Y17:Y19)</f>
        <v>-0.17388959183243835</v>
      </c>
      <c r="X18">
        <v>1993</v>
      </c>
      <c r="Y18">
        <v>5.2226429483821946E-2</v>
      </c>
      <c r="Z18">
        <v>11.9</v>
      </c>
      <c r="AA18">
        <v>12.277777777777777</v>
      </c>
      <c r="AB18">
        <v>12.459999999999999</v>
      </c>
      <c r="AC18">
        <v>12.15</v>
      </c>
      <c r="AD18">
        <v>12.299999999999999</v>
      </c>
      <c r="AE18">
        <v>12.440000000000001</v>
      </c>
      <c r="AF18">
        <v>76.05</v>
      </c>
      <c r="AG18">
        <v>78.899999999999991</v>
      </c>
      <c r="AH18">
        <v>79.239999999999995</v>
      </c>
      <c r="AI18">
        <v>1993</v>
      </c>
    </row>
    <row r="19" spans="3:38">
      <c r="C19">
        <v>1992</v>
      </c>
      <c r="D19">
        <v>0.49432149286057303</v>
      </c>
      <c r="E19">
        <f t="shared" si="0"/>
        <v>0.62559874102944124</v>
      </c>
      <c r="F19">
        <f t="shared" si="1"/>
        <v>0.51997009049043508</v>
      </c>
      <c r="G19">
        <v>80.3</v>
      </c>
      <c r="H19">
        <v>78.350000000000009</v>
      </c>
      <c r="I19">
        <v>78.859999999999985</v>
      </c>
      <c r="J19">
        <v>12.275</v>
      </c>
      <c r="K19">
        <v>12.195833333333333</v>
      </c>
      <c r="L19">
        <v>12.3575</v>
      </c>
      <c r="M19">
        <v>12.433333333333332</v>
      </c>
      <c r="N19">
        <v>12.199999999999998</v>
      </c>
      <c r="O19">
        <v>12.419999999999998</v>
      </c>
      <c r="Q19">
        <v>1992</v>
      </c>
      <c r="R19">
        <v>14.166666666666666</v>
      </c>
      <c r="V19">
        <f t="shared" ref="V19:V49" si="3">AVERAGE(Y17:Y21)</f>
        <v>0.16366305164263831</v>
      </c>
      <c r="W19">
        <f t="shared" si="2"/>
        <v>-7.9498780936058847E-2</v>
      </c>
      <c r="X19">
        <v>1992</v>
      </c>
      <c r="Y19">
        <v>-0.68091415205798322</v>
      </c>
      <c r="Z19">
        <v>12.433333333333332</v>
      </c>
      <c r="AA19">
        <v>12.199999999999998</v>
      </c>
      <c r="AB19">
        <v>12.419999999999998</v>
      </c>
      <c r="AC19">
        <v>12.275</v>
      </c>
      <c r="AD19">
        <v>12.195833333333333</v>
      </c>
      <c r="AE19">
        <v>12.3575</v>
      </c>
      <c r="AF19">
        <v>80.3</v>
      </c>
      <c r="AG19">
        <v>78.350000000000009</v>
      </c>
      <c r="AH19">
        <v>78.859999999999985</v>
      </c>
      <c r="AI19">
        <v>1992</v>
      </c>
      <c r="AJ19">
        <v>14.166666666666666</v>
      </c>
    </row>
    <row r="20" spans="3:38">
      <c r="C20">
        <v>1991</v>
      </c>
      <c r="D20">
        <v>0.65528041456549535</v>
      </c>
      <c r="E20">
        <f t="shared" si="0"/>
        <v>0.4356687893857501</v>
      </c>
      <c r="F20">
        <f t="shared" si="1"/>
        <v>0.48605355495859764</v>
      </c>
      <c r="G20">
        <v>78.7</v>
      </c>
      <c r="H20">
        <v>79.3</v>
      </c>
      <c r="I20">
        <v>78.360000000000014</v>
      </c>
      <c r="J20">
        <v>12.162499999999998</v>
      </c>
      <c r="K20">
        <v>12.387500000000001</v>
      </c>
      <c r="L20">
        <v>12.3925</v>
      </c>
      <c r="M20">
        <v>12.266666666666666</v>
      </c>
      <c r="N20">
        <v>12.566666666666665</v>
      </c>
      <c r="O20">
        <v>12.593333333333332</v>
      </c>
      <c r="Q20">
        <v>1991</v>
      </c>
      <c r="R20">
        <v>14.5</v>
      </c>
      <c r="S20">
        <v>14.544444444444444</v>
      </c>
      <c r="V20">
        <f t="shared" si="3"/>
        <v>4.2615803270549743E-2</v>
      </c>
      <c r="W20">
        <f t="shared" si="2"/>
        <v>0.21968996055084111</v>
      </c>
      <c r="X20">
        <v>1991</v>
      </c>
      <c r="Y20">
        <v>0.39019137976598472</v>
      </c>
      <c r="Z20">
        <v>12.266666666666666</v>
      </c>
      <c r="AA20">
        <v>12.566666666666665</v>
      </c>
      <c r="AB20">
        <v>12.593333333333332</v>
      </c>
      <c r="AC20">
        <v>12.162499999999998</v>
      </c>
      <c r="AD20">
        <v>12.387500000000001</v>
      </c>
      <c r="AE20">
        <v>12.3925</v>
      </c>
      <c r="AF20">
        <v>78.7</v>
      </c>
      <c r="AG20">
        <v>79.3</v>
      </c>
      <c r="AH20">
        <v>78.360000000000014</v>
      </c>
      <c r="AI20">
        <v>1991</v>
      </c>
      <c r="AJ20">
        <v>14.5</v>
      </c>
      <c r="AK20">
        <v>14.544444444444444</v>
      </c>
    </row>
    <row r="21" spans="3:38">
      <c r="C21">
        <v>1990</v>
      </c>
      <c r="D21">
        <v>0.15740446073118192</v>
      </c>
      <c r="E21">
        <f t="shared" si="0"/>
        <v>0.40291732209005326</v>
      </c>
      <c r="F21">
        <f t="shared" si="1"/>
        <v>0.33730456560475003</v>
      </c>
      <c r="G21">
        <v>78.900000000000006</v>
      </c>
      <c r="H21">
        <v>78.483333333333334</v>
      </c>
      <c r="I21">
        <v>78.97</v>
      </c>
      <c r="J21">
        <v>12.725</v>
      </c>
      <c r="K21">
        <v>12.512499999999998</v>
      </c>
      <c r="L21">
        <v>12.66</v>
      </c>
      <c r="M21">
        <v>13</v>
      </c>
      <c r="N21">
        <v>12.877777777777778</v>
      </c>
      <c r="O21">
        <v>13</v>
      </c>
      <c r="Q21">
        <v>1990</v>
      </c>
      <c r="R21">
        <v>14.966666666666667</v>
      </c>
      <c r="S21">
        <v>15.08888888888889</v>
      </c>
      <c r="T21">
        <v>14.940000000000001</v>
      </c>
      <c r="V21">
        <f t="shared" si="3"/>
        <v>-0.11195769628253242</v>
      </c>
      <c r="W21">
        <f t="shared" si="2"/>
        <v>0.28058891297563671</v>
      </c>
      <c r="X21">
        <v>1990</v>
      </c>
      <c r="Y21">
        <v>0.94979265394452184</v>
      </c>
      <c r="Z21">
        <v>13</v>
      </c>
      <c r="AA21">
        <v>12.877777777777778</v>
      </c>
      <c r="AB21">
        <v>13</v>
      </c>
      <c r="AC21">
        <v>12.725</v>
      </c>
      <c r="AD21">
        <v>12.512499999999998</v>
      </c>
      <c r="AE21">
        <v>12.66</v>
      </c>
      <c r="AF21">
        <v>78.900000000000006</v>
      </c>
      <c r="AG21">
        <v>78.483333333333334</v>
      </c>
      <c r="AH21">
        <v>78.97</v>
      </c>
      <c r="AI21">
        <v>1990</v>
      </c>
      <c r="AJ21">
        <v>14.966666666666667</v>
      </c>
      <c r="AK21">
        <v>15.08888888888889</v>
      </c>
      <c r="AL21">
        <v>14.940000000000001</v>
      </c>
    </row>
    <row r="22" spans="3:38">
      <c r="C22">
        <v>1989</v>
      </c>
      <c r="D22">
        <v>0.39606709097348247</v>
      </c>
      <c r="E22">
        <f t="shared" si="0"/>
        <v>0.17897364019922721</v>
      </c>
      <c r="F22">
        <f t="shared" si="1"/>
        <v>0.20845633980920325</v>
      </c>
      <c r="G22">
        <v>77.849999999999994</v>
      </c>
      <c r="H22">
        <v>78.61666666666666</v>
      </c>
      <c r="I22">
        <v>78.929999999999993</v>
      </c>
      <c r="J22">
        <v>12.65</v>
      </c>
      <c r="K22">
        <v>12.954166666666666</v>
      </c>
      <c r="L22">
        <v>12.8225</v>
      </c>
      <c r="M22">
        <v>13.366666666666665</v>
      </c>
      <c r="N22">
        <v>13.433333333333335</v>
      </c>
      <c r="O22">
        <v>13.2</v>
      </c>
      <c r="Q22">
        <v>1989</v>
      </c>
      <c r="R22">
        <v>15.800000000000002</v>
      </c>
      <c r="S22">
        <v>15.344444444444443</v>
      </c>
      <c r="T22">
        <v>15.046666666666667</v>
      </c>
      <c r="V22">
        <f t="shared" si="3"/>
        <v>-1.6780267125548348E-2</v>
      </c>
      <c r="W22">
        <f t="shared" si="2"/>
        <v>-8.9688569706887877E-2</v>
      </c>
      <c r="X22">
        <v>1989</v>
      </c>
      <c r="Y22">
        <v>-0.49821729478359655</v>
      </c>
      <c r="Z22">
        <v>13.366666666666665</v>
      </c>
      <c r="AA22">
        <v>13.433333333333335</v>
      </c>
      <c r="AB22">
        <v>13.2</v>
      </c>
      <c r="AC22">
        <v>12.65</v>
      </c>
      <c r="AD22">
        <v>12.954166666666666</v>
      </c>
      <c r="AE22">
        <v>12.8225</v>
      </c>
      <c r="AF22">
        <v>77.849999999999994</v>
      </c>
      <c r="AG22">
        <v>78.61666666666666</v>
      </c>
      <c r="AH22">
        <v>78.929999999999993</v>
      </c>
      <c r="AI22">
        <v>1989</v>
      </c>
      <c r="AJ22">
        <v>15.800000000000002</v>
      </c>
      <c r="AK22">
        <v>15.344444444444443</v>
      </c>
      <c r="AL22">
        <v>15.046666666666667</v>
      </c>
    </row>
    <row r="23" spans="3:38">
      <c r="C23">
        <v>1988</v>
      </c>
      <c r="D23">
        <v>-1.6550631106982822E-2</v>
      </c>
      <c r="E23">
        <f t="shared" si="0"/>
        <v>7.6532274583112944E-2</v>
      </c>
      <c r="F23">
        <f t="shared" si="1"/>
        <v>4.6581773952890128E-2</v>
      </c>
      <c r="G23">
        <v>79.099999999999994</v>
      </c>
      <c r="H23">
        <v>79.016666666666666</v>
      </c>
      <c r="I23">
        <v>79.070000000000007</v>
      </c>
      <c r="J23">
        <v>13.487500000000001</v>
      </c>
      <c r="K23">
        <v>13.075000000000001</v>
      </c>
      <c r="L23">
        <v>12.892499999999998</v>
      </c>
      <c r="M23">
        <v>13.933333333333335</v>
      </c>
      <c r="N23">
        <v>13.577777777777778</v>
      </c>
      <c r="O23">
        <v>13.366666666666665</v>
      </c>
      <c r="Q23">
        <v>1988</v>
      </c>
      <c r="R23">
        <v>15.266666666666666</v>
      </c>
      <c r="S23">
        <v>15.255555555555558</v>
      </c>
      <c r="T23">
        <v>15.066666666666666</v>
      </c>
      <c r="V23">
        <f t="shared" si="3"/>
        <v>-9.4086526093016293E-2</v>
      </c>
      <c r="W23">
        <f t="shared" si="2"/>
        <v>-0.47462845644608281</v>
      </c>
      <c r="X23">
        <v>1988</v>
      </c>
      <c r="Y23">
        <v>-0.72064106828158891</v>
      </c>
      <c r="Z23">
        <v>13.933333333333335</v>
      </c>
      <c r="AA23">
        <v>13.577777777777778</v>
      </c>
      <c r="AB23">
        <v>13.366666666666665</v>
      </c>
      <c r="AC23">
        <v>13.487500000000001</v>
      </c>
      <c r="AD23">
        <v>13.075000000000001</v>
      </c>
      <c r="AE23">
        <v>12.892499999999998</v>
      </c>
      <c r="AF23">
        <v>79.099999999999994</v>
      </c>
      <c r="AG23">
        <v>79.016666666666666</v>
      </c>
      <c r="AH23">
        <v>79.070000000000007</v>
      </c>
      <c r="AI23">
        <v>1988</v>
      </c>
      <c r="AJ23">
        <v>15.266666666666666</v>
      </c>
      <c r="AK23">
        <v>15.255555555555558</v>
      </c>
      <c r="AL23">
        <v>15.066666666666666</v>
      </c>
    </row>
    <row r="24" spans="3:38">
      <c r="C24">
        <v>1987</v>
      </c>
      <c r="D24">
        <v>-0.1499196361171608</v>
      </c>
      <c r="E24">
        <f t="shared" si="0"/>
        <v>-0.10685422731340459</v>
      </c>
      <c r="F24">
        <f t="shared" si="1"/>
        <v>1.2332374227566324E-2</v>
      </c>
      <c r="G24">
        <v>80.099999999999994</v>
      </c>
      <c r="H24">
        <v>79.533333333333331</v>
      </c>
      <c r="I24">
        <v>79.150000000000006</v>
      </c>
      <c r="J24">
        <v>13.0875</v>
      </c>
      <c r="K24">
        <v>13.029166666666669</v>
      </c>
      <c r="L24">
        <v>12.95</v>
      </c>
      <c r="M24">
        <v>13.433333333333332</v>
      </c>
      <c r="N24">
        <v>13.488888888888889</v>
      </c>
      <c r="O24">
        <v>13.440000000000001</v>
      </c>
      <c r="Q24">
        <v>1987</v>
      </c>
      <c r="R24">
        <v>14.700000000000001</v>
      </c>
      <c r="S24">
        <v>14.855555555555556</v>
      </c>
      <c r="T24">
        <v>14.913333333333336</v>
      </c>
      <c r="V24">
        <f t="shared" si="3"/>
        <v>-0.44359008521511639</v>
      </c>
      <c r="W24">
        <f t="shared" si="2"/>
        <v>-0.30733599654200222</v>
      </c>
      <c r="X24">
        <v>1987</v>
      </c>
      <c r="Y24">
        <v>-0.20502700627306295</v>
      </c>
      <c r="Z24">
        <v>13.433333333333332</v>
      </c>
      <c r="AA24">
        <v>13.488888888888889</v>
      </c>
      <c r="AB24">
        <v>13.440000000000001</v>
      </c>
      <c r="AC24">
        <v>13.0875</v>
      </c>
      <c r="AD24">
        <v>13.029166666666669</v>
      </c>
      <c r="AE24">
        <v>12.95</v>
      </c>
      <c r="AF24">
        <v>80.099999999999994</v>
      </c>
      <c r="AG24">
        <v>79.533333333333331</v>
      </c>
      <c r="AH24">
        <v>79.150000000000006</v>
      </c>
      <c r="AI24">
        <v>1987</v>
      </c>
      <c r="AJ24">
        <v>14.700000000000001</v>
      </c>
      <c r="AK24">
        <v>14.855555555555556</v>
      </c>
      <c r="AL24">
        <v>14.913333333333336</v>
      </c>
    </row>
    <row r="25" spans="3:38">
      <c r="C25">
        <v>1986</v>
      </c>
      <c r="D25">
        <v>-0.15409241471607016</v>
      </c>
      <c r="E25">
        <f t="shared" si="0"/>
        <v>-0.10595152957622267</v>
      </c>
      <c r="F25">
        <f t="shared" si="1"/>
        <v>-0.10014248060678703</v>
      </c>
      <c r="G25">
        <v>79.400000000000006</v>
      </c>
      <c r="H25">
        <v>79.600000000000009</v>
      </c>
      <c r="I25">
        <v>79.609999999999985</v>
      </c>
      <c r="J25">
        <v>12.512500000000001</v>
      </c>
      <c r="K25">
        <v>12.870833333333332</v>
      </c>
      <c r="L25">
        <v>13.110000000000003</v>
      </c>
      <c r="M25">
        <v>13.1</v>
      </c>
      <c r="N25">
        <v>13.299999999999999</v>
      </c>
      <c r="O25">
        <v>13.460000000000003</v>
      </c>
      <c r="Q25">
        <v>1986</v>
      </c>
      <c r="R25">
        <v>14.6</v>
      </c>
      <c r="S25">
        <v>14.5</v>
      </c>
      <c r="T25">
        <v>14.64666666666667</v>
      </c>
      <c r="V25">
        <f t="shared" si="3"/>
        <v>-0.29168374236098094</v>
      </c>
      <c r="W25">
        <f t="shared" si="2"/>
        <v>-0.33303068767013205</v>
      </c>
      <c r="X25">
        <v>1986</v>
      </c>
      <c r="Y25">
        <v>3.6600849286450854E-3</v>
      </c>
      <c r="Z25">
        <v>13.1</v>
      </c>
      <c r="AA25">
        <v>13.299999999999999</v>
      </c>
      <c r="AB25">
        <v>13.460000000000003</v>
      </c>
      <c r="AC25">
        <v>12.512500000000001</v>
      </c>
      <c r="AD25">
        <v>12.870833333333332</v>
      </c>
      <c r="AE25">
        <v>13.110000000000003</v>
      </c>
      <c r="AF25">
        <v>79.400000000000006</v>
      </c>
      <c r="AG25">
        <v>79.600000000000009</v>
      </c>
      <c r="AH25">
        <v>79.609999999999985</v>
      </c>
      <c r="AI25">
        <v>1986</v>
      </c>
      <c r="AJ25">
        <v>14.6</v>
      </c>
      <c r="AK25">
        <v>14.5</v>
      </c>
      <c r="AL25">
        <v>14.64666666666667</v>
      </c>
    </row>
    <row r="26" spans="3:38">
      <c r="C26">
        <v>1985</v>
      </c>
      <c r="D26">
        <v>-1.3842537895437046E-2</v>
      </c>
      <c r="E26">
        <f t="shared" si="0"/>
        <v>-0.11141404526993053</v>
      </c>
      <c r="F26">
        <f t="shared" si="1"/>
        <v>-0.26119063374763568</v>
      </c>
      <c r="G26">
        <v>79.3</v>
      </c>
      <c r="H26">
        <v>79.61666666666666</v>
      </c>
      <c r="I26">
        <v>80.53</v>
      </c>
      <c r="J26">
        <v>13.012499999999999</v>
      </c>
      <c r="K26">
        <v>12.991666666666665</v>
      </c>
      <c r="L26">
        <v>12.952500000000001</v>
      </c>
      <c r="M26">
        <v>13.366666666666667</v>
      </c>
      <c r="N26">
        <v>13.311111111111112</v>
      </c>
      <c r="O26">
        <v>13.413333333333332</v>
      </c>
      <c r="Q26">
        <v>1985</v>
      </c>
      <c r="R26">
        <v>14.200000000000001</v>
      </c>
      <c r="S26">
        <v>14.422222222222222</v>
      </c>
      <c r="T26">
        <v>14.526666666666667</v>
      </c>
      <c r="V26">
        <f t="shared" si="3"/>
        <v>-0.17433235209390158</v>
      </c>
      <c r="W26">
        <f t="shared" si="2"/>
        <v>-0.1775835457500842</v>
      </c>
      <c r="X26">
        <v>1985</v>
      </c>
      <c r="Y26">
        <v>-0.7977251416659783</v>
      </c>
      <c r="Z26">
        <v>13.366666666666667</v>
      </c>
      <c r="AA26">
        <v>13.311111111111112</v>
      </c>
      <c r="AB26">
        <v>13.413333333333332</v>
      </c>
      <c r="AC26">
        <v>13.012499999999999</v>
      </c>
      <c r="AD26">
        <v>12.991666666666665</v>
      </c>
      <c r="AE26">
        <v>12.952500000000001</v>
      </c>
      <c r="AF26">
        <v>79.3</v>
      </c>
      <c r="AG26">
        <v>79.61666666666666</v>
      </c>
      <c r="AH26">
        <v>80.53</v>
      </c>
      <c r="AI26">
        <v>1985</v>
      </c>
      <c r="AJ26">
        <v>14.200000000000001</v>
      </c>
      <c r="AK26">
        <v>14.422222222222222</v>
      </c>
      <c r="AL26">
        <v>14.526666666666667</v>
      </c>
    </row>
    <row r="27" spans="3:38">
      <c r="C27">
        <v>1984</v>
      </c>
      <c r="D27">
        <v>-0.16630718319828436</v>
      </c>
      <c r="E27">
        <f t="shared" si="0"/>
        <v>-0.33398037263498254</v>
      </c>
      <c r="F27">
        <f t="shared" si="1"/>
        <v>-0.26507996294314423</v>
      </c>
      <c r="G27">
        <v>80.150000000000006</v>
      </c>
      <c r="H27">
        <v>81.05</v>
      </c>
      <c r="I27">
        <v>80.759999999999991</v>
      </c>
      <c r="J27">
        <v>13.45</v>
      </c>
      <c r="K27">
        <v>13.054166666666667</v>
      </c>
      <c r="L27">
        <v>12.7675</v>
      </c>
      <c r="M27">
        <v>13.466666666666669</v>
      </c>
      <c r="N27">
        <v>13.511111111111111</v>
      </c>
      <c r="O27">
        <v>13.280000000000001</v>
      </c>
      <c r="Q27">
        <v>1984</v>
      </c>
      <c r="R27">
        <v>14.466666666666669</v>
      </c>
      <c r="S27">
        <v>14.444444444444445</v>
      </c>
      <c r="T27">
        <v>14.379999999999999</v>
      </c>
      <c r="V27">
        <f t="shared" si="3"/>
        <v>-5.6875971202714593E-2</v>
      </c>
      <c r="W27">
        <f t="shared" si="2"/>
        <v>-0.22343161304169668</v>
      </c>
      <c r="X27">
        <v>1984</v>
      </c>
      <c r="Y27">
        <v>0.26131441948708051</v>
      </c>
      <c r="Z27">
        <v>13.466666666666669</v>
      </c>
      <c r="AA27">
        <v>13.511111111111111</v>
      </c>
      <c r="AB27">
        <v>13.280000000000001</v>
      </c>
      <c r="AC27">
        <v>13.45</v>
      </c>
      <c r="AD27">
        <v>13.054166666666667</v>
      </c>
      <c r="AE27">
        <v>12.7675</v>
      </c>
      <c r="AF27">
        <v>80.150000000000006</v>
      </c>
      <c r="AG27">
        <v>81.05</v>
      </c>
      <c r="AH27">
        <v>80.759999999999991</v>
      </c>
      <c r="AI27">
        <v>1984</v>
      </c>
      <c r="AJ27">
        <v>14.466666666666669</v>
      </c>
      <c r="AK27">
        <v>14.444444444444445</v>
      </c>
      <c r="AL27">
        <v>14.379999999999999</v>
      </c>
    </row>
    <row r="28" spans="3:38">
      <c r="C28">
        <v>1983</v>
      </c>
      <c r="D28">
        <v>-0.82179139681122615</v>
      </c>
      <c r="E28">
        <f t="shared" si="0"/>
        <v>-0.38582162070140463</v>
      </c>
      <c r="G28">
        <v>83.699999999999989</v>
      </c>
      <c r="H28">
        <v>81.7</v>
      </c>
      <c r="I28">
        <v>80.72</v>
      </c>
      <c r="J28">
        <v>12.700000000000001</v>
      </c>
      <c r="K28">
        <v>12.770833333333334</v>
      </c>
      <c r="L28">
        <v>12.845000000000002</v>
      </c>
      <c r="M28">
        <v>13.699999999999998</v>
      </c>
      <c r="N28">
        <v>13.31111111111111</v>
      </c>
      <c r="Q28">
        <v>1983</v>
      </c>
      <c r="R28">
        <v>14.666666666666666</v>
      </c>
      <c r="S28">
        <v>14.366666666666667</v>
      </c>
      <c r="T28">
        <v>14.253333333333334</v>
      </c>
      <c r="V28">
        <f t="shared" si="3"/>
        <v>9.7264736814634319E-3</v>
      </c>
      <c r="W28">
        <f t="shared" si="2"/>
        <v>0.16989506690792003</v>
      </c>
      <c r="X28">
        <v>1983</v>
      </c>
      <c r="Y28">
        <v>-0.13388411694619221</v>
      </c>
      <c r="Z28">
        <v>13.699999999999998</v>
      </c>
      <c r="AA28">
        <v>13.31111111111111</v>
      </c>
      <c r="AB28">
        <v>13.24</v>
      </c>
      <c r="AC28">
        <v>12.700000000000001</v>
      </c>
      <c r="AD28">
        <v>12.770833333333334</v>
      </c>
      <c r="AE28">
        <v>12.845000000000002</v>
      </c>
      <c r="AF28">
        <v>83.699999999999989</v>
      </c>
      <c r="AG28">
        <v>81.7</v>
      </c>
      <c r="AH28">
        <v>80.72</v>
      </c>
      <c r="AI28">
        <v>1983</v>
      </c>
      <c r="AJ28">
        <v>14.666666666666666</v>
      </c>
      <c r="AK28">
        <v>14.366666666666667</v>
      </c>
      <c r="AL28">
        <v>14.253333333333334</v>
      </c>
    </row>
    <row r="29" spans="3:38">
      <c r="C29">
        <v>1982</v>
      </c>
      <c r="D29">
        <v>-0.16936628209470328</v>
      </c>
      <c r="G29">
        <v>81.25</v>
      </c>
      <c r="H29">
        <v>81.383333333333326</v>
      </c>
      <c r="I29">
        <v>80.940000000000012</v>
      </c>
      <c r="J29">
        <v>12.1625</v>
      </c>
      <c r="K29">
        <v>12.5875</v>
      </c>
      <c r="L29">
        <v>12.7775</v>
      </c>
      <c r="M29">
        <v>12.766666666666666</v>
      </c>
      <c r="Q29">
        <v>1982</v>
      </c>
      <c r="R29">
        <v>13.966666666666667</v>
      </c>
      <c r="S29">
        <v>14.200000000000001</v>
      </c>
      <c r="T29">
        <v>14.306666666666667</v>
      </c>
      <c r="V29">
        <f t="shared" si="3"/>
        <v>0.14789171554513497</v>
      </c>
      <c r="W29">
        <f t="shared" si="2"/>
        <v>0.19501436352873833</v>
      </c>
      <c r="X29">
        <v>1982</v>
      </c>
      <c r="Y29">
        <v>0.38225489818287184</v>
      </c>
      <c r="Z29">
        <v>12.766666666666666</v>
      </c>
      <c r="AA29">
        <v>13.12222222222222</v>
      </c>
      <c r="AB29">
        <v>13.213333333333333</v>
      </c>
      <c r="AC29">
        <v>12.1625</v>
      </c>
      <c r="AD29">
        <v>12.5875</v>
      </c>
      <c r="AE29">
        <v>12.7775</v>
      </c>
      <c r="AF29">
        <v>81.25</v>
      </c>
      <c r="AG29">
        <v>81.383333333333326</v>
      </c>
      <c r="AH29">
        <v>80.940000000000012</v>
      </c>
      <c r="AI29">
        <v>1982</v>
      </c>
      <c r="AJ29">
        <v>13.966666666666667</v>
      </c>
      <c r="AK29">
        <v>14.200000000000001</v>
      </c>
      <c r="AL29">
        <v>14.306666666666667</v>
      </c>
    </row>
    <row r="30" spans="3:38">
      <c r="G30">
        <v>79.2</v>
      </c>
      <c r="H30">
        <v>80.283333333333331</v>
      </c>
      <c r="I30">
        <v>81.099999999999994</v>
      </c>
      <c r="J30">
        <v>12.9</v>
      </c>
      <c r="K30">
        <v>12.579166666666666</v>
      </c>
      <c r="L30">
        <v>12.7125</v>
      </c>
      <c r="M30">
        <v>12.9</v>
      </c>
      <c r="Q30">
        <v>1981</v>
      </c>
      <c r="R30">
        <v>13.966666666666667</v>
      </c>
      <c r="S30">
        <v>14.133333333333333</v>
      </c>
      <c r="T30">
        <v>14.313333333333333</v>
      </c>
      <c r="V30">
        <f t="shared" si="3"/>
        <v>0.11022541169621078</v>
      </c>
      <c r="W30">
        <f t="shared" si="2"/>
        <v>0.2040094250615955</v>
      </c>
      <c r="X30">
        <v>1981</v>
      </c>
      <c r="Y30">
        <v>0.33667230934953535</v>
      </c>
      <c r="Z30">
        <v>12.9</v>
      </c>
      <c r="AA30">
        <v>12.966666666666667</v>
      </c>
      <c r="AB30">
        <v>13.226666666666665</v>
      </c>
      <c r="AC30">
        <v>12.9</v>
      </c>
      <c r="AD30">
        <v>12.579166666666666</v>
      </c>
      <c r="AE30">
        <v>12.7125</v>
      </c>
      <c r="AF30">
        <v>79.2</v>
      </c>
      <c r="AG30">
        <v>80.283333333333331</v>
      </c>
      <c r="AH30">
        <v>81.099999999999994</v>
      </c>
      <c r="AI30">
        <v>1981</v>
      </c>
      <c r="AJ30">
        <v>13.966666666666667</v>
      </c>
      <c r="AK30">
        <v>14.133333333333333</v>
      </c>
      <c r="AL30">
        <v>14.313333333333333</v>
      </c>
    </row>
    <row r="31" spans="3:38">
      <c r="D31" t="s">
        <v>73</v>
      </c>
      <c r="E31">
        <f>CORREL(D2:D29,G2:G29)</f>
        <v>-0.7091049426957422</v>
      </c>
      <c r="G31">
        <v>80.400000000000006</v>
      </c>
      <c r="H31">
        <v>80.183333333333337</v>
      </c>
      <c r="I31">
        <v>79.97999999999999</v>
      </c>
      <c r="J31">
        <v>12.674999999999999</v>
      </c>
      <c r="K31">
        <v>12.9</v>
      </c>
      <c r="L31">
        <v>12.66</v>
      </c>
      <c r="M31">
        <v>13.233333333333334</v>
      </c>
      <c r="Q31">
        <v>1980</v>
      </c>
      <c r="R31">
        <v>14.466666666666667</v>
      </c>
      <c r="S31">
        <v>14.311111111111112</v>
      </c>
      <c r="T31">
        <v>14.16</v>
      </c>
      <c r="V31">
        <f t="shared" si="3"/>
        <v>0.24722248478160899</v>
      </c>
      <c r="W31">
        <f t="shared" si="2"/>
        <v>0.10091875908145809</v>
      </c>
      <c r="X31">
        <v>1980</v>
      </c>
      <c r="Y31">
        <v>-0.10689893234762056</v>
      </c>
      <c r="Z31">
        <v>13.233333333333334</v>
      </c>
      <c r="AA31">
        <v>13.222222222222221</v>
      </c>
      <c r="AB31">
        <v>12.986666666666668</v>
      </c>
      <c r="AC31">
        <v>12.674999999999999</v>
      </c>
      <c r="AD31">
        <v>12.9</v>
      </c>
      <c r="AE31">
        <v>12.66</v>
      </c>
      <c r="AF31">
        <v>80.400000000000006</v>
      </c>
      <c r="AG31">
        <v>80.183333333333337</v>
      </c>
      <c r="AH31">
        <v>79.97999999999999</v>
      </c>
      <c r="AI31">
        <v>1980</v>
      </c>
      <c r="AJ31">
        <v>14.466666666666667</v>
      </c>
      <c r="AK31">
        <v>14.311111111111112</v>
      </c>
      <c r="AL31">
        <v>14.16</v>
      </c>
    </row>
    <row r="32" spans="3:38">
      <c r="D32" t="s">
        <v>278</v>
      </c>
      <c r="E32">
        <f>CORREL(E3:E28,H3:H28)</f>
        <v>-0.74520645898873217</v>
      </c>
      <c r="G32">
        <v>80.949999999999989</v>
      </c>
      <c r="H32">
        <v>79.816666666666663</v>
      </c>
      <c r="I32">
        <v>79.53</v>
      </c>
      <c r="J32">
        <v>13.125</v>
      </c>
      <c r="K32">
        <v>12.745833333333332</v>
      </c>
      <c r="L32">
        <v>12.580000000000002</v>
      </c>
      <c r="M32">
        <v>13.533333333333333</v>
      </c>
      <c r="Q32">
        <v>1979</v>
      </c>
      <c r="R32">
        <v>14.5</v>
      </c>
      <c r="S32">
        <v>14.28888888888889</v>
      </c>
      <c r="T32">
        <v>13.946666666666667</v>
      </c>
      <c r="V32">
        <f t="shared" si="3"/>
        <v>9.1113947684404867E-2</v>
      </c>
      <c r="W32">
        <f t="shared" si="2"/>
        <v>0.17239507212521268</v>
      </c>
      <c r="X32">
        <v>1979</v>
      </c>
      <c r="Y32">
        <v>7.2982900242459486E-2</v>
      </c>
      <c r="Z32">
        <v>13.533333333333333</v>
      </c>
      <c r="AA32">
        <v>13.088888888888889</v>
      </c>
      <c r="AB32">
        <v>12.786666666666665</v>
      </c>
      <c r="AC32">
        <v>13.125</v>
      </c>
      <c r="AD32">
        <v>12.745833333333332</v>
      </c>
      <c r="AE32">
        <v>12.580000000000002</v>
      </c>
      <c r="AF32">
        <v>80.949999999999989</v>
      </c>
      <c r="AG32">
        <v>79.816666666666663</v>
      </c>
      <c r="AH32">
        <v>79.53</v>
      </c>
      <c r="AI32">
        <v>1979</v>
      </c>
      <c r="AJ32">
        <v>14.5</v>
      </c>
      <c r="AK32">
        <v>14.28888888888889</v>
      </c>
      <c r="AL32">
        <v>13.946666666666667</v>
      </c>
    </row>
    <row r="33" spans="4:38">
      <c r="D33" t="s">
        <v>279</v>
      </c>
      <c r="E33">
        <f>CORREL(F4:F27,I4:I27)</f>
        <v>-0.76751176757200912</v>
      </c>
      <c r="G33">
        <v>78.099999999999994</v>
      </c>
      <c r="H33">
        <v>79.349999999999994</v>
      </c>
      <c r="I33">
        <v>80.070000000000007</v>
      </c>
      <c r="J33">
        <v>12.4375</v>
      </c>
      <c r="K33">
        <v>12.441666666666668</v>
      </c>
      <c r="L33">
        <v>12.467499999999999</v>
      </c>
      <c r="M33">
        <v>12.5</v>
      </c>
      <c r="Q33">
        <v>1978</v>
      </c>
      <c r="R33">
        <v>13.9</v>
      </c>
      <c r="S33">
        <v>13.766666666666666</v>
      </c>
      <c r="T33">
        <v>13.9</v>
      </c>
      <c r="V33">
        <f t="shared" si="3"/>
        <v>5.2342673795093705E-2</v>
      </c>
      <c r="W33">
        <f t="shared" si="2"/>
        <v>7.5265453806703186E-2</v>
      </c>
      <c r="X33">
        <v>1978</v>
      </c>
      <c r="Y33">
        <v>0.55110124848079911</v>
      </c>
      <c r="Z33">
        <v>12.5</v>
      </c>
      <c r="AA33">
        <v>12.6</v>
      </c>
      <c r="AB33">
        <v>12.733333333333333</v>
      </c>
      <c r="AC33">
        <v>12.4375</v>
      </c>
      <c r="AD33">
        <v>12.441666666666668</v>
      </c>
      <c r="AE33">
        <v>12.467499999999999</v>
      </c>
      <c r="AF33">
        <v>78.099999999999994</v>
      </c>
      <c r="AG33">
        <v>79.349999999999994</v>
      </c>
      <c r="AH33">
        <v>80.070000000000007</v>
      </c>
      <c r="AI33">
        <v>1978</v>
      </c>
      <c r="AJ33">
        <v>13.9</v>
      </c>
      <c r="AK33">
        <v>13.766666666666666</v>
      </c>
      <c r="AL33">
        <v>13.9</v>
      </c>
    </row>
    <row r="34" spans="4:38">
      <c r="D34" t="s">
        <v>286</v>
      </c>
      <c r="E34">
        <f>CORREL(D2:D29,J2:J29)</f>
        <v>-0.28322578082429245</v>
      </c>
      <c r="G34">
        <v>79</v>
      </c>
      <c r="H34">
        <v>79.666666666666671</v>
      </c>
      <c r="I34">
        <v>80.33</v>
      </c>
      <c r="J34">
        <v>11.762500000000001</v>
      </c>
      <c r="K34">
        <v>12.179166666666667</v>
      </c>
      <c r="L34">
        <v>12.504999999999999</v>
      </c>
      <c r="M34">
        <v>11.766666666666666</v>
      </c>
      <c r="Q34">
        <v>1977</v>
      </c>
      <c r="R34">
        <v>12.9</v>
      </c>
      <c r="S34">
        <v>13.511111111111111</v>
      </c>
      <c r="T34">
        <v>13.88</v>
      </c>
      <c r="V34">
        <f t="shared" si="3"/>
        <v>5.4180576505694675E-2</v>
      </c>
      <c r="W34">
        <f t="shared" si="2"/>
        <v>9.8543133693543186E-2</v>
      </c>
      <c r="X34">
        <v>1977</v>
      </c>
      <c r="Y34">
        <v>-0.39828778730314901</v>
      </c>
      <c r="Z34">
        <v>11.766666666666666</v>
      </c>
      <c r="AA34">
        <v>12.299999999999999</v>
      </c>
      <c r="AB34">
        <v>12.793333333333333</v>
      </c>
      <c r="AC34">
        <v>11.762500000000001</v>
      </c>
      <c r="AD34">
        <v>12.179166666666667</v>
      </c>
      <c r="AE34">
        <v>12.504999999999999</v>
      </c>
      <c r="AF34">
        <v>79</v>
      </c>
      <c r="AG34">
        <v>79.666666666666671</v>
      </c>
      <c r="AH34">
        <v>80.33</v>
      </c>
      <c r="AI34">
        <v>1977</v>
      </c>
      <c r="AJ34">
        <v>12.9</v>
      </c>
      <c r="AK34">
        <v>13.511111111111111</v>
      </c>
      <c r="AL34">
        <v>13.88</v>
      </c>
    </row>
    <row r="35" spans="4:38">
      <c r="D35" t="s">
        <v>280</v>
      </c>
      <c r="E35">
        <f>CORREL(E3:E28,K3:K28)</f>
        <v>-0.56749090010122516</v>
      </c>
      <c r="G35">
        <v>81.900000000000006</v>
      </c>
      <c r="H35">
        <v>80.86666666666666</v>
      </c>
      <c r="I35">
        <v>80.239999999999995</v>
      </c>
      <c r="J35">
        <v>12.3375</v>
      </c>
      <c r="K35">
        <v>12.320833333333333</v>
      </c>
      <c r="L35">
        <v>12.5425</v>
      </c>
      <c r="M35">
        <v>12.633333333333333</v>
      </c>
      <c r="Q35">
        <v>1976</v>
      </c>
      <c r="R35">
        <v>13.733333333333334</v>
      </c>
      <c r="S35">
        <v>13.666666666666666</v>
      </c>
      <c r="T35">
        <v>13.940000000000001</v>
      </c>
      <c r="V35">
        <f t="shared" si="3"/>
        <v>-5.4115468782821807E-2</v>
      </c>
      <c r="W35">
        <f t="shared" si="2"/>
        <v>-0.11772708873159506</v>
      </c>
      <c r="X35">
        <v>1976</v>
      </c>
      <c r="Y35">
        <v>0.14281593990297947</v>
      </c>
      <c r="Z35">
        <v>12.633333333333333</v>
      </c>
      <c r="AA35">
        <v>12.644444444444444</v>
      </c>
      <c r="AB35">
        <v>12.826666666666664</v>
      </c>
      <c r="AC35">
        <v>12.3375</v>
      </c>
      <c r="AD35">
        <v>12.320833333333333</v>
      </c>
      <c r="AE35">
        <v>12.5425</v>
      </c>
      <c r="AF35">
        <v>81.900000000000006</v>
      </c>
      <c r="AG35">
        <v>80.86666666666666</v>
      </c>
      <c r="AH35">
        <v>80.239999999999995</v>
      </c>
      <c r="AI35">
        <v>1976</v>
      </c>
      <c r="AJ35">
        <v>13.733333333333334</v>
      </c>
      <c r="AK35">
        <v>13.666666666666666</v>
      </c>
      <c r="AL35">
        <v>13.940000000000001</v>
      </c>
    </row>
    <row r="36" spans="4:38">
      <c r="D36" t="s">
        <v>281</v>
      </c>
      <c r="E36">
        <f>CORREL(F4:F27,L4:L27)</f>
        <v>-0.67106212355719119</v>
      </c>
      <c r="G36">
        <v>81.699999999999989</v>
      </c>
      <c r="H36">
        <v>81.36666666666666</v>
      </c>
      <c r="I36">
        <v>81.47</v>
      </c>
      <c r="J36">
        <v>12.862499999999999</v>
      </c>
      <c r="K36">
        <v>12.8375</v>
      </c>
      <c r="L36">
        <v>12.757499999999999</v>
      </c>
      <c r="M36">
        <v>13.533333333333331</v>
      </c>
      <c r="Q36">
        <v>1975</v>
      </c>
      <c r="R36">
        <v>14.366666666666667</v>
      </c>
      <c r="S36">
        <v>14.299999999999999</v>
      </c>
      <c r="T36">
        <v>14.16</v>
      </c>
      <c r="V36">
        <f t="shared" si="3"/>
        <v>-0.19074713895857925</v>
      </c>
      <c r="W36">
        <f t="shared" si="2"/>
        <v>-0.1411302683639197</v>
      </c>
      <c r="X36">
        <v>1975</v>
      </c>
      <c r="Y36">
        <v>-9.770941879461563E-2</v>
      </c>
      <c r="Z36">
        <v>13.533333333333331</v>
      </c>
      <c r="AA36">
        <v>13.288888888888886</v>
      </c>
      <c r="AB36">
        <v>13.266666666666666</v>
      </c>
      <c r="AC36">
        <v>12.862499999999999</v>
      </c>
      <c r="AD36">
        <v>12.8375</v>
      </c>
      <c r="AE36">
        <v>12.757499999999999</v>
      </c>
      <c r="AF36">
        <v>81.699999999999989</v>
      </c>
      <c r="AG36">
        <v>81.36666666666666</v>
      </c>
      <c r="AH36">
        <v>81.47</v>
      </c>
      <c r="AI36">
        <v>1975</v>
      </c>
      <c r="AJ36">
        <v>14.366666666666667</v>
      </c>
      <c r="AK36">
        <v>14.299999999999999</v>
      </c>
      <c r="AL36">
        <v>14.16</v>
      </c>
    </row>
    <row r="37" spans="4:38">
      <c r="D37" t="s">
        <v>282</v>
      </c>
      <c r="E37">
        <f>CORREL(D2:D29,M2:M29)</f>
        <v>-0.63521479227423439</v>
      </c>
      <c r="G37">
        <v>80.5</v>
      </c>
      <c r="H37">
        <v>82.149999999999991</v>
      </c>
      <c r="I37">
        <v>81.53</v>
      </c>
      <c r="J37">
        <v>13.3125</v>
      </c>
      <c r="K37">
        <v>13.229166666666666</v>
      </c>
      <c r="L37">
        <v>12.972500000000002</v>
      </c>
      <c r="M37">
        <v>13.699999999999998</v>
      </c>
      <c r="Q37">
        <v>1974</v>
      </c>
      <c r="R37">
        <v>14.799999999999999</v>
      </c>
      <c r="S37">
        <v>14.722222222222221</v>
      </c>
      <c r="T37">
        <v>14.626666666666665</v>
      </c>
      <c r="V37">
        <f t="shared" si="3"/>
        <v>-0.14958144031962581</v>
      </c>
      <c r="W37">
        <f t="shared" si="2"/>
        <v>-0.23275461579757559</v>
      </c>
      <c r="X37">
        <v>1974</v>
      </c>
      <c r="Y37">
        <v>-0.46849732620012297</v>
      </c>
      <c r="Z37">
        <v>13.699999999999998</v>
      </c>
      <c r="AA37">
        <v>13.977777777777774</v>
      </c>
      <c r="AB37">
        <v>13.693333333333332</v>
      </c>
      <c r="AC37">
        <v>13.3125</v>
      </c>
      <c r="AD37">
        <v>13.229166666666666</v>
      </c>
      <c r="AE37">
        <v>12.972500000000002</v>
      </c>
      <c r="AF37">
        <v>80.5</v>
      </c>
      <c r="AG37">
        <v>82.149999999999991</v>
      </c>
      <c r="AH37">
        <v>81.53</v>
      </c>
      <c r="AI37">
        <v>1974</v>
      </c>
      <c r="AJ37">
        <v>14.799999999999999</v>
      </c>
      <c r="AK37">
        <v>14.722222222222221</v>
      </c>
      <c r="AL37">
        <v>14.626666666666665</v>
      </c>
    </row>
    <row r="38" spans="4:38">
      <c r="D38" t="s">
        <v>284</v>
      </c>
      <c r="E38">
        <f>CORREL(E3:E28,N3:N28)</f>
        <v>-0.67489309516619589</v>
      </c>
      <c r="G38">
        <v>84.25</v>
      </c>
      <c r="H38">
        <v>81.350000000000009</v>
      </c>
      <c r="I38">
        <v>81.47999999999999</v>
      </c>
      <c r="J38">
        <v>13.512499999999999</v>
      </c>
      <c r="K38">
        <v>13.220833333333333</v>
      </c>
      <c r="L38">
        <v>13.175000000000001</v>
      </c>
      <c r="M38">
        <v>14.699999999999998</v>
      </c>
      <c r="Q38">
        <v>1973</v>
      </c>
      <c r="R38">
        <v>15</v>
      </c>
      <c r="S38">
        <v>15.011111111111111</v>
      </c>
      <c r="T38">
        <v>14.766666666666666</v>
      </c>
      <c r="V38">
        <f t="shared" si="3"/>
        <v>-0.13362320890184171</v>
      </c>
      <c r="W38">
        <f t="shared" si="2"/>
        <v>-0.26433790756883097</v>
      </c>
      <c r="X38">
        <v>1973</v>
      </c>
      <c r="Y38">
        <v>-0.13205710239798818</v>
      </c>
      <c r="Z38">
        <v>14.699999999999998</v>
      </c>
      <c r="AA38">
        <v>14.1</v>
      </c>
      <c r="AB38">
        <v>13.859999999999996</v>
      </c>
      <c r="AC38">
        <v>13.512499999999999</v>
      </c>
      <c r="AD38">
        <v>13.220833333333333</v>
      </c>
      <c r="AE38">
        <v>13.175000000000001</v>
      </c>
      <c r="AF38">
        <v>84.25</v>
      </c>
      <c r="AG38">
        <v>81.350000000000009</v>
      </c>
      <c r="AH38">
        <v>81.47999999999999</v>
      </c>
      <c r="AI38">
        <v>1973</v>
      </c>
      <c r="AJ38">
        <v>15</v>
      </c>
      <c r="AK38">
        <v>15.011111111111111</v>
      </c>
      <c r="AL38">
        <v>14.766666666666666</v>
      </c>
    </row>
    <row r="39" spans="4:38">
      <c r="D39" t="s">
        <v>283</v>
      </c>
      <c r="E39">
        <f>CORREL(F4:F27,O4:O27)</f>
        <v>-0.7332910214086753</v>
      </c>
      <c r="G39">
        <v>79.3</v>
      </c>
      <c r="H39">
        <v>81.733333333333334</v>
      </c>
      <c r="I39">
        <v>81.810000000000016</v>
      </c>
      <c r="J39">
        <v>12.8375</v>
      </c>
      <c r="K39">
        <v>13.233333333333334</v>
      </c>
      <c r="L39">
        <v>13.242500000000001</v>
      </c>
      <c r="M39">
        <v>13.9</v>
      </c>
      <c r="Q39">
        <v>1972</v>
      </c>
      <c r="R39">
        <v>15.233333333333334</v>
      </c>
      <c r="S39">
        <v>14.888888888888891</v>
      </c>
      <c r="T39">
        <v>14.853333333333333</v>
      </c>
      <c r="V39">
        <f t="shared" si="3"/>
        <v>-0.12820538776179638</v>
      </c>
      <c r="W39">
        <f t="shared" si="2"/>
        <v>-3.3969766504823341E-2</v>
      </c>
      <c r="X39">
        <v>1972</v>
      </c>
      <c r="Y39">
        <v>-0.1924592941083817</v>
      </c>
      <c r="Z39">
        <v>13.9</v>
      </c>
      <c r="AA39">
        <v>14.02222222222222</v>
      </c>
      <c r="AB39">
        <v>13.966666666666665</v>
      </c>
      <c r="AC39">
        <v>12.8375</v>
      </c>
      <c r="AD39">
        <v>13.233333333333334</v>
      </c>
      <c r="AE39">
        <v>13.242500000000001</v>
      </c>
      <c r="AF39">
        <v>79.3</v>
      </c>
      <c r="AG39">
        <v>81.733333333333334</v>
      </c>
      <c r="AH39">
        <v>81.810000000000016</v>
      </c>
      <c r="AI39">
        <v>1972</v>
      </c>
      <c r="AJ39">
        <v>15.233333333333334</v>
      </c>
      <c r="AK39">
        <v>14.888888888888891</v>
      </c>
      <c r="AL39">
        <v>14.853333333333333</v>
      </c>
    </row>
    <row r="40" spans="4:38">
      <c r="G40">
        <v>81.650000000000006</v>
      </c>
      <c r="H40">
        <v>81.433333333333323</v>
      </c>
      <c r="I40">
        <v>82.179999999999993</v>
      </c>
      <c r="J40">
        <v>13.350000000000001</v>
      </c>
      <c r="K40">
        <v>13.129166666666668</v>
      </c>
      <c r="L40">
        <v>13.190000000000001</v>
      </c>
      <c r="M40">
        <v>13.466666666666667</v>
      </c>
      <c r="Q40">
        <v>1971</v>
      </c>
      <c r="R40">
        <v>14.433333333333335</v>
      </c>
      <c r="S40">
        <v>14.822222222222223</v>
      </c>
      <c r="T40">
        <v>14.74</v>
      </c>
      <c r="V40">
        <f t="shared" si="3"/>
        <v>-3.552084435619151E-2</v>
      </c>
      <c r="W40">
        <f t="shared" si="2"/>
        <v>-1.3490836736956899E-2</v>
      </c>
      <c r="X40">
        <v>1971</v>
      </c>
      <c r="Y40">
        <v>0.22260709699189984</v>
      </c>
      <c r="Z40">
        <v>13.466666666666667</v>
      </c>
      <c r="AA40">
        <v>13.811111111111112</v>
      </c>
      <c r="AB40">
        <v>13.926666666666666</v>
      </c>
      <c r="AC40">
        <v>13.350000000000001</v>
      </c>
      <c r="AD40">
        <v>13.129166666666668</v>
      </c>
      <c r="AE40">
        <v>13.190000000000001</v>
      </c>
      <c r="AF40">
        <v>81.650000000000006</v>
      </c>
      <c r="AG40">
        <v>81.433333333333323</v>
      </c>
      <c r="AH40">
        <v>82.179999999999993</v>
      </c>
      <c r="AI40">
        <v>1971</v>
      </c>
      <c r="AJ40">
        <v>14.433333333333335</v>
      </c>
      <c r="AK40">
        <v>14.822222222222223</v>
      </c>
      <c r="AL40">
        <v>14.74</v>
      </c>
    </row>
    <row r="41" spans="4:38">
      <c r="G41">
        <v>83.35</v>
      </c>
      <c r="H41">
        <v>82.45</v>
      </c>
      <c r="I41">
        <v>81.66</v>
      </c>
      <c r="J41">
        <v>13.2</v>
      </c>
      <c r="K41">
        <v>13.200000000000001</v>
      </c>
      <c r="L41">
        <v>13.017500000000002</v>
      </c>
      <c r="M41">
        <v>14.066666666666668</v>
      </c>
      <c r="Q41">
        <v>1970</v>
      </c>
      <c r="R41">
        <v>14.799999999999999</v>
      </c>
      <c r="S41">
        <v>14.488888888888889</v>
      </c>
      <c r="T41">
        <v>14.333333333333334</v>
      </c>
      <c r="V41">
        <f t="shared" si="3"/>
        <v>4.9539373553377661E-2</v>
      </c>
      <c r="W41">
        <f t="shared" si="2"/>
        <v>4.8970724908470771E-2</v>
      </c>
      <c r="X41">
        <v>1970</v>
      </c>
      <c r="Y41">
        <v>-7.0620313094388848E-2</v>
      </c>
      <c r="Z41">
        <v>14.066666666666668</v>
      </c>
      <c r="AA41">
        <v>13.677777777777777</v>
      </c>
      <c r="AB41">
        <v>13.513333333333332</v>
      </c>
      <c r="AC41">
        <v>13.2</v>
      </c>
      <c r="AD41">
        <v>13.200000000000001</v>
      </c>
      <c r="AE41">
        <v>13.017500000000002</v>
      </c>
      <c r="AF41">
        <v>83.35</v>
      </c>
      <c r="AG41">
        <v>82.45</v>
      </c>
      <c r="AH41">
        <v>81.66</v>
      </c>
      <c r="AI41">
        <v>1970</v>
      </c>
      <c r="AJ41">
        <v>14.799999999999999</v>
      </c>
      <c r="AK41">
        <v>14.488888888888889</v>
      </c>
      <c r="AL41">
        <v>14.333333333333334</v>
      </c>
    </row>
    <row r="42" spans="4:38">
      <c r="G42">
        <v>82.35</v>
      </c>
      <c r="H42">
        <v>82.45</v>
      </c>
      <c r="I42">
        <v>82.05</v>
      </c>
      <c r="J42">
        <v>13.049999999999999</v>
      </c>
      <c r="K42">
        <v>12.966666666666667</v>
      </c>
      <c r="L42">
        <v>13.107499999999998</v>
      </c>
      <c r="M42">
        <v>13.5</v>
      </c>
      <c r="Q42">
        <v>1969</v>
      </c>
      <c r="R42">
        <v>14.233333333333334</v>
      </c>
      <c r="S42">
        <v>14</v>
      </c>
      <c r="T42">
        <v>14.206666666666667</v>
      </c>
      <c r="V42">
        <f t="shared" si="3"/>
        <v>1.2755789844065179E-2</v>
      </c>
      <c r="W42">
        <f t="shared" si="2"/>
        <v>7.251635496112338E-2</v>
      </c>
      <c r="X42">
        <v>1969</v>
      </c>
      <c r="Y42">
        <v>-5.0746091720986763E-3</v>
      </c>
      <c r="Z42">
        <v>13.5</v>
      </c>
      <c r="AA42">
        <v>13.4</v>
      </c>
      <c r="AB42">
        <v>13.52</v>
      </c>
      <c r="AC42">
        <v>13.049999999999999</v>
      </c>
      <c r="AD42">
        <v>12.966666666666667</v>
      </c>
      <c r="AE42">
        <v>13.107499999999998</v>
      </c>
      <c r="AF42">
        <v>82.35</v>
      </c>
      <c r="AG42">
        <v>82.45</v>
      </c>
      <c r="AH42">
        <v>82.05</v>
      </c>
      <c r="AI42">
        <v>1969</v>
      </c>
      <c r="AJ42">
        <v>14.233333333333334</v>
      </c>
      <c r="AK42">
        <v>14</v>
      </c>
      <c r="AL42">
        <v>14.206666666666667</v>
      </c>
    </row>
    <row r="43" spans="4:38">
      <c r="G43">
        <v>81.650000000000006</v>
      </c>
      <c r="H43">
        <v>81.75</v>
      </c>
      <c r="I43">
        <v>81.66</v>
      </c>
      <c r="J43">
        <v>12.649999999999999</v>
      </c>
      <c r="K43">
        <v>12.995833333333332</v>
      </c>
      <c r="L43">
        <v>12.87</v>
      </c>
      <c r="M43">
        <v>12.633333333333333</v>
      </c>
      <c r="Q43">
        <v>1968</v>
      </c>
      <c r="R43">
        <v>12.966666666666667</v>
      </c>
      <c r="S43">
        <v>13.933333333333335</v>
      </c>
      <c r="T43">
        <v>14.066666666666666</v>
      </c>
      <c r="V43">
        <f t="shared" si="3"/>
        <v>-0.11030022101451029</v>
      </c>
      <c r="W43">
        <f t="shared" si="2"/>
        <v>-2.9402611559061691E-2</v>
      </c>
      <c r="X43">
        <v>1968</v>
      </c>
      <c r="Y43">
        <v>0.29324398714985767</v>
      </c>
      <c r="Z43">
        <v>12.633333333333333</v>
      </c>
      <c r="AA43">
        <v>13.355555555555554</v>
      </c>
      <c r="AB43">
        <v>13.38</v>
      </c>
      <c r="AC43">
        <v>12.649999999999999</v>
      </c>
      <c r="AD43">
        <v>12.995833333333332</v>
      </c>
      <c r="AE43">
        <v>12.87</v>
      </c>
      <c r="AF43">
        <v>81.650000000000006</v>
      </c>
      <c r="AG43">
        <v>81.75</v>
      </c>
      <c r="AH43">
        <v>81.66</v>
      </c>
      <c r="AI43">
        <v>1968</v>
      </c>
      <c r="AJ43">
        <v>12.966666666666667</v>
      </c>
      <c r="AK43">
        <v>13.933333333333335</v>
      </c>
      <c r="AL43">
        <v>14.066666666666666</v>
      </c>
    </row>
    <row r="44" spans="4:38">
      <c r="G44">
        <v>81.25</v>
      </c>
      <c r="H44">
        <v>80.86666666666666</v>
      </c>
      <c r="J44">
        <v>13.287500000000001</v>
      </c>
      <c r="K44">
        <v>12.700000000000001</v>
      </c>
      <c r="L44">
        <v>12.761428571428571</v>
      </c>
      <c r="M44">
        <v>13.933333333333332</v>
      </c>
      <c r="Q44">
        <v>1967</v>
      </c>
      <c r="R44">
        <v>14.6</v>
      </c>
      <c r="S44">
        <v>13.766666666666666</v>
      </c>
      <c r="T44">
        <v>13.84</v>
      </c>
      <c r="V44">
        <f t="shared" si="3"/>
        <v>-0.12541627034891731</v>
      </c>
      <c r="W44">
        <f t="shared" si="2"/>
        <v>-0.15860206093535464</v>
      </c>
      <c r="X44">
        <v>1967</v>
      </c>
      <c r="Y44">
        <v>-0.37637721265494406</v>
      </c>
      <c r="Z44">
        <v>13.933333333333332</v>
      </c>
      <c r="AA44">
        <v>13.111111111111109</v>
      </c>
      <c r="AB44">
        <v>13.316666666666666</v>
      </c>
      <c r="AC44">
        <v>13.287500000000001</v>
      </c>
      <c r="AD44">
        <v>12.700000000000001</v>
      </c>
      <c r="AE44">
        <v>12.761428571428571</v>
      </c>
      <c r="AF44">
        <v>81.25</v>
      </c>
      <c r="AG44">
        <v>80.86666666666666</v>
      </c>
      <c r="AI44">
        <v>1967</v>
      </c>
      <c r="AJ44">
        <v>14.6</v>
      </c>
      <c r="AK44">
        <v>13.766666666666666</v>
      </c>
      <c r="AL44">
        <v>13.84</v>
      </c>
    </row>
    <row r="45" spans="4:38">
      <c r="G45">
        <v>79.699999999999989</v>
      </c>
      <c r="J45">
        <v>12.1625</v>
      </c>
      <c r="K45">
        <v>12.702380952380954</v>
      </c>
      <c r="L45">
        <v>12.748928571428573</v>
      </c>
      <c r="M45">
        <v>12.766666666666666</v>
      </c>
      <c r="Q45">
        <v>1966</v>
      </c>
      <c r="R45">
        <v>13.733333333333333</v>
      </c>
      <c r="S45">
        <v>14</v>
      </c>
      <c r="T45">
        <v>13.753333333333334</v>
      </c>
      <c r="V45">
        <f t="shared" si="3"/>
        <v>-0.13652566024246715</v>
      </c>
      <c r="W45">
        <f t="shared" si="2"/>
        <v>-0.30508357657411517</v>
      </c>
      <c r="X45">
        <v>1966</v>
      </c>
      <c r="Y45">
        <v>-0.39267295730097751</v>
      </c>
      <c r="Z45">
        <v>12.766666666666666</v>
      </c>
      <c r="AA45">
        <v>13.483333333333333</v>
      </c>
      <c r="AB45">
        <v>13.203333333333333</v>
      </c>
      <c r="AC45">
        <v>12.1625</v>
      </c>
      <c r="AD45">
        <v>12.702380952380954</v>
      </c>
      <c r="AE45">
        <v>12.748928571428573</v>
      </c>
      <c r="AF45">
        <v>79.699999999999989</v>
      </c>
      <c r="AI45">
        <v>1966</v>
      </c>
      <c r="AJ45">
        <v>13.733333333333333</v>
      </c>
      <c r="AK45">
        <v>14</v>
      </c>
      <c r="AL45">
        <v>13.753333333333334</v>
      </c>
    </row>
    <row r="46" spans="4:38">
      <c r="J46">
        <v>12.657142857142857</v>
      </c>
      <c r="K46">
        <v>12.602380952380953</v>
      </c>
      <c r="L46">
        <v>12.623928571428571</v>
      </c>
      <c r="M46">
        <v>13.75</v>
      </c>
      <c r="Q46">
        <v>1965</v>
      </c>
      <c r="R46">
        <v>13.666666666666666</v>
      </c>
      <c r="S46">
        <v>13.733333333333333</v>
      </c>
      <c r="T46">
        <v>13.986666666666668</v>
      </c>
      <c r="V46">
        <f t="shared" si="3"/>
        <v>-4.8036065182293884E-2</v>
      </c>
      <c r="W46">
        <f t="shared" si="2"/>
        <v>-0.19983169190241643</v>
      </c>
      <c r="X46">
        <v>1965</v>
      </c>
      <c r="Y46">
        <v>-0.14620055976642404</v>
      </c>
      <c r="Z46">
        <v>13.75</v>
      </c>
      <c r="AA46">
        <v>13.149999999999999</v>
      </c>
      <c r="AB46">
        <v>13.263333333333332</v>
      </c>
      <c r="AC46">
        <v>12.657142857142857</v>
      </c>
      <c r="AD46">
        <v>12.602380952380953</v>
      </c>
      <c r="AE46">
        <v>12.623928571428571</v>
      </c>
      <c r="AI46">
        <v>1965</v>
      </c>
      <c r="AJ46">
        <v>13.666666666666666</v>
      </c>
      <c r="AK46">
        <v>13.733333333333333</v>
      </c>
      <c r="AL46">
        <v>13.986666666666668</v>
      </c>
    </row>
    <row r="47" spans="4:38">
      <c r="J47">
        <v>12.987500000000001</v>
      </c>
      <c r="K47">
        <v>12.556547619047619</v>
      </c>
      <c r="M47">
        <v>12.933333333333332</v>
      </c>
      <c r="Q47">
        <v>1964</v>
      </c>
      <c r="R47">
        <v>13.799999999999999</v>
      </c>
      <c r="S47">
        <v>13.866666666666665</v>
      </c>
      <c r="T47">
        <v>14.033333333333331</v>
      </c>
      <c r="V47">
        <f t="shared" si="3"/>
        <v>3.4949922939542813E-2</v>
      </c>
      <c r="W47">
        <f t="shared" si="2"/>
        <v>0.17628994801481737</v>
      </c>
      <c r="X47">
        <v>1964</v>
      </c>
      <c r="Y47">
        <v>-6.0621558639847695E-2</v>
      </c>
      <c r="Z47">
        <v>12.933333333333332</v>
      </c>
      <c r="AA47">
        <v>13.205555555555554</v>
      </c>
      <c r="AB47">
        <v>13.396666666666665</v>
      </c>
      <c r="AC47">
        <v>12.987500000000001</v>
      </c>
      <c r="AD47">
        <v>12.556547619047619</v>
      </c>
      <c r="AI47">
        <v>1964</v>
      </c>
      <c r="AJ47">
        <v>13.799999999999999</v>
      </c>
      <c r="AK47">
        <v>13.866666666666665</v>
      </c>
      <c r="AL47">
        <v>14.033333333333331</v>
      </c>
    </row>
    <row r="48" spans="4:38">
      <c r="J48">
        <v>12.024999999999999</v>
      </c>
      <c r="M48">
        <v>12.933333333333332</v>
      </c>
      <c r="Q48">
        <v>1963</v>
      </c>
      <c r="R48">
        <v>14.133333333333333</v>
      </c>
      <c r="S48">
        <v>14.255555555555555</v>
      </c>
      <c r="V48">
        <f t="shared" si="3"/>
        <v>0.32382579908840442</v>
      </c>
      <c r="W48">
        <f t="shared" si="2"/>
        <v>0.23787437725503854</v>
      </c>
      <c r="X48">
        <v>1963</v>
      </c>
      <c r="Y48">
        <v>0.73569196245072388</v>
      </c>
      <c r="Z48">
        <v>12.933333333333332</v>
      </c>
      <c r="AA48">
        <v>13.488888888888887</v>
      </c>
      <c r="AC48">
        <v>12.024999999999999</v>
      </c>
      <c r="AI48">
        <v>1963</v>
      </c>
      <c r="AJ48">
        <v>14.133333333333333</v>
      </c>
      <c r="AK48">
        <v>14.255555555555555</v>
      </c>
    </row>
    <row r="49" spans="13:36">
      <c r="M49">
        <v>14.6</v>
      </c>
      <c r="Q49">
        <v>1962</v>
      </c>
      <c r="R49">
        <v>14.833333333333334</v>
      </c>
      <c r="V49">
        <f t="shared" si="3"/>
        <v>0.11711751655048222</v>
      </c>
      <c r="W49">
        <f t="shared" si="2"/>
        <v>0.60865037128276456</v>
      </c>
      <c r="X49">
        <v>1962</v>
      </c>
      <c r="Y49">
        <v>3.8552727954239419E-2</v>
      </c>
      <c r="Z49">
        <v>14.6</v>
      </c>
      <c r="AI49">
        <v>1962</v>
      </c>
      <c r="AJ49">
        <v>14.833333333333334</v>
      </c>
    </row>
    <row r="50" spans="13:36">
      <c r="W50">
        <f t="shared" si="2"/>
        <v>-2.9827607019488351E-2</v>
      </c>
      <c r="X50">
        <v>1961</v>
      </c>
      <c r="Y50">
        <v>1.0517064234433304</v>
      </c>
    </row>
    <row r="51" spans="13:36">
      <c r="X51">
        <v>1960</v>
      </c>
      <c r="Y51">
        <v>-1.179741972456035</v>
      </c>
    </row>
    <row r="55" spans="13:36">
      <c r="Y55" t="s">
        <v>73</v>
      </c>
      <c r="Z55">
        <f>CORREL(Y16:Y45,AF16:AF45)</f>
        <v>-8.5644987286522516E-3</v>
      </c>
    </row>
    <row r="56" spans="13:36">
      <c r="Y56" t="s">
        <v>278</v>
      </c>
      <c r="Z56">
        <f>CORREL(W17:W44,AG17:AG44)</f>
        <v>1.7227497043303903E-2</v>
      </c>
    </row>
    <row r="57" spans="13:36">
      <c r="Y57" t="s">
        <v>279</v>
      </c>
      <c r="Z57">
        <f>CORREL(V18:V43,AH18:AH43)</f>
        <v>-4.0728602923406146E-2</v>
      </c>
    </row>
    <row r="58" spans="13:36">
      <c r="Y58" s="28" t="s">
        <v>286</v>
      </c>
      <c r="Z58" s="28">
        <f>CORREL(Y16:Y41,AC16:AC41)</f>
        <v>-0.14542017738091031</v>
      </c>
    </row>
    <row r="59" spans="13:36">
      <c r="Y59" s="28" t="s">
        <v>280</v>
      </c>
      <c r="Z59" s="28">
        <f>CORREL(W17:W40,AD17:AD40)</f>
        <v>-0.49561541147306037</v>
      </c>
    </row>
    <row r="60" spans="13:36">
      <c r="Y60" s="28" t="s">
        <v>281</v>
      </c>
      <c r="Z60" s="28">
        <f>CORREL(V21:V39,AE21:AE39)</f>
        <v>-0.57994802275254598</v>
      </c>
    </row>
    <row r="61" spans="13:36">
      <c r="Y61" t="s">
        <v>282</v>
      </c>
      <c r="Z61">
        <f>CORREL(Y16:Y49,Z16:Z49)</f>
        <v>-0.24434501459965588</v>
      </c>
    </row>
    <row r="62" spans="13:36">
      <c r="Y62" t="s">
        <v>284</v>
      </c>
      <c r="Z62">
        <f>CORREL(W17:W44,AA17:AA44)</f>
        <v>-0.38349772899681273</v>
      </c>
    </row>
    <row r="63" spans="13:36">
      <c r="Y63" t="s">
        <v>283</v>
      </c>
      <c r="Z63">
        <f>CORREL(V18:V47,AB18:AB47)</f>
        <v>-0.48067138304378987</v>
      </c>
    </row>
    <row r="64" spans="13:36">
      <c r="Y64" s="28" t="s">
        <v>200</v>
      </c>
      <c r="Z64" s="28">
        <f>CORREL(Y16:Y49,AJ16:AJ49)</f>
        <v>-0.18359939304959963</v>
      </c>
    </row>
    <row r="65" spans="1:29">
      <c r="Y65" s="28" t="s">
        <v>287</v>
      </c>
      <c r="Z65" s="28">
        <f>CORREL(W17:W48,AK17:AK48)</f>
        <v>-0.24635084508953808</v>
      </c>
    </row>
    <row r="66" spans="1:29">
      <c r="Y66" s="28" t="s">
        <v>288</v>
      </c>
      <c r="Z66" s="28">
        <f>CORREL(V21:V47,AL21:AL47)</f>
        <v>-0.39843236449955938</v>
      </c>
    </row>
    <row r="73" spans="1:29">
      <c r="A73" t="s">
        <v>191</v>
      </c>
    </row>
    <row r="74" spans="1:29">
      <c r="B74" t="s">
        <v>296</v>
      </c>
      <c r="E74" t="s">
        <v>297</v>
      </c>
    </row>
    <row r="76" spans="1:29">
      <c r="A76" t="s">
        <v>300</v>
      </c>
      <c r="B76" t="s">
        <v>73</v>
      </c>
      <c r="C76" s="29">
        <v>-0.7091049426957422</v>
      </c>
      <c r="D76" s="3"/>
      <c r="E76" s="3" t="s">
        <v>73</v>
      </c>
      <c r="F76" s="32">
        <v>-0.61254481559940721</v>
      </c>
      <c r="H76" t="s">
        <v>298</v>
      </c>
      <c r="V76" t="s">
        <v>290</v>
      </c>
    </row>
    <row r="77" spans="1:29">
      <c r="B77" t="s">
        <v>278</v>
      </c>
      <c r="C77" s="29">
        <v>-0.74520645898873217</v>
      </c>
      <c r="D77" s="3"/>
      <c r="E77" s="3" t="s">
        <v>278</v>
      </c>
      <c r="F77" s="3">
        <v>-0.54155120914809085</v>
      </c>
      <c r="H77" t="s">
        <v>298</v>
      </c>
      <c r="Z77" t="s">
        <v>289</v>
      </c>
    </row>
    <row r="78" spans="1:29">
      <c r="B78" t="s">
        <v>279</v>
      </c>
      <c r="C78" s="32">
        <v>-0.76751176757200912</v>
      </c>
      <c r="D78" s="3"/>
      <c r="E78" s="3" t="s">
        <v>279</v>
      </c>
      <c r="F78" s="3">
        <v>-0.56699609881265534</v>
      </c>
      <c r="H78" t="s">
        <v>298</v>
      </c>
      <c r="T78" t="s">
        <v>73</v>
      </c>
      <c r="U78">
        <v>-8.5644987286522516E-3</v>
      </c>
      <c r="V78">
        <f>Z78-X78</f>
        <v>0.24734605506511997</v>
      </c>
      <c r="X78">
        <f>0.0228*(Y78)-45.056</f>
        <v>0.43000000000000682</v>
      </c>
      <c r="Y78">
        <v>1995</v>
      </c>
      <c r="Z78">
        <v>0.6773460550651268</v>
      </c>
      <c r="AB78" t="s">
        <v>73</v>
      </c>
      <c r="AC78">
        <v>-0.22286661471399619</v>
      </c>
    </row>
    <row r="79" spans="1:29">
      <c r="A79" t="s">
        <v>302</v>
      </c>
      <c r="B79" s="28" t="s">
        <v>286</v>
      </c>
      <c r="C79" s="30">
        <v>-0.28322578082429245</v>
      </c>
      <c r="D79" s="30"/>
      <c r="E79" s="30"/>
      <c r="F79" s="30">
        <v>-0.32994688620714685</v>
      </c>
      <c r="G79" s="28"/>
      <c r="H79" s="28" t="s">
        <v>299</v>
      </c>
      <c r="T79" t="s">
        <v>278</v>
      </c>
      <c r="U79">
        <v>1.7227497043303903E-2</v>
      </c>
      <c r="V79">
        <f t="shared" ref="V79:V113" si="4">Z79-X79</f>
        <v>0.10701894707684623</v>
      </c>
      <c r="X79">
        <f t="shared" ref="X79:X113" si="5">0.0228*(Y79)-45.056</f>
        <v>0.40720000000000312</v>
      </c>
      <c r="Y79">
        <v>1994</v>
      </c>
      <c r="Z79">
        <v>0.51421894707684934</v>
      </c>
      <c r="AB79" t="s">
        <v>278</v>
      </c>
      <c r="AC79">
        <v>-0.55440899036331592</v>
      </c>
    </row>
    <row r="80" spans="1:29">
      <c r="B80" s="28" t="s">
        <v>280</v>
      </c>
      <c r="C80" s="30">
        <v>-0.56749090010122516</v>
      </c>
      <c r="D80" s="30"/>
      <c r="E80" s="30" t="s">
        <v>280</v>
      </c>
      <c r="F80" s="30">
        <v>-0.52831616029121931</v>
      </c>
      <c r="G80" s="28"/>
      <c r="H80" s="28" t="s">
        <v>298</v>
      </c>
      <c r="T80" t="s">
        <v>279</v>
      </c>
      <c r="U80">
        <v>-4.0728602923406146E-2</v>
      </c>
      <c r="V80">
        <f t="shared" si="4"/>
        <v>5.2226429483821946E-2</v>
      </c>
      <c r="X80">
        <f t="shared" si="5"/>
        <v>0.38440000000000651</v>
      </c>
      <c r="Y80">
        <v>1993</v>
      </c>
      <c r="Z80">
        <v>0.43662642948382846</v>
      </c>
      <c r="AB80" t="s">
        <v>279</v>
      </c>
      <c r="AC80">
        <v>-0.69418097316789851</v>
      </c>
    </row>
    <row r="81" spans="1:29">
      <c r="B81" s="28" t="s">
        <v>281</v>
      </c>
      <c r="C81" s="30">
        <v>-0.67106212355719119</v>
      </c>
      <c r="D81" s="30"/>
      <c r="E81" s="30" t="s">
        <v>281</v>
      </c>
      <c r="F81" s="30">
        <v>-0.60788148071616055</v>
      </c>
      <c r="G81" s="28"/>
      <c r="H81" s="28" t="s">
        <v>298</v>
      </c>
      <c r="T81" t="s">
        <v>286</v>
      </c>
      <c r="U81">
        <v>-0.16874073183113567</v>
      </c>
      <c r="V81">
        <f t="shared" si="4"/>
        <v>-0.68091415205798322</v>
      </c>
      <c r="X81">
        <f t="shared" si="5"/>
        <v>0.36160000000000281</v>
      </c>
      <c r="Y81">
        <v>1992</v>
      </c>
      <c r="Z81">
        <v>-0.31931415205798042</v>
      </c>
      <c r="AB81" t="s">
        <v>286</v>
      </c>
      <c r="AC81">
        <v>-9.0351418648581427E-2</v>
      </c>
    </row>
    <row r="82" spans="1:29">
      <c r="A82" t="s">
        <v>301</v>
      </c>
      <c r="B82" t="s">
        <v>282</v>
      </c>
      <c r="C82" s="29">
        <v>-0.63521479227423439</v>
      </c>
      <c r="D82" s="3"/>
      <c r="E82" s="3" t="s">
        <v>282</v>
      </c>
      <c r="F82" s="31">
        <v>-0.52504871114618978</v>
      </c>
      <c r="H82" t="s">
        <v>298</v>
      </c>
      <c r="T82" t="s">
        <v>280</v>
      </c>
      <c r="U82">
        <v>-0.15796590391959719</v>
      </c>
      <c r="V82">
        <f t="shared" si="4"/>
        <v>0.39019137976598472</v>
      </c>
      <c r="X82">
        <f t="shared" si="5"/>
        <v>0.33880000000000621</v>
      </c>
      <c r="Y82">
        <v>1991</v>
      </c>
      <c r="Z82">
        <v>0.72899137976599093</v>
      </c>
      <c r="AB82" t="s">
        <v>280</v>
      </c>
      <c r="AC82">
        <v>0.25095106640548054</v>
      </c>
    </row>
    <row r="83" spans="1:29">
      <c r="B83" t="s">
        <v>284</v>
      </c>
      <c r="C83" s="29">
        <v>-0.67489309516619589</v>
      </c>
      <c r="D83" s="3"/>
      <c r="E83" s="3" t="s">
        <v>284</v>
      </c>
      <c r="F83" s="3">
        <v>-0.42279073062033851</v>
      </c>
      <c r="H83" t="s">
        <v>298</v>
      </c>
      <c r="T83" t="s">
        <v>281</v>
      </c>
      <c r="U83">
        <v>-0.48025156759815218</v>
      </c>
      <c r="V83">
        <f t="shared" si="4"/>
        <v>0.94979265394452184</v>
      </c>
      <c r="X83">
        <f t="shared" si="5"/>
        <v>0.3160000000000025</v>
      </c>
      <c r="Y83">
        <v>1990</v>
      </c>
      <c r="Z83">
        <v>1.2657926539445243</v>
      </c>
      <c r="AB83" t="s">
        <v>281</v>
      </c>
      <c r="AC83">
        <v>0.11719392983130371</v>
      </c>
    </row>
    <row r="84" spans="1:29">
      <c r="B84" t="s">
        <v>283</v>
      </c>
      <c r="C84" s="29">
        <v>-0.7332910214086753</v>
      </c>
      <c r="D84" s="3"/>
      <c r="E84" s="3" t="s">
        <v>283</v>
      </c>
      <c r="F84" s="3">
        <v>-0.42060395415384338</v>
      </c>
      <c r="H84" t="s">
        <v>298</v>
      </c>
      <c r="T84" t="s">
        <v>282</v>
      </c>
      <c r="U84">
        <v>-0.24434501459965588</v>
      </c>
      <c r="V84">
        <f t="shared" si="4"/>
        <v>-0.49821729478359655</v>
      </c>
      <c r="X84">
        <f t="shared" si="5"/>
        <v>0.2932000000000059</v>
      </c>
      <c r="Y84">
        <v>1989</v>
      </c>
      <c r="Z84">
        <v>-0.20501729478359065</v>
      </c>
      <c r="AB84" t="s">
        <v>282</v>
      </c>
      <c r="AC84">
        <v>-0.4051712893815726</v>
      </c>
    </row>
    <row r="85" spans="1:29">
      <c r="C85" s="3"/>
      <c r="D85" s="3"/>
      <c r="E85" s="3"/>
      <c r="F85" s="3"/>
      <c r="T85" t="s">
        <v>284</v>
      </c>
      <c r="U85">
        <v>-0.38349772899681273</v>
      </c>
      <c r="V85">
        <f t="shared" si="4"/>
        <v>-0.72064106828158891</v>
      </c>
      <c r="X85">
        <f t="shared" si="5"/>
        <v>0.27040000000000219</v>
      </c>
      <c r="Y85">
        <v>1988</v>
      </c>
      <c r="Z85">
        <v>-0.45024106828158672</v>
      </c>
      <c r="AB85" t="s">
        <v>284</v>
      </c>
      <c r="AC85">
        <v>-0.6212203143709365</v>
      </c>
    </row>
    <row r="86" spans="1:29">
      <c r="C86" s="3"/>
      <c r="D86" s="3"/>
      <c r="E86" s="3"/>
      <c r="F86" s="3"/>
      <c r="T86" t="s">
        <v>283</v>
      </c>
      <c r="U86">
        <v>-0.48067138304378987</v>
      </c>
      <c r="V86">
        <f t="shared" si="4"/>
        <v>-0.20502700627306295</v>
      </c>
      <c r="X86">
        <f t="shared" si="5"/>
        <v>0.24760000000000559</v>
      </c>
      <c r="Y86">
        <v>1987</v>
      </c>
      <c r="Z86">
        <v>4.2572993726942641E-2</v>
      </c>
      <c r="AB86" t="s">
        <v>283</v>
      </c>
      <c r="AC86">
        <v>-0.67595546723927968</v>
      </c>
    </row>
    <row r="87" spans="1:29">
      <c r="C87" s="3"/>
      <c r="D87" s="3"/>
      <c r="E87" s="3"/>
      <c r="F87" s="3"/>
      <c r="T87" t="s">
        <v>200</v>
      </c>
      <c r="U87">
        <v>-0.18359939304959963</v>
      </c>
      <c r="V87">
        <f t="shared" si="4"/>
        <v>3.6600849286450854E-3</v>
      </c>
      <c r="X87">
        <f t="shared" si="5"/>
        <v>0.22480000000000189</v>
      </c>
      <c r="Y87">
        <v>1986</v>
      </c>
      <c r="Z87">
        <v>0.22846008492864697</v>
      </c>
      <c r="AB87" t="s">
        <v>200</v>
      </c>
      <c r="AC87">
        <v>-4.5970083141211683E-2</v>
      </c>
    </row>
    <row r="88" spans="1:29">
      <c r="C88" s="3"/>
      <c r="D88" s="3"/>
      <c r="E88" s="3"/>
      <c r="F88" s="3"/>
      <c r="T88" t="s">
        <v>287</v>
      </c>
      <c r="U88">
        <v>-0.24635084508953808</v>
      </c>
      <c r="V88">
        <f t="shared" si="4"/>
        <v>-0.7977251416659783</v>
      </c>
      <c r="X88">
        <f t="shared" si="5"/>
        <v>0.20200000000000529</v>
      </c>
      <c r="Y88">
        <v>1985</v>
      </c>
      <c r="Z88">
        <v>-0.59572514166597301</v>
      </c>
      <c r="AB88" t="s">
        <v>287</v>
      </c>
      <c r="AC88">
        <v>0.18282053694180866</v>
      </c>
    </row>
    <row r="89" spans="1:29">
      <c r="C89" s="3"/>
      <c r="D89" s="3"/>
      <c r="E89" s="3"/>
      <c r="F89" s="3"/>
      <c r="T89" t="s">
        <v>288</v>
      </c>
      <c r="U89">
        <v>-0.39843236449955938</v>
      </c>
      <c r="V89">
        <f t="shared" si="4"/>
        <v>0.26131441948708051</v>
      </c>
      <c r="X89">
        <f t="shared" si="5"/>
        <v>0.17920000000000158</v>
      </c>
      <c r="Y89">
        <v>1984</v>
      </c>
      <c r="Z89">
        <v>0.44051441948708209</v>
      </c>
      <c r="AB89" t="s">
        <v>288</v>
      </c>
      <c r="AC89">
        <v>0.22983251960440376</v>
      </c>
    </row>
    <row r="90" spans="1:29">
      <c r="A90" t="s">
        <v>187</v>
      </c>
      <c r="C90" s="3"/>
      <c r="D90" s="3"/>
      <c r="E90" s="3"/>
      <c r="F90" s="3"/>
      <c r="V90">
        <f t="shared" si="4"/>
        <v>-0.13388411694619221</v>
      </c>
      <c r="X90">
        <f t="shared" si="5"/>
        <v>0.15640000000000498</v>
      </c>
      <c r="Y90">
        <v>1983</v>
      </c>
      <c r="Z90">
        <v>2.2515883053812764E-2</v>
      </c>
    </row>
    <row r="91" spans="1:29">
      <c r="B91" t="s">
        <v>73</v>
      </c>
      <c r="C91" s="3">
        <v>-8.5644987286522516E-3</v>
      </c>
      <c r="D91" s="3"/>
      <c r="E91" s="3" t="s">
        <v>73</v>
      </c>
      <c r="F91">
        <v>-0.22286661471399619</v>
      </c>
      <c r="H91" t="s">
        <v>299</v>
      </c>
      <c r="V91">
        <f t="shared" si="4"/>
        <v>0.38225489818287184</v>
      </c>
      <c r="X91">
        <f t="shared" si="5"/>
        <v>0.13360000000000127</v>
      </c>
      <c r="Y91">
        <v>1982</v>
      </c>
      <c r="Z91">
        <v>0.51585489818287311</v>
      </c>
    </row>
    <row r="92" spans="1:29">
      <c r="B92" t="s">
        <v>278</v>
      </c>
      <c r="C92" s="3">
        <v>1.7227497043303903E-2</v>
      </c>
      <c r="D92" s="3"/>
      <c r="E92" s="3" t="s">
        <v>278</v>
      </c>
      <c r="F92">
        <v>-0.55440899036331592</v>
      </c>
      <c r="H92" t="s">
        <v>299</v>
      </c>
      <c r="V92">
        <f t="shared" si="4"/>
        <v>0.33667230934953535</v>
      </c>
      <c r="X92">
        <f t="shared" si="5"/>
        <v>0.11080000000000467</v>
      </c>
      <c r="Y92">
        <v>1981</v>
      </c>
      <c r="Z92">
        <v>0.44747230934954002</v>
      </c>
    </row>
    <row r="93" spans="1:29">
      <c r="B93" t="s">
        <v>279</v>
      </c>
      <c r="C93" s="3">
        <v>-4.0728602923406146E-2</v>
      </c>
      <c r="D93" s="3"/>
      <c r="E93" s="3" t="s">
        <v>279</v>
      </c>
      <c r="F93" s="1">
        <v>-0.69418097316789851</v>
      </c>
      <c r="H93" t="s">
        <v>299</v>
      </c>
      <c r="V93">
        <f t="shared" si="4"/>
        <v>-0.10689893234762056</v>
      </c>
      <c r="X93">
        <f t="shared" si="5"/>
        <v>8.8000000000000966E-2</v>
      </c>
      <c r="Y93">
        <v>1980</v>
      </c>
      <c r="Z93">
        <v>-1.8898932347619597E-2</v>
      </c>
    </row>
    <row r="94" spans="1:29">
      <c r="B94" s="28" t="s">
        <v>286</v>
      </c>
      <c r="C94" s="30">
        <v>-0.14542017738091031</v>
      </c>
      <c r="D94" s="30"/>
      <c r="E94" s="30" t="s">
        <v>286</v>
      </c>
      <c r="F94" s="28">
        <v>-0.24355346409018799</v>
      </c>
      <c r="G94" s="28"/>
      <c r="H94" s="28" t="s">
        <v>299</v>
      </c>
      <c r="V94">
        <f t="shared" si="4"/>
        <v>7.2982900242459486E-2</v>
      </c>
      <c r="X94">
        <f t="shared" si="5"/>
        <v>6.5200000000004366E-2</v>
      </c>
      <c r="Y94">
        <v>1979</v>
      </c>
      <c r="Z94">
        <v>0.13818290024246385</v>
      </c>
    </row>
    <row r="95" spans="1:29">
      <c r="B95" s="28" t="s">
        <v>280</v>
      </c>
      <c r="C95" s="30">
        <v>-0.49561541147306037</v>
      </c>
      <c r="D95" s="30"/>
      <c r="E95" s="30" t="s">
        <v>280</v>
      </c>
      <c r="F95" s="28">
        <v>-0.62811679905330264</v>
      </c>
      <c r="G95" s="28"/>
      <c r="H95" s="28" t="s">
        <v>299</v>
      </c>
      <c r="V95">
        <f t="shared" si="4"/>
        <v>0.55110124848079911</v>
      </c>
      <c r="X95">
        <f t="shared" si="5"/>
        <v>4.2400000000007765E-2</v>
      </c>
      <c r="Y95">
        <v>1978</v>
      </c>
      <c r="Z95">
        <v>0.59350124848080688</v>
      </c>
    </row>
    <row r="96" spans="1:29">
      <c r="B96" s="28" t="s">
        <v>281</v>
      </c>
      <c r="C96" s="30">
        <v>-0.57994802275254598</v>
      </c>
      <c r="D96" s="30"/>
      <c r="E96" s="30" t="s">
        <v>281</v>
      </c>
      <c r="F96" s="28">
        <v>-0.53620506980233196</v>
      </c>
      <c r="G96" s="28"/>
      <c r="H96" s="28" t="s">
        <v>298</v>
      </c>
      <c r="V96">
        <f t="shared" si="4"/>
        <v>-0.39828778730314901</v>
      </c>
      <c r="X96">
        <f t="shared" si="5"/>
        <v>1.9600000000004059E-2</v>
      </c>
      <c r="Y96">
        <v>1977</v>
      </c>
      <c r="Z96">
        <v>-0.37868778730314495</v>
      </c>
    </row>
    <row r="97" spans="2:26">
      <c r="B97" t="s">
        <v>282</v>
      </c>
      <c r="C97" s="3">
        <v>-0.24434501459965588</v>
      </c>
      <c r="D97" s="3"/>
      <c r="E97" s="3" t="s">
        <v>282</v>
      </c>
      <c r="F97">
        <v>-0.4051712893815726</v>
      </c>
      <c r="H97" t="s">
        <v>299</v>
      </c>
      <c r="V97">
        <f t="shared" si="4"/>
        <v>0.14281593990297947</v>
      </c>
      <c r="X97">
        <f t="shared" si="5"/>
        <v>-3.1999999999925421E-3</v>
      </c>
      <c r="Y97">
        <v>1976</v>
      </c>
      <c r="Z97">
        <v>0.13961593990298693</v>
      </c>
    </row>
    <row r="98" spans="2:26">
      <c r="B98" t="s">
        <v>284</v>
      </c>
      <c r="C98" s="3">
        <v>-0.38349772899681273</v>
      </c>
      <c r="D98" s="3"/>
      <c r="E98" s="3" t="s">
        <v>284</v>
      </c>
      <c r="F98">
        <v>-0.6212203143709365</v>
      </c>
      <c r="H98" t="s">
        <v>299</v>
      </c>
      <c r="V98">
        <f t="shared" si="4"/>
        <v>-9.770941879461563E-2</v>
      </c>
      <c r="X98">
        <f t="shared" si="5"/>
        <v>-2.5999999999996248E-2</v>
      </c>
      <c r="Y98">
        <v>1975</v>
      </c>
      <c r="Z98">
        <v>-0.12370941879461188</v>
      </c>
    </row>
    <row r="99" spans="2:26">
      <c r="B99" t="s">
        <v>283</v>
      </c>
      <c r="C99" s="3">
        <v>-0.48067138304378987</v>
      </c>
      <c r="D99" s="3"/>
      <c r="E99" s="3" t="s">
        <v>283</v>
      </c>
      <c r="F99">
        <v>-0.67595546723927968</v>
      </c>
      <c r="H99" t="s">
        <v>299</v>
      </c>
      <c r="V99">
        <f t="shared" si="4"/>
        <v>-0.46849732620012297</v>
      </c>
      <c r="X99">
        <f t="shared" si="5"/>
        <v>-4.8799999999992849E-2</v>
      </c>
      <c r="Y99">
        <v>1974</v>
      </c>
      <c r="Z99">
        <v>-0.51729732620011581</v>
      </c>
    </row>
    <row r="100" spans="2:26">
      <c r="I100" t="s">
        <v>72</v>
      </c>
      <c r="J100" t="s">
        <v>296</v>
      </c>
      <c r="K100" t="s">
        <v>289</v>
      </c>
      <c r="V100">
        <f t="shared" si="4"/>
        <v>-0.13205710239798818</v>
      </c>
      <c r="X100">
        <f t="shared" si="5"/>
        <v>-7.1599999999996555E-2</v>
      </c>
      <c r="Y100">
        <v>1973</v>
      </c>
      <c r="Z100">
        <v>-0.20365710239798474</v>
      </c>
    </row>
    <row r="101" spans="2:26">
      <c r="I101">
        <v>2009</v>
      </c>
      <c r="J101">
        <v>-0.29035758142525425</v>
      </c>
      <c r="K101">
        <v>-0.89375758142526196</v>
      </c>
      <c r="V101">
        <f t="shared" si="4"/>
        <v>-0.1924592941083817</v>
      </c>
      <c r="X101">
        <f t="shared" si="5"/>
        <v>-9.4399999999993156E-2</v>
      </c>
      <c r="Y101">
        <v>1972</v>
      </c>
      <c r="Z101">
        <v>-0.28685929410837485</v>
      </c>
    </row>
    <row r="102" spans="2:26">
      <c r="I102">
        <v>2008</v>
      </c>
      <c r="J102">
        <v>0.23922639121805345</v>
      </c>
      <c r="K102">
        <v>-0.32557360878195185</v>
      </c>
      <c r="V102">
        <f t="shared" si="4"/>
        <v>0.22260709699189984</v>
      </c>
      <c r="X102">
        <f t="shared" si="5"/>
        <v>-0.11719999999999686</v>
      </c>
      <c r="Y102">
        <v>1971</v>
      </c>
      <c r="Z102">
        <v>0.10540709699190298</v>
      </c>
    </row>
    <row r="103" spans="2:26">
      <c r="I103">
        <v>2007</v>
      </c>
      <c r="J103">
        <v>0.64452525464297761</v>
      </c>
      <c r="K103">
        <v>0.11832525464297473</v>
      </c>
      <c r="V103">
        <f t="shared" si="4"/>
        <v>-7.0620313094388848E-2</v>
      </c>
      <c r="X103">
        <f t="shared" si="5"/>
        <v>-0.13999999999999346</v>
      </c>
      <c r="Y103">
        <v>1970</v>
      </c>
      <c r="Z103">
        <v>-0.21062031309438231</v>
      </c>
    </row>
    <row r="104" spans="2:26">
      <c r="I104">
        <v>2006</v>
      </c>
      <c r="J104">
        <v>-1.1160250045780256</v>
      </c>
      <c r="K104">
        <v>-1.603625004578026</v>
      </c>
      <c r="V104">
        <f t="shared" si="4"/>
        <v>-5.0746091720986763E-3</v>
      </c>
      <c r="X104">
        <f t="shared" si="5"/>
        <v>-0.16279999999999717</v>
      </c>
      <c r="Y104">
        <v>1969</v>
      </c>
      <c r="Z104">
        <v>-0.16787460917209585</v>
      </c>
    </row>
    <row r="105" spans="2:26">
      <c r="I105">
        <v>2005</v>
      </c>
      <c r="J105">
        <v>-0.28880099197417497</v>
      </c>
      <c r="K105">
        <v>-0.73780099197417304</v>
      </c>
      <c r="V105">
        <f t="shared" si="4"/>
        <v>0.29324398714985767</v>
      </c>
      <c r="X105">
        <f t="shared" si="5"/>
        <v>-0.18559999999999377</v>
      </c>
      <c r="Y105">
        <v>1968</v>
      </c>
      <c r="Z105">
        <v>0.10764398714986388</v>
      </c>
    </row>
    <row r="106" spans="2:26">
      <c r="I106">
        <v>2004</v>
      </c>
      <c r="J106">
        <v>0.19530480172227757</v>
      </c>
      <c r="K106">
        <v>-0.21509519827771809</v>
      </c>
      <c r="V106">
        <f t="shared" si="4"/>
        <v>-0.37637721265494406</v>
      </c>
      <c r="X106">
        <f t="shared" si="5"/>
        <v>-0.20839999999999748</v>
      </c>
      <c r="Y106">
        <v>1967</v>
      </c>
      <c r="Z106">
        <v>-0.58477721265494154</v>
      </c>
    </row>
    <row r="107" spans="2:26">
      <c r="I107">
        <v>2003</v>
      </c>
      <c r="J107">
        <v>-0.71034174115305881</v>
      </c>
      <c r="K107">
        <v>-1.0821417411530663</v>
      </c>
      <c r="V107">
        <f t="shared" si="4"/>
        <v>-0.39267295730097751</v>
      </c>
      <c r="X107">
        <f t="shared" si="5"/>
        <v>-0.23119999999999408</v>
      </c>
      <c r="Y107">
        <v>1966</v>
      </c>
      <c r="Z107">
        <v>-0.62387295730097159</v>
      </c>
    </row>
    <row r="108" spans="2:26">
      <c r="I108">
        <v>2002</v>
      </c>
      <c r="J108">
        <v>0.50458552351828767</v>
      </c>
      <c r="K108">
        <v>0.17138552351828262</v>
      </c>
      <c r="V108">
        <f t="shared" si="4"/>
        <v>-0.14620055976642404</v>
      </c>
      <c r="X108">
        <f t="shared" si="5"/>
        <v>-0.25399999999999778</v>
      </c>
      <c r="Y108">
        <v>1965</v>
      </c>
      <c r="Z108">
        <v>-0.40020055976642183</v>
      </c>
    </row>
    <row r="109" spans="2:26">
      <c r="I109">
        <v>2001</v>
      </c>
      <c r="J109">
        <v>-3.7464421974805262E-2</v>
      </c>
      <c r="K109">
        <v>-0.3320644219748079</v>
      </c>
      <c r="V109">
        <f t="shared" si="4"/>
        <v>-6.0621558639847695E-2</v>
      </c>
      <c r="X109">
        <f t="shared" si="5"/>
        <v>-0.27679999999999438</v>
      </c>
      <c r="Y109">
        <v>1964</v>
      </c>
      <c r="Z109">
        <v>-0.33742155863984208</v>
      </c>
    </row>
    <row r="110" spans="2:26">
      <c r="I110">
        <v>2000</v>
      </c>
      <c r="J110">
        <v>0.77435223700628542</v>
      </c>
      <c r="K110">
        <v>0.51835223700628519</v>
      </c>
      <c r="V110">
        <f t="shared" si="4"/>
        <v>0.73569196245072388</v>
      </c>
      <c r="X110">
        <f t="shared" si="5"/>
        <v>-0.29959999999999809</v>
      </c>
      <c r="Y110">
        <v>1963</v>
      </c>
      <c r="Z110">
        <v>0.43609196245072585</v>
      </c>
    </row>
    <row r="111" spans="2:26">
      <c r="I111">
        <v>1999</v>
      </c>
      <c r="J111">
        <v>-5.2562258160025466E-2</v>
      </c>
      <c r="K111">
        <v>-0.26996225816002328</v>
      </c>
      <c r="V111">
        <f t="shared" si="4"/>
        <v>3.8552727954239419E-2</v>
      </c>
      <c r="X111">
        <f t="shared" si="5"/>
        <v>-0.32239999999999469</v>
      </c>
      <c r="Y111">
        <v>1962</v>
      </c>
      <c r="Z111">
        <v>-0.28384727204575527</v>
      </c>
    </row>
    <row r="112" spans="2:26">
      <c r="I112">
        <v>1998</v>
      </c>
      <c r="J112">
        <v>-0.27364719536540277</v>
      </c>
      <c r="K112">
        <v>-0.45244719536539818</v>
      </c>
      <c r="V112">
        <f t="shared" si="4"/>
        <v>1.0517064234433304</v>
      </c>
      <c r="X112">
        <f t="shared" si="5"/>
        <v>-0.3451999999999984</v>
      </c>
      <c r="Y112">
        <v>1961</v>
      </c>
      <c r="Z112">
        <v>0.70650642344333203</v>
      </c>
    </row>
    <row r="113" spans="9:26">
      <c r="I113">
        <v>1997</v>
      </c>
      <c r="J113">
        <v>-0.45727055550893159</v>
      </c>
      <c r="K113">
        <v>-0.59747055550893879</v>
      </c>
      <c r="V113">
        <f t="shared" si="4"/>
        <v>-1.179741972456035</v>
      </c>
      <c r="X113">
        <f t="shared" si="5"/>
        <v>-0.367999999999995</v>
      </c>
      <c r="Y113">
        <v>1960</v>
      </c>
      <c r="Z113">
        <v>-1.54774197245603</v>
      </c>
    </row>
    <row r="114" spans="9:26">
      <c r="I114">
        <v>1996</v>
      </c>
      <c r="J114">
        <v>-0.1419323445225506</v>
      </c>
      <c r="K114">
        <v>-0.2435323445225554</v>
      </c>
    </row>
    <row r="115" spans="9:26">
      <c r="I115">
        <v>1995</v>
      </c>
      <c r="J115">
        <v>-6.7595328600372567E-2</v>
      </c>
      <c r="K115">
        <v>-0.13059532860037495</v>
      </c>
    </row>
    <row r="116" spans="9:26">
      <c r="I116">
        <v>1994</v>
      </c>
      <c r="J116">
        <v>0.56564976863266991</v>
      </c>
      <c r="K116">
        <v>0.54124976863266994</v>
      </c>
    </row>
    <row r="117" spans="9:26">
      <c r="I117">
        <v>1993</v>
      </c>
      <c r="J117">
        <v>0.72719431566225523</v>
      </c>
      <c r="K117">
        <v>0.74139431566225766</v>
      </c>
    </row>
    <row r="118" spans="9:26">
      <c r="I118">
        <v>1992</v>
      </c>
      <c r="J118">
        <v>0.49432149286057303</v>
      </c>
      <c r="K118">
        <v>0.54712149286057787</v>
      </c>
    </row>
    <row r="119" spans="9:26">
      <c r="I119">
        <v>1991</v>
      </c>
      <c r="J119">
        <v>0.65528041456549535</v>
      </c>
      <c r="K119">
        <v>0.74668041456548839</v>
      </c>
    </row>
    <row r="120" spans="9:26">
      <c r="I120">
        <v>1990</v>
      </c>
      <c r="J120">
        <v>0.15740446073118192</v>
      </c>
      <c r="K120">
        <v>0.28740446073117737</v>
      </c>
    </row>
    <row r="121" spans="9:26">
      <c r="I121">
        <v>1989</v>
      </c>
      <c r="J121">
        <v>0.39606709097348247</v>
      </c>
      <c r="K121">
        <v>0.56466709097348033</v>
      </c>
    </row>
    <row r="122" spans="9:26">
      <c r="I122">
        <v>1988</v>
      </c>
      <c r="J122">
        <v>-1.6550631106982822E-2</v>
      </c>
      <c r="K122">
        <v>0.19064936889301745</v>
      </c>
    </row>
    <row r="123" spans="9:26">
      <c r="I123">
        <v>1987</v>
      </c>
      <c r="J123">
        <v>-0.1499196361171608</v>
      </c>
      <c r="K123">
        <v>9.5880363882841865E-2</v>
      </c>
    </row>
    <row r="124" spans="9:26">
      <c r="I124">
        <v>1986</v>
      </c>
      <c r="J124">
        <v>-0.15409241471607016</v>
      </c>
      <c r="K124">
        <v>0.13030758528392072</v>
      </c>
    </row>
    <row r="125" spans="9:26">
      <c r="I125">
        <v>1985</v>
      </c>
      <c r="J125">
        <v>-1.3842537895437046E-2</v>
      </c>
      <c r="K125">
        <v>0.30915746210455625</v>
      </c>
    </row>
    <row r="126" spans="9:26">
      <c r="I126">
        <v>1984</v>
      </c>
      <c r="J126">
        <v>-0.16630718319828436</v>
      </c>
      <c r="K126">
        <v>0.19529281680171134</v>
      </c>
    </row>
    <row r="127" spans="9:26">
      <c r="I127">
        <v>1983</v>
      </c>
      <c r="J127">
        <v>-0.82179139681122615</v>
      </c>
      <c r="K127">
        <v>-0.42159139681122804</v>
      </c>
    </row>
    <row r="128" spans="9:26">
      <c r="I128">
        <v>1982</v>
      </c>
      <c r="J128">
        <v>-0.16936628209470328</v>
      </c>
      <c r="K128">
        <v>0.26943371790529724</v>
      </c>
    </row>
  </sheetData>
  <sortState ref="I101:K128">
    <sortCondition descending="1" ref="I101:I128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4"/>
  <sheetViews>
    <sheetView topLeftCell="A17" workbookViewId="0">
      <selection activeCell="K5" sqref="K5:K52"/>
    </sheetView>
  </sheetViews>
  <sheetFormatPr baseColWidth="10" defaultRowHeight="12" x14ac:dyDescent="0"/>
  <sheetData>
    <row r="4" spans="1:13">
      <c r="A4" t="s">
        <v>72</v>
      </c>
      <c r="B4" t="s">
        <v>191</v>
      </c>
      <c r="C4" t="s">
        <v>191</v>
      </c>
      <c r="D4" t="s">
        <v>191</v>
      </c>
      <c r="F4" t="s">
        <v>72</v>
      </c>
      <c r="G4" t="s">
        <v>187</v>
      </c>
      <c r="H4" t="s">
        <v>187</v>
      </c>
      <c r="I4" t="s">
        <v>187</v>
      </c>
      <c r="K4" t="s">
        <v>291</v>
      </c>
      <c r="L4" t="s">
        <v>292</v>
      </c>
      <c r="M4" t="s">
        <v>293</v>
      </c>
    </row>
    <row r="5" spans="1:13">
      <c r="A5">
        <v>2009</v>
      </c>
      <c r="B5">
        <v>-0.29035758142525425</v>
      </c>
      <c r="F5">
        <v>2009</v>
      </c>
      <c r="K5">
        <v>13.633333333333333</v>
      </c>
      <c r="L5">
        <v>13.377777777777778</v>
      </c>
      <c r="M5">
        <v>13.286666666666667</v>
      </c>
    </row>
    <row r="6" spans="1:13">
      <c r="A6">
        <v>2008</v>
      </c>
      <c r="B6">
        <v>0.23922639121805345</v>
      </c>
      <c r="C6">
        <v>0.19779802147859227</v>
      </c>
      <c r="F6">
        <v>2008</v>
      </c>
      <c r="K6">
        <v>13</v>
      </c>
      <c r="L6">
        <v>13.177777777777777</v>
      </c>
      <c r="M6">
        <v>13.293333333333333</v>
      </c>
    </row>
    <row r="7" spans="1:13">
      <c r="A7">
        <v>2007</v>
      </c>
      <c r="B7">
        <v>0.64452525464297761</v>
      </c>
      <c r="C7">
        <v>-7.742445290566484E-2</v>
      </c>
      <c r="D7">
        <v>-0.16228638642328475</v>
      </c>
      <c r="F7">
        <v>2007</v>
      </c>
      <c r="K7">
        <v>12.9</v>
      </c>
      <c r="L7">
        <v>13.111111111111109</v>
      </c>
      <c r="M7">
        <v>13.266666666666666</v>
      </c>
    </row>
    <row r="8" spans="1:13">
      <c r="A8">
        <v>2006</v>
      </c>
      <c r="B8">
        <v>-1.1160250045780256</v>
      </c>
      <c r="C8">
        <v>-0.25343358063640764</v>
      </c>
      <c r="D8">
        <v>-6.5153909793778372E-2</v>
      </c>
      <c r="F8">
        <v>2006</v>
      </c>
      <c r="K8">
        <v>13.433333333333332</v>
      </c>
      <c r="L8">
        <v>13.233333333333334</v>
      </c>
      <c r="M8">
        <v>13.113333333333333</v>
      </c>
    </row>
    <row r="9" spans="1:13">
      <c r="A9">
        <v>2005</v>
      </c>
      <c r="B9">
        <v>-0.28880099197417497</v>
      </c>
      <c r="C9">
        <v>-0.40317373160997433</v>
      </c>
      <c r="D9">
        <v>-0.25506753626800083</v>
      </c>
      <c r="F9">
        <v>2005</v>
      </c>
      <c r="K9">
        <v>13.366666666666667</v>
      </c>
      <c r="L9">
        <v>13.222222222222221</v>
      </c>
      <c r="M9">
        <v>13.160000000000002</v>
      </c>
    </row>
    <row r="10" spans="1:13">
      <c r="A10">
        <v>2004</v>
      </c>
      <c r="B10">
        <v>0.19530480172227757</v>
      </c>
      <c r="C10">
        <v>-0.26794597713498541</v>
      </c>
      <c r="D10">
        <v>-0.28305548249293883</v>
      </c>
      <c r="F10">
        <v>2004</v>
      </c>
      <c r="K10">
        <v>12.866666666666667</v>
      </c>
      <c r="L10">
        <v>13.155555555555557</v>
      </c>
      <c r="M10">
        <v>13.006666666666666</v>
      </c>
    </row>
    <row r="11" spans="1:13">
      <c r="A11">
        <v>2003</v>
      </c>
      <c r="B11">
        <v>-0.71034174115305881</v>
      </c>
      <c r="C11">
        <v>-3.4838053041645147E-3</v>
      </c>
      <c r="D11">
        <v>-6.7343365972294761E-2</v>
      </c>
      <c r="F11">
        <v>2003</v>
      </c>
      <c r="K11">
        <v>13.233333333333334</v>
      </c>
      <c r="L11">
        <v>12.744444444444445</v>
      </c>
      <c r="M11">
        <v>13.093333333333334</v>
      </c>
    </row>
    <row r="12" spans="1:13">
      <c r="A12">
        <v>2002</v>
      </c>
      <c r="B12">
        <v>0.50458552351828767</v>
      </c>
      <c r="C12">
        <v>-8.1073546536525473E-2</v>
      </c>
      <c r="D12">
        <v>0.14528727982379733</v>
      </c>
      <c r="F12">
        <v>2002</v>
      </c>
      <c r="K12">
        <v>12.133333333333333</v>
      </c>
      <c r="L12">
        <v>13.077777777777778</v>
      </c>
      <c r="M12">
        <v>12.993333333333334</v>
      </c>
    </row>
    <row r="13" spans="1:13">
      <c r="A13">
        <v>2001</v>
      </c>
      <c r="B13">
        <v>-3.7464421974805262E-2</v>
      </c>
      <c r="C13">
        <v>0.41382444618325592</v>
      </c>
      <c r="D13">
        <v>9.5713867847336709E-2</v>
      </c>
      <c r="F13">
        <v>2001</v>
      </c>
      <c r="K13">
        <v>13.866666666666667</v>
      </c>
      <c r="L13">
        <v>12.955555555555556</v>
      </c>
      <c r="M13">
        <v>13.180000000000001</v>
      </c>
    </row>
    <row r="14" spans="1:13">
      <c r="A14">
        <v>2000</v>
      </c>
      <c r="B14">
        <v>0.77435223700628542</v>
      </c>
      <c r="C14">
        <v>0.22810851895715156</v>
      </c>
      <c r="D14">
        <v>0.18305277700486794</v>
      </c>
      <c r="F14">
        <v>2000</v>
      </c>
      <c r="K14">
        <v>12.866666666666665</v>
      </c>
      <c r="L14">
        <v>13.511111111111111</v>
      </c>
      <c r="M14">
        <v>13.306666666666667</v>
      </c>
    </row>
    <row r="15" spans="1:13">
      <c r="A15">
        <v>1999</v>
      </c>
      <c r="B15">
        <v>-5.2562258160025466E-2</v>
      </c>
      <c r="C15">
        <v>0.14938092782695239</v>
      </c>
      <c r="D15">
        <v>-9.3184388005759337E-3</v>
      </c>
      <c r="F15">
        <v>1999</v>
      </c>
      <c r="K15">
        <v>13.799999999999999</v>
      </c>
      <c r="L15">
        <v>13.511111111111111</v>
      </c>
      <c r="M15">
        <v>13.473333333333333</v>
      </c>
    </row>
    <row r="16" spans="1:13">
      <c r="A16">
        <v>1998</v>
      </c>
      <c r="B16">
        <v>-0.27364719536540277</v>
      </c>
      <c r="C16">
        <v>-0.26116000301145331</v>
      </c>
      <c r="D16">
        <v>-3.0212023310125003E-2</v>
      </c>
      <c r="F16">
        <v>1998</v>
      </c>
      <c r="K16">
        <v>13.866666666666667</v>
      </c>
      <c r="L16">
        <v>13.544444444444444</v>
      </c>
      <c r="M16">
        <v>13.319999999999999</v>
      </c>
    </row>
    <row r="17" spans="1:13">
      <c r="A17">
        <v>1997</v>
      </c>
      <c r="B17">
        <v>-0.45727055550893159</v>
      </c>
      <c r="C17">
        <v>-0.29095003179896167</v>
      </c>
      <c r="D17">
        <v>-0.19860153643145662</v>
      </c>
      <c r="F17">
        <v>1997</v>
      </c>
      <c r="K17">
        <v>12.966666666666667</v>
      </c>
      <c r="L17">
        <v>13.311111111111112</v>
      </c>
      <c r="M17">
        <v>13.386666666666667</v>
      </c>
    </row>
    <row r="18" spans="1:13">
      <c r="A18">
        <v>1996</v>
      </c>
      <c r="B18">
        <v>-0.1419323445225506</v>
      </c>
      <c r="C18">
        <v>-0.22226607621061825</v>
      </c>
      <c r="D18">
        <v>-7.4959131072917518E-2</v>
      </c>
      <c r="F18">
        <v>1996</v>
      </c>
      <c r="K18">
        <v>13.1</v>
      </c>
      <c r="L18">
        <v>13.088888888888889</v>
      </c>
      <c r="M18">
        <v>13.126666666666669</v>
      </c>
    </row>
    <row r="19" spans="1:13">
      <c r="A19">
        <v>1995</v>
      </c>
      <c r="B19">
        <v>-6.7595328600372567E-2</v>
      </c>
      <c r="C19">
        <v>0.11870736516991558</v>
      </c>
      <c r="D19">
        <v>0.12520917113261407</v>
      </c>
      <c r="F19">
        <v>1995</v>
      </c>
      <c r="G19">
        <v>0.24734605506511997</v>
      </c>
      <c r="K19">
        <v>13.200000000000001</v>
      </c>
      <c r="L19">
        <v>12.933333333333332</v>
      </c>
      <c r="M19">
        <v>12.733333333333333</v>
      </c>
    </row>
    <row r="20" spans="1:13">
      <c r="A20">
        <v>1994</v>
      </c>
      <c r="B20">
        <v>0.56564976863266991</v>
      </c>
      <c r="C20">
        <v>0.4084162518981842</v>
      </c>
      <c r="D20">
        <v>0.315527580806515</v>
      </c>
      <c r="F20">
        <v>1994</v>
      </c>
      <c r="G20">
        <v>0.10701894707684623</v>
      </c>
      <c r="H20">
        <v>0.13553047720859604</v>
      </c>
      <c r="K20">
        <v>12.5</v>
      </c>
      <c r="L20">
        <v>12.533333333333333</v>
      </c>
      <c r="M20">
        <v>12.626666666666665</v>
      </c>
    </row>
    <row r="21" spans="1:13">
      <c r="A21">
        <v>1993</v>
      </c>
      <c r="B21">
        <v>0.72719431566225523</v>
      </c>
      <c r="C21">
        <v>0.59572185905183273</v>
      </c>
      <c r="D21">
        <v>0.47497013262412419</v>
      </c>
      <c r="F21">
        <v>1993</v>
      </c>
      <c r="G21">
        <v>5.2226429483821946E-2</v>
      </c>
      <c r="H21">
        <v>-0.17388959183243835</v>
      </c>
      <c r="I21">
        <v>2.3173731866757929E-2</v>
      </c>
      <c r="K21">
        <v>11.9</v>
      </c>
      <c r="L21">
        <v>12.277777777777777</v>
      </c>
      <c r="M21">
        <v>12.459999999999999</v>
      </c>
    </row>
    <row r="22" spans="1:13">
      <c r="A22">
        <v>1992</v>
      </c>
      <c r="B22">
        <v>0.49432149286057303</v>
      </c>
      <c r="C22">
        <v>0.62559874102944124</v>
      </c>
      <c r="D22">
        <v>0.51997009049043508</v>
      </c>
      <c r="F22">
        <v>1992</v>
      </c>
      <c r="G22">
        <v>-0.68091415205798322</v>
      </c>
      <c r="H22">
        <v>-7.9498780936058847E-2</v>
      </c>
      <c r="I22">
        <v>0.16366305164263831</v>
      </c>
      <c r="K22">
        <v>12.433333333333332</v>
      </c>
      <c r="L22">
        <v>12.199999999999998</v>
      </c>
      <c r="M22">
        <v>12.419999999999998</v>
      </c>
    </row>
    <row r="23" spans="1:13">
      <c r="A23">
        <v>1991</v>
      </c>
      <c r="B23">
        <v>0.65528041456549535</v>
      </c>
      <c r="C23">
        <v>0.4356687893857501</v>
      </c>
      <c r="D23">
        <v>0.48605355495859764</v>
      </c>
      <c r="F23">
        <v>1991</v>
      </c>
      <c r="G23">
        <v>0.39019137976598472</v>
      </c>
      <c r="H23">
        <v>0.21968996055084111</v>
      </c>
      <c r="I23">
        <v>4.2615803270549743E-2</v>
      </c>
      <c r="K23">
        <v>12.266666666666666</v>
      </c>
      <c r="L23">
        <v>12.566666666666665</v>
      </c>
      <c r="M23">
        <v>12.593333333333332</v>
      </c>
    </row>
    <row r="24" spans="1:13">
      <c r="A24">
        <v>1990</v>
      </c>
      <c r="B24">
        <v>0.15740446073118192</v>
      </c>
      <c r="C24">
        <v>0.40291732209005326</v>
      </c>
      <c r="D24">
        <v>0.33730456560475003</v>
      </c>
      <c r="F24">
        <v>1990</v>
      </c>
      <c r="G24">
        <v>0.94979265394452184</v>
      </c>
      <c r="H24">
        <v>0.28058891297563671</v>
      </c>
      <c r="I24">
        <v>-0.11195769628253242</v>
      </c>
      <c r="K24">
        <v>13</v>
      </c>
      <c r="L24">
        <v>12.877777777777778</v>
      </c>
      <c r="M24">
        <v>13</v>
      </c>
    </row>
    <row r="25" spans="1:13">
      <c r="A25">
        <v>1989</v>
      </c>
      <c r="B25">
        <v>0.39606709097348247</v>
      </c>
      <c r="C25">
        <v>0.17897364019922721</v>
      </c>
      <c r="D25">
        <v>0.20845633980920325</v>
      </c>
      <c r="F25">
        <v>1989</v>
      </c>
      <c r="G25">
        <v>-0.49821729478359655</v>
      </c>
      <c r="H25">
        <v>-8.9688569706887877E-2</v>
      </c>
      <c r="I25">
        <v>-1.6780267125548348E-2</v>
      </c>
      <c r="K25">
        <v>13.366666666666665</v>
      </c>
      <c r="L25">
        <v>13.433333333333335</v>
      </c>
      <c r="M25">
        <v>13.2</v>
      </c>
    </row>
    <row r="26" spans="1:13">
      <c r="A26">
        <v>1988</v>
      </c>
      <c r="B26">
        <v>-1.6550631106982822E-2</v>
      </c>
      <c r="C26">
        <v>7.6532274583112944E-2</v>
      </c>
      <c r="D26">
        <v>4.6581773952890128E-2</v>
      </c>
      <c r="F26">
        <v>1988</v>
      </c>
      <c r="G26">
        <v>-0.72064106828158891</v>
      </c>
      <c r="H26">
        <v>-0.47462845644608281</v>
      </c>
      <c r="I26">
        <v>-9.4086526093016293E-2</v>
      </c>
      <c r="K26">
        <v>13.933333333333335</v>
      </c>
      <c r="L26">
        <v>13.577777777777778</v>
      </c>
      <c r="M26">
        <v>13.366666666666665</v>
      </c>
    </row>
    <row r="27" spans="1:13">
      <c r="A27">
        <v>1987</v>
      </c>
      <c r="B27">
        <v>-0.1499196361171608</v>
      </c>
      <c r="C27">
        <v>-0.10685422731340459</v>
      </c>
      <c r="D27">
        <v>1.2332374227566324E-2</v>
      </c>
      <c r="F27">
        <v>1987</v>
      </c>
      <c r="G27">
        <v>-0.20502700627306295</v>
      </c>
      <c r="H27">
        <v>-0.30733599654200222</v>
      </c>
      <c r="I27">
        <v>-0.44359008521511639</v>
      </c>
      <c r="K27">
        <v>13.433333333333332</v>
      </c>
      <c r="L27">
        <v>13.488888888888889</v>
      </c>
      <c r="M27">
        <v>13.440000000000001</v>
      </c>
    </row>
    <row r="28" spans="1:13">
      <c r="A28">
        <v>1986</v>
      </c>
      <c r="B28">
        <v>-0.15409241471607016</v>
      </c>
      <c r="C28">
        <v>-0.10595152957622267</v>
      </c>
      <c r="D28">
        <v>-0.10014248060678703</v>
      </c>
      <c r="F28">
        <v>1986</v>
      </c>
      <c r="G28">
        <v>3.6600849286450854E-3</v>
      </c>
      <c r="H28">
        <v>-0.33303068767013205</v>
      </c>
      <c r="I28">
        <v>-0.29168374236098094</v>
      </c>
      <c r="K28">
        <v>13.1</v>
      </c>
      <c r="L28">
        <v>13.299999999999999</v>
      </c>
      <c r="M28">
        <v>13.460000000000003</v>
      </c>
    </row>
    <row r="29" spans="1:13">
      <c r="A29">
        <v>1985</v>
      </c>
      <c r="B29">
        <v>-1.3842537895437046E-2</v>
      </c>
      <c r="C29">
        <v>-0.11141404526993053</v>
      </c>
      <c r="D29">
        <v>-0.26119063374763568</v>
      </c>
      <c r="F29">
        <v>1985</v>
      </c>
      <c r="G29">
        <v>-0.7977251416659783</v>
      </c>
      <c r="H29">
        <v>-0.1775835457500842</v>
      </c>
      <c r="I29">
        <v>-0.17433235209390158</v>
      </c>
      <c r="K29">
        <v>13.366666666666667</v>
      </c>
      <c r="L29">
        <v>13.311111111111112</v>
      </c>
      <c r="M29">
        <v>13.413333333333332</v>
      </c>
    </row>
    <row r="30" spans="1:13">
      <c r="A30">
        <v>1984</v>
      </c>
      <c r="B30">
        <v>-0.16630718319828436</v>
      </c>
      <c r="C30">
        <v>-0.33398037263498254</v>
      </c>
      <c r="D30">
        <v>-0.26507996294314423</v>
      </c>
      <c r="F30">
        <v>1984</v>
      </c>
      <c r="G30">
        <v>0.26131441948708051</v>
      </c>
      <c r="H30">
        <v>-0.22343161304169668</v>
      </c>
      <c r="I30">
        <v>-5.6875971202714593E-2</v>
      </c>
      <c r="K30">
        <v>13.466666666666669</v>
      </c>
      <c r="L30">
        <v>13.511111111111111</v>
      </c>
      <c r="M30">
        <v>13.280000000000001</v>
      </c>
    </row>
    <row r="31" spans="1:13">
      <c r="A31">
        <v>1983</v>
      </c>
      <c r="B31">
        <v>-0.82179139681122615</v>
      </c>
      <c r="C31">
        <v>-0.38582162070140463</v>
      </c>
      <c r="F31">
        <v>1983</v>
      </c>
      <c r="G31">
        <v>-0.13388411694619221</v>
      </c>
      <c r="H31">
        <v>0.16989506690792003</v>
      </c>
      <c r="I31">
        <v>9.7264736814634319E-3</v>
      </c>
      <c r="K31">
        <v>13.699999999999998</v>
      </c>
      <c r="L31">
        <v>13.31111111111111</v>
      </c>
      <c r="M31">
        <v>13.24</v>
      </c>
    </row>
    <row r="32" spans="1:13">
      <c r="A32">
        <v>1982</v>
      </c>
      <c r="B32">
        <v>-0.16936628209470328</v>
      </c>
      <c r="F32">
        <v>1982</v>
      </c>
      <c r="G32">
        <v>0.38225489818287184</v>
      </c>
      <c r="H32">
        <v>0.19501436352873833</v>
      </c>
      <c r="I32">
        <v>0.14789171554513497</v>
      </c>
      <c r="K32">
        <v>12.766666666666666</v>
      </c>
      <c r="L32">
        <v>13.12222222222222</v>
      </c>
      <c r="M32">
        <v>13.213333333333333</v>
      </c>
    </row>
    <row r="33" spans="1:13">
      <c r="A33">
        <v>1981</v>
      </c>
      <c r="F33">
        <v>1981</v>
      </c>
      <c r="G33">
        <v>0.33667230934953535</v>
      </c>
      <c r="H33">
        <v>0.2040094250615955</v>
      </c>
      <c r="I33">
        <v>0.11022541169621078</v>
      </c>
      <c r="K33">
        <v>12.9</v>
      </c>
      <c r="L33">
        <v>12.966666666666667</v>
      </c>
      <c r="M33">
        <v>13.226666666666665</v>
      </c>
    </row>
    <row r="34" spans="1:13">
      <c r="A34">
        <v>1980</v>
      </c>
      <c r="F34">
        <v>1980</v>
      </c>
      <c r="G34">
        <v>-0.10689893234762056</v>
      </c>
      <c r="H34">
        <v>0.10091875908145809</v>
      </c>
      <c r="I34">
        <v>0.24722248478160899</v>
      </c>
      <c r="K34">
        <v>13.233333333333334</v>
      </c>
      <c r="L34">
        <v>13.222222222222221</v>
      </c>
      <c r="M34">
        <v>12.986666666666668</v>
      </c>
    </row>
    <row r="35" spans="1:13">
      <c r="A35">
        <v>1979</v>
      </c>
      <c r="F35">
        <v>1979</v>
      </c>
      <c r="G35">
        <v>7.2982900242459486E-2</v>
      </c>
      <c r="H35">
        <v>0.17239507212521268</v>
      </c>
      <c r="I35">
        <v>9.1113947684404867E-2</v>
      </c>
      <c r="K35">
        <v>13.533333333333333</v>
      </c>
      <c r="L35">
        <v>13.088888888888889</v>
      </c>
      <c r="M35">
        <v>12.786666666666665</v>
      </c>
    </row>
    <row r="36" spans="1:13">
      <c r="A36">
        <v>1978</v>
      </c>
      <c r="F36">
        <v>1978</v>
      </c>
      <c r="G36">
        <v>0.55110124848079911</v>
      </c>
      <c r="H36">
        <v>7.5265453806703186E-2</v>
      </c>
      <c r="I36">
        <v>5.2342673795093705E-2</v>
      </c>
      <c r="K36">
        <v>12.5</v>
      </c>
      <c r="L36">
        <v>12.6</v>
      </c>
      <c r="M36">
        <v>12.733333333333333</v>
      </c>
    </row>
    <row r="37" spans="1:13">
      <c r="A37">
        <v>1977</v>
      </c>
      <c r="F37">
        <v>1977</v>
      </c>
      <c r="G37">
        <v>-0.39828778730314901</v>
      </c>
      <c r="H37">
        <v>9.8543133693543186E-2</v>
      </c>
      <c r="I37">
        <v>5.4180576505694675E-2</v>
      </c>
      <c r="K37">
        <v>11.766666666666666</v>
      </c>
      <c r="L37">
        <v>12.299999999999999</v>
      </c>
      <c r="M37">
        <v>12.793333333333333</v>
      </c>
    </row>
    <row r="38" spans="1:13">
      <c r="A38">
        <v>1976</v>
      </c>
      <c r="F38">
        <v>1976</v>
      </c>
      <c r="G38">
        <v>0.14281593990297947</v>
      </c>
      <c r="H38">
        <v>-0.11772708873159506</v>
      </c>
      <c r="I38">
        <v>-5.4115468782821807E-2</v>
      </c>
      <c r="K38">
        <v>12.633333333333333</v>
      </c>
      <c r="L38">
        <v>12.644444444444444</v>
      </c>
      <c r="M38">
        <v>12.826666666666664</v>
      </c>
    </row>
    <row r="39" spans="1:13">
      <c r="A39">
        <v>1975</v>
      </c>
      <c r="F39">
        <v>1975</v>
      </c>
      <c r="G39">
        <v>-9.770941879461563E-2</v>
      </c>
      <c r="H39">
        <v>-0.1411302683639197</v>
      </c>
      <c r="I39">
        <v>-0.19074713895857925</v>
      </c>
      <c r="K39">
        <v>13.533333333333331</v>
      </c>
      <c r="L39">
        <v>13.288888888888886</v>
      </c>
      <c r="M39">
        <v>13.266666666666666</v>
      </c>
    </row>
    <row r="40" spans="1:13">
      <c r="A40">
        <v>1974</v>
      </c>
      <c r="F40">
        <v>1974</v>
      </c>
      <c r="G40">
        <v>-0.46849732620012297</v>
      </c>
      <c r="H40">
        <v>-0.23275461579757559</v>
      </c>
      <c r="I40">
        <v>-0.14958144031962581</v>
      </c>
      <c r="K40">
        <v>13.699999999999998</v>
      </c>
      <c r="L40">
        <v>13.977777777777774</v>
      </c>
      <c r="M40">
        <v>13.693333333333332</v>
      </c>
    </row>
    <row r="41" spans="1:13">
      <c r="A41">
        <v>1973</v>
      </c>
      <c r="F41">
        <v>1973</v>
      </c>
      <c r="G41">
        <v>-0.13205710239798818</v>
      </c>
      <c r="H41">
        <v>-0.26433790756883097</v>
      </c>
      <c r="I41">
        <v>-0.13362320890184171</v>
      </c>
      <c r="K41">
        <v>14.699999999999998</v>
      </c>
      <c r="L41">
        <v>14.1</v>
      </c>
      <c r="M41">
        <v>13.859999999999996</v>
      </c>
    </row>
    <row r="42" spans="1:13">
      <c r="A42">
        <v>1972</v>
      </c>
      <c r="F42">
        <v>1972</v>
      </c>
      <c r="G42">
        <v>-0.1924592941083817</v>
      </c>
      <c r="H42">
        <v>-3.3969766504823341E-2</v>
      </c>
      <c r="I42">
        <v>-0.12820538776179638</v>
      </c>
      <c r="K42">
        <v>13.9</v>
      </c>
      <c r="L42">
        <v>14.02222222222222</v>
      </c>
      <c r="M42">
        <v>13.966666666666665</v>
      </c>
    </row>
    <row r="43" spans="1:13">
      <c r="A43">
        <v>1971</v>
      </c>
      <c r="F43">
        <v>1971</v>
      </c>
      <c r="G43">
        <v>0.22260709699189984</v>
      </c>
      <c r="H43">
        <v>-1.3490836736956899E-2</v>
      </c>
      <c r="I43">
        <v>-3.552084435619151E-2</v>
      </c>
      <c r="K43">
        <v>13.466666666666667</v>
      </c>
      <c r="L43">
        <v>13.811111111111112</v>
      </c>
      <c r="M43">
        <v>13.926666666666666</v>
      </c>
    </row>
    <row r="44" spans="1:13">
      <c r="A44">
        <v>1970</v>
      </c>
      <c r="F44">
        <v>1970</v>
      </c>
      <c r="G44">
        <v>-7.0620313094388848E-2</v>
      </c>
      <c r="H44">
        <v>4.8970724908470771E-2</v>
      </c>
      <c r="I44">
        <v>4.9539373553377661E-2</v>
      </c>
      <c r="K44">
        <v>14.066666666666668</v>
      </c>
      <c r="L44">
        <v>13.677777777777777</v>
      </c>
      <c r="M44">
        <v>13.513333333333332</v>
      </c>
    </row>
    <row r="45" spans="1:13">
      <c r="A45">
        <v>1969</v>
      </c>
      <c r="F45">
        <v>1969</v>
      </c>
      <c r="G45">
        <v>-5.0746091720986763E-3</v>
      </c>
      <c r="H45">
        <v>7.251635496112338E-2</v>
      </c>
      <c r="I45">
        <v>1.2755789844065179E-2</v>
      </c>
      <c r="K45">
        <v>13.5</v>
      </c>
      <c r="L45">
        <v>13.4</v>
      </c>
      <c r="M45">
        <v>13.52</v>
      </c>
    </row>
    <row r="46" spans="1:13">
      <c r="A46">
        <v>1968</v>
      </c>
      <c r="F46">
        <v>1968</v>
      </c>
      <c r="G46">
        <v>0.29324398714985767</v>
      </c>
      <c r="H46">
        <v>-2.9402611559061691E-2</v>
      </c>
      <c r="I46">
        <v>-0.11030022101451029</v>
      </c>
      <c r="K46">
        <v>12.633333333333333</v>
      </c>
      <c r="L46">
        <v>13.355555555555554</v>
      </c>
      <c r="M46">
        <v>13.38</v>
      </c>
    </row>
    <row r="47" spans="1:13">
      <c r="A47">
        <v>1967</v>
      </c>
      <c r="F47">
        <v>1967</v>
      </c>
      <c r="G47">
        <v>-0.37637721265494406</v>
      </c>
      <c r="H47">
        <v>-0.15860206093535464</v>
      </c>
      <c r="I47">
        <v>-0.12541627034891731</v>
      </c>
      <c r="K47">
        <v>13.933333333333332</v>
      </c>
      <c r="L47">
        <v>13.111111111111109</v>
      </c>
      <c r="M47">
        <v>13.316666666666666</v>
      </c>
    </row>
    <row r="48" spans="1:13">
      <c r="A48">
        <v>1966</v>
      </c>
      <c r="F48">
        <v>1966</v>
      </c>
      <c r="G48">
        <v>-0.39267295730097751</v>
      </c>
      <c r="H48">
        <v>-0.30508357657411517</v>
      </c>
      <c r="I48">
        <v>-0.13652566024246715</v>
      </c>
      <c r="K48">
        <v>12.766666666666666</v>
      </c>
      <c r="L48">
        <v>13.483333333333333</v>
      </c>
      <c r="M48">
        <v>13.203333333333333</v>
      </c>
    </row>
    <row r="49" spans="1:13">
      <c r="A49">
        <v>1965</v>
      </c>
      <c r="F49">
        <v>1965</v>
      </c>
      <c r="G49">
        <v>-0.14620055976642404</v>
      </c>
      <c r="H49">
        <v>-0.19983169190241643</v>
      </c>
      <c r="I49">
        <v>-4.8036065182293884E-2</v>
      </c>
      <c r="K49">
        <v>13.75</v>
      </c>
      <c r="L49">
        <v>13.149999999999999</v>
      </c>
      <c r="M49">
        <v>13.263333333333332</v>
      </c>
    </row>
    <row r="50" spans="1:13">
      <c r="A50">
        <v>1964</v>
      </c>
      <c r="F50">
        <v>1964</v>
      </c>
      <c r="G50">
        <v>-6.0621558639847695E-2</v>
      </c>
      <c r="H50">
        <v>0.17628994801481737</v>
      </c>
      <c r="I50">
        <v>3.4949922939542813E-2</v>
      </c>
      <c r="K50">
        <v>12.933333333333332</v>
      </c>
      <c r="L50">
        <v>13.205555555555554</v>
      </c>
      <c r="M50">
        <v>13.396666666666665</v>
      </c>
    </row>
    <row r="51" spans="1:13">
      <c r="A51">
        <v>1963</v>
      </c>
      <c r="F51">
        <v>1963</v>
      </c>
      <c r="G51">
        <v>0.73569196245072388</v>
      </c>
      <c r="H51">
        <v>0.23787437725503854</v>
      </c>
      <c r="I51">
        <v>0.32382579908840442</v>
      </c>
      <c r="K51">
        <v>12.933333333333332</v>
      </c>
      <c r="L51">
        <v>13.488888888888887</v>
      </c>
    </row>
    <row r="52" spans="1:13">
      <c r="A52">
        <v>1962</v>
      </c>
      <c r="F52">
        <v>1962</v>
      </c>
      <c r="G52">
        <v>3.8552727954239419E-2</v>
      </c>
      <c r="H52">
        <v>0.60865037128276456</v>
      </c>
      <c r="I52">
        <v>0.11711751655048222</v>
      </c>
      <c r="K52">
        <v>14.6</v>
      </c>
    </row>
    <row r="53" spans="1:13">
      <c r="A53">
        <v>1961</v>
      </c>
      <c r="F53">
        <v>1961</v>
      </c>
      <c r="G53">
        <v>1.0517064234433304</v>
      </c>
      <c r="H53">
        <v>-2.9827607019488351E-2</v>
      </c>
    </row>
    <row r="54" spans="1:13">
      <c r="A54">
        <v>1960</v>
      </c>
      <c r="F54">
        <v>1960</v>
      </c>
      <c r="G54">
        <v>-1.179741972456035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60"/>
  <sheetViews>
    <sheetView zoomScale="75" zoomScaleNormal="75" zoomScalePageLayoutView="75" workbookViewId="0">
      <selection activeCell="K5" sqref="K5:K48"/>
    </sheetView>
  </sheetViews>
  <sheetFormatPr baseColWidth="10" defaultRowHeight="12" x14ac:dyDescent="0"/>
  <sheetData>
    <row r="4" spans="1:13">
      <c r="A4" t="s">
        <v>72</v>
      </c>
      <c r="B4" t="s">
        <v>191</v>
      </c>
      <c r="C4" t="s">
        <v>191</v>
      </c>
      <c r="D4" t="s">
        <v>191</v>
      </c>
      <c r="F4" t="s">
        <v>72</v>
      </c>
      <c r="G4" t="s">
        <v>187</v>
      </c>
      <c r="H4" t="s">
        <v>187</v>
      </c>
      <c r="I4" t="s">
        <v>187</v>
      </c>
      <c r="K4" t="s">
        <v>73</v>
      </c>
      <c r="L4" t="s">
        <v>294</v>
      </c>
      <c r="M4" t="s">
        <v>295</v>
      </c>
    </row>
    <row r="5" spans="1:13">
      <c r="A5">
        <v>2009</v>
      </c>
      <c r="B5">
        <v>-0.29035758142525425</v>
      </c>
      <c r="F5">
        <v>2009</v>
      </c>
      <c r="K5">
        <v>84.4</v>
      </c>
      <c r="L5">
        <v>80.633333333333326</v>
      </c>
      <c r="M5">
        <v>80.419999999999987</v>
      </c>
    </row>
    <row r="6" spans="1:13">
      <c r="A6">
        <v>2008</v>
      </c>
      <c r="B6">
        <v>0.23922639121805345</v>
      </c>
      <c r="C6">
        <v>0.19779802147859227</v>
      </c>
      <c r="F6">
        <v>2008</v>
      </c>
      <c r="K6">
        <v>79.8</v>
      </c>
      <c r="L6">
        <v>79.944444444444443</v>
      </c>
      <c r="M6">
        <v>79.913333333333327</v>
      </c>
    </row>
    <row r="7" spans="1:13">
      <c r="A7">
        <v>2007</v>
      </c>
      <c r="B7">
        <v>0.64452525464297761</v>
      </c>
      <c r="C7">
        <v>-7.742445290566484E-2</v>
      </c>
      <c r="D7">
        <v>-0.16228638642328475</v>
      </c>
      <c r="F7">
        <v>2007</v>
      </c>
      <c r="K7">
        <v>78.400000000000006</v>
      </c>
      <c r="L7">
        <v>78.5</v>
      </c>
      <c r="M7">
        <v>79.433333333333337</v>
      </c>
    </row>
    <row r="8" spans="1:13">
      <c r="A8">
        <v>2006</v>
      </c>
      <c r="B8">
        <v>-1.1160250045780256</v>
      </c>
      <c r="C8">
        <v>-0.25343358063640764</v>
      </c>
      <c r="D8">
        <v>-6.5153909793778372E-2</v>
      </c>
      <c r="F8">
        <v>2006</v>
      </c>
      <c r="K8">
        <v>81.25</v>
      </c>
      <c r="L8">
        <v>78.611111111111128</v>
      </c>
      <c r="M8">
        <v>78.233333333333334</v>
      </c>
    </row>
    <row r="9" spans="1:13">
      <c r="A9">
        <v>2005</v>
      </c>
      <c r="B9">
        <v>-0.28880099197417497</v>
      </c>
      <c r="C9">
        <v>-0.40317373160997433</v>
      </c>
      <c r="D9">
        <v>-0.25506753626800083</v>
      </c>
      <c r="F9">
        <v>2005</v>
      </c>
      <c r="K9">
        <v>81.300000000000011</v>
      </c>
      <c r="L9">
        <v>78.277777777777771</v>
      </c>
      <c r="M9">
        <v>78.38000000000001</v>
      </c>
    </row>
    <row r="10" spans="1:13">
      <c r="A10">
        <v>2004</v>
      </c>
      <c r="B10">
        <v>0.19530480172227757</v>
      </c>
      <c r="C10">
        <v>-0.26794597713498541</v>
      </c>
      <c r="D10">
        <v>-0.28305548249293883</v>
      </c>
      <c r="F10">
        <v>2004</v>
      </c>
      <c r="K10">
        <v>79.199999999999989</v>
      </c>
      <c r="L10">
        <v>78.077777777777769</v>
      </c>
      <c r="M10">
        <v>77.66</v>
      </c>
    </row>
    <row r="11" spans="1:13">
      <c r="A11">
        <v>2003</v>
      </c>
      <c r="B11">
        <v>-0.71034174115305881</v>
      </c>
      <c r="C11">
        <v>-3.4838053041645147E-3</v>
      </c>
      <c r="D11">
        <v>-6.7343365972294761E-2</v>
      </c>
      <c r="F11">
        <v>2003</v>
      </c>
      <c r="K11">
        <v>81</v>
      </c>
      <c r="L11">
        <v>76.98888888888888</v>
      </c>
      <c r="M11">
        <v>77.433333333333323</v>
      </c>
    </row>
    <row r="12" spans="1:13">
      <c r="A12">
        <v>2002</v>
      </c>
      <c r="B12">
        <v>0.50458552351828767</v>
      </c>
      <c r="C12">
        <v>-8.1073546536525473E-2</v>
      </c>
      <c r="D12">
        <v>0.14528727982379733</v>
      </c>
      <c r="F12">
        <v>2002</v>
      </c>
      <c r="K12">
        <v>75.7</v>
      </c>
      <c r="L12">
        <v>77.166666666666643</v>
      </c>
      <c r="M12">
        <v>77.333333333333329</v>
      </c>
    </row>
    <row r="13" spans="1:13">
      <c r="A13">
        <v>2001</v>
      </c>
      <c r="B13">
        <v>-3.7464421974805262E-2</v>
      </c>
      <c r="C13">
        <v>0.41382444618325592</v>
      </c>
      <c r="D13">
        <v>9.5713867847336709E-2</v>
      </c>
      <c r="F13">
        <v>2001</v>
      </c>
      <c r="K13">
        <v>79.699999999999989</v>
      </c>
      <c r="L13">
        <v>76.86666666666666</v>
      </c>
      <c r="M13">
        <v>77.73333333333332</v>
      </c>
    </row>
    <row r="14" spans="1:13">
      <c r="A14">
        <v>2000</v>
      </c>
      <c r="B14">
        <v>0.77435223700628542</v>
      </c>
      <c r="C14">
        <v>0.22810851895715156</v>
      </c>
      <c r="D14">
        <v>0.18305277700486794</v>
      </c>
      <c r="F14">
        <v>2000</v>
      </c>
      <c r="K14">
        <v>78.349999999999994</v>
      </c>
      <c r="L14">
        <v>78.399999999999991</v>
      </c>
      <c r="M14">
        <v>77.72</v>
      </c>
    </row>
    <row r="15" spans="1:13">
      <c r="A15">
        <v>1999</v>
      </c>
      <c r="B15">
        <v>-5.2562258160025466E-2</v>
      </c>
      <c r="C15">
        <v>0.14938092782695239</v>
      </c>
      <c r="D15">
        <v>-9.3184388005759337E-3</v>
      </c>
      <c r="F15">
        <v>1999</v>
      </c>
      <c r="K15">
        <v>79.75</v>
      </c>
      <c r="L15">
        <v>78.555555555555557</v>
      </c>
      <c r="M15">
        <v>78.726666666666659</v>
      </c>
    </row>
    <row r="16" spans="1:13">
      <c r="A16">
        <v>1998</v>
      </c>
      <c r="B16">
        <v>-0.27364719536540277</v>
      </c>
      <c r="C16">
        <v>-0.26116000301145331</v>
      </c>
      <c r="D16">
        <v>-3.0212023310125003E-2</v>
      </c>
      <c r="F16">
        <v>1998</v>
      </c>
      <c r="K16">
        <v>80.150000000000006</v>
      </c>
      <c r="L16">
        <v>79.311111111111117</v>
      </c>
      <c r="M16">
        <v>78.506666666666675</v>
      </c>
    </row>
    <row r="17" spans="1:13">
      <c r="A17">
        <v>1997</v>
      </c>
      <c r="B17">
        <v>-0.45727055550893159</v>
      </c>
      <c r="C17">
        <v>-0.29095003179896167</v>
      </c>
      <c r="D17">
        <v>-0.19860153643145662</v>
      </c>
      <c r="F17">
        <v>1997</v>
      </c>
      <c r="K17">
        <v>81.45</v>
      </c>
      <c r="L17">
        <v>78.455555555555563</v>
      </c>
      <c r="M17">
        <v>78.88666666666667</v>
      </c>
    </row>
    <row r="18" spans="1:13">
      <c r="A18">
        <v>1996</v>
      </c>
      <c r="B18">
        <v>-0.1419323445225506</v>
      </c>
      <c r="C18">
        <v>-0.22226607621061825</v>
      </c>
      <c r="D18">
        <v>-7.4959131072917518E-2</v>
      </c>
      <c r="F18">
        <v>1996</v>
      </c>
      <c r="K18">
        <v>79.7</v>
      </c>
      <c r="L18">
        <v>78.811111111111117</v>
      </c>
      <c r="M18">
        <v>78.739999999999995</v>
      </c>
    </row>
    <row r="19" spans="1:13">
      <c r="A19">
        <v>1995</v>
      </c>
      <c r="B19">
        <v>-6.7595328600372567E-2</v>
      </c>
      <c r="C19">
        <v>0.11870736516991558</v>
      </c>
      <c r="D19">
        <v>0.12520917113261407</v>
      </c>
      <c r="F19">
        <v>1995</v>
      </c>
      <c r="G19">
        <v>0.24734605506511997</v>
      </c>
      <c r="K19">
        <v>80.8</v>
      </c>
      <c r="L19">
        <v>78.422222222222217</v>
      </c>
      <c r="M19">
        <v>78.093333333333334</v>
      </c>
    </row>
    <row r="20" spans="1:13">
      <c r="A20">
        <v>1994</v>
      </c>
      <c r="B20">
        <v>0.56564976863266991</v>
      </c>
      <c r="C20">
        <v>0.4084162518981842</v>
      </c>
      <c r="D20">
        <v>0.315527580806515</v>
      </c>
      <c r="F20">
        <v>1994</v>
      </c>
      <c r="G20">
        <v>0.10701894707684623</v>
      </c>
      <c r="H20">
        <v>0.13553047720859604</v>
      </c>
      <c r="K20">
        <v>80.349999999999994</v>
      </c>
      <c r="L20">
        <v>77.86666666666666</v>
      </c>
      <c r="M20">
        <v>77.913333333333327</v>
      </c>
    </row>
    <row r="21" spans="1:13">
      <c r="A21">
        <v>1993</v>
      </c>
      <c r="B21">
        <v>0.72719431566225523</v>
      </c>
      <c r="C21">
        <v>0.59572185905183273</v>
      </c>
      <c r="D21">
        <v>0.47497013262412419</v>
      </c>
      <c r="F21">
        <v>1993</v>
      </c>
      <c r="G21">
        <v>5.2226429483821946E-2</v>
      </c>
      <c r="H21">
        <v>-0.17388959183243835</v>
      </c>
      <c r="I21">
        <v>2.3173731866757929E-2</v>
      </c>
      <c r="K21">
        <v>76.05</v>
      </c>
      <c r="L21">
        <v>77.688888888888883</v>
      </c>
      <c r="M21">
        <v>77.913333333333327</v>
      </c>
    </row>
    <row r="22" spans="1:13">
      <c r="A22">
        <v>1992</v>
      </c>
      <c r="B22">
        <v>0.49432149286057303</v>
      </c>
      <c r="C22">
        <v>0.62559874102944124</v>
      </c>
      <c r="D22">
        <v>0.51997009049043508</v>
      </c>
      <c r="F22">
        <v>1992</v>
      </c>
      <c r="G22">
        <v>-0.68091415205798322</v>
      </c>
      <c r="H22">
        <v>-7.9498780936058847E-2</v>
      </c>
      <c r="I22">
        <v>0.16366305164263831</v>
      </c>
      <c r="K22">
        <v>80.3</v>
      </c>
      <c r="L22">
        <v>77.077777777777783</v>
      </c>
      <c r="M22">
        <v>77.646666666666675</v>
      </c>
    </row>
    <row r="23" spans="1:13">
      <c r="A23">
        <v>1991</v>
      </c>
      <c r="B23">
        <v>0.65528041456549535</v>
      </c>
      <c r="C23">
        <v>0.4356687893857501</v>
      </c>
      <c r="D23">
        <v>0.48605355495859764</v>
      </c>
      <c r="F23">
        <v>1991</v>
      </c>
      <c r="G23">
        <v>0.39019137976598472</v>
      </c>
      <c r="H23">
        <v>0.21968996055084111</v>
      </c>
      <c r="I23">
        <v>4.2615803270549743E-2</v>
      </c>
      <c r="K23">
        <v>78.7</v>
      </c>
      <c r="L23">
        <v>78.066666666666663</v>
      </c>
      <c r="M23">
        <v>77.066666666666677</v>
      </c>
    </row>
    <row r="24" spans="1:13">
      <c r="A24">
        <v>1990</v>
      </c>
      <c r="B24">
        <v>0.15740446073118192</v>
      </c>
      <c r="C24">
        <v>0.40291732209005326</v>
      </c>
      <c r="D24">
        <v>0.33730456560475003</v>
      </c>
      <c r="F24">
        <v>1990</v>
      </c>
      <c r="G24">
        <v>0.94979265394452184</v>
      </c>
      <c r="H24">
        <v>0.28058891297563671</v>
      </c>
      <c r="I24">
        <v>-0.11195769628253242</v>
      </c>
      <c r="K24">
        <v>78.900000000000006</v>
      </c>
      <c r="L24">
        <v>77.01111111111112</v>
      </c>
      <c r="M24">
        <v>77.78</v>
      </c>
    </row>
    <row r="25" spans="1:13">
      <c r="A25">
        <v>1989</v>
      </c>
      <c r="B25">
        <v>0.39606709097348247</v>
      </c>
      <c r="C25">
        <v>0.17897364019922721</v>
      </c>
      <c r="D25">
        <v>0.20845633980920325</v>
      </c>
      <c r="F25">
        <v>1989</v>
      </c>
      <c r="G25">
        <v>-0.49821729478359655</v>
      </c>
      <c r="H25">
        <v>-8.9688569706887877E-2</v>
      </c>
      <c r="I25">
        <v>-1.6780267125548348E-2</v>
      </c>
      <c r="K25">
        <v>77.849999999999994</v>
      </c>
      <c r="L25">
        <v>77.644444444444446</v>
      </c>
      <c r="M25">
        <v>77.88666666666667</v>
      </c>
    </row>
    <row r="26" spans="1:13">
      <c r="A26">
        <v>1988</v>
      </c>
      <c r="B26">
        <v>-1.6550631106982822E-2</v>
      </c>
      <c r="C26">
        <v>7.6532274583112944E-2</v>
      </c>
      <c r="D26">
        <v>4.6581773952890128E-2</v>
      </c>
      <c r="F26">
        <v>1988</v>
      </c>
      <c r="G26">
        <v>-0.72064106828158891</v>
      </c>
      <c r="H26">
        <v>-0.47462845644608281</v>
      </c>
      <c r="I26">
        <v>-9.4086526093016293E-2</v>
      </c>
      <c r="K26">
        <v>79.099999999999994</v>
      </c>
      <c r="L26">
        <v>78.088888888888889</v>
      </c>
      <c r="M26">
        <v>78.173333333333332</v>
      </c>
    </row>
    <row r="27" spans="1:13">
      <c r="A27">
        <v>1987</v>
      </c>
      <c r="B27">
        <v>-0.1499196361171608</v>
      </c>
      <c r="C27">
        <v>-0.10685422731340459</v>
      </c>
      <c r="D27">
        <v>1.2332374227566324E-2</v>
      </c>
      <c r="F27">
        <v>1987</v>
      </c>
      <c r="G27">
        <v>-0.20502700627306295</v>
      </c>
      <c r="H27">
        <v>-0.30733599654200222</v>
      </c>
      <c r="I27">
        <v>-0.44359008521511639</v>
      </c>
      <c r="K27">
        <v>80.099999999999994</v>
      </c>
      <c r="L27">
        <v>78.922222222222217</v>
      </c>
      <c r="M27">
        <v>78.599999999999994</v>
      </c>
    </row>
    <row r="28" spans="1:13">
      <c r="A28">
        <v>1986</v>
      </c>
      <c r="B28">
        <v>-0.15409241471607016</v>
      </c>
      <c r="C28">
        <v>-0.10595152957622267</v>
      </c>
      <c r="D28">
        <v>-0.10014248060678703</v>
      </c>
      <c r="F28">
        <v>1986</v>
      </c>
      <c r="G28">
        <v>3.6600849286450854E-3</v>
      </c>
      <c r="H28">
        <v>-0.33303068767013205</v>
      </c>
      <c r="I28">
        <v>-0.29168374236098094</v>
      </c>
      <c r="K28">
        <v>79.400000000000006</v>
      </c>
      <c r="L28">
        <v>79.433333333333337</v>
      </c>
      <c r="M28">
        <v>79.486666666666665</v>
      </c>
    </row>
    <row r="29" spans="1:13">
      <c r="A29">
        <v>1985</v>
      </c>
      <c r="B29">
        <v>-1.3842537895437046E-2</v>
      </c>
      <c r="C29">
        <v>-0.11141404526993053</v>
      </c>
      <c r="D29">
        <v>-0.26119063374763568</v>
      </c>
      <c r="F29">
        <v>1985</v>
      </c>
      <c r="G29">
        <v>-0.7977251416659783</v>
      </c>
      <c r="H29">
        <v>-0.1775835457500842</v>
      </c>
      <c r="I29">
        <v>-0.17433235209390158</v>
      </c>
      <c r="K29">
        <v>79.3</v>
      </c>
      <c r="L29">
        <v>79.677777777777791</v>
      </c>
      <c r="M29">
        <v>80.073333333333338</v>
      </c>
    </row>
    <row r="30" spans="1:13">
      <c r="A30">
        <v>1984</v>
      </c>
      <c r="B30">
        <v>-0.16630718319828436</v>
      </c>
      <c r="C30">
        <v>-0.33398037263498254</v>
      </c>
      <c r="D30">
        <v>-0.26507996294314423</v>
      </c>
      <c r="F30">
        <v>1984</v>
      </c>
      <c r="G30">
        <v>0.26131441948708051</v>
      </c>
      <c r="H30">
        <v>-0.22343161304169668</v>
      </c>
      <c r="I30">
        <v>-5.6875971202714593E-2</v>
      </c>
      <c r="K30">
        <v>80.150000000000006</v>
      </c>
      <c r="L30">
        <v>80.811111111111117</v>
      </c>
      <c r="M30">
        <v>80.233333333333334</v>
      </c>
    </row>
    <row r="31" spans="1:13">
      <c r="A31">
        <v>1983</v>
      </c>
      <c r="B31">
        <v>-0.82179139681122615</v>
      </c>
      <c r="C31">
        <v>-0.38582162070140463</v>
      </c>
      <c r="F31">
        <v>1983</v>
      </c>
      <c r="G31">
        <v>-0.13388411694619221</v>
      </c>
      <c r="H31">
        <v>0.16989506690792003</v>
      </c>
      <c r="I31">
        <v>9.7264736814634319E-3</v>
      </c>
      <c r="K31">
        <v>83.699999999999989</v>
      </c>
      <c r="L31">
        <v>80.811111111111117</v>
      </c>
      <c r="M31">
        <v>80.626666666666665</v>
      </c>
    </row>
    <row r="32" spans="1:13">
      <c r="A32">
        <v>1982</v>
      </c>
      <c r="B32">
        <v>-0.16936628209470328</v>
      </c>
      <c r="F32">
        <v>1982</v>
      </c>
      <c r="G32">
        <v>0.38225489818287184</v>
      </c>
      <c r="H32">
        <v>0.19501436352873833</v>
      </c>
      <c r="I32">
        <v>0.14789171554513497</v>
      </c>
      <c r="K32">
        <v>81.25</v>
      </c>
      <c r="L32">
        <v>80.822222222222209</v>
      </c>
      <c r="M32">
        <v>80.58</v>
      </c>
    </row>
    <row r="33" spans="1:13">
      <c r="A33">
        <v>1981</v>
      </c>
      <c r="F33">
        <v>1981</v>
      </c>
      <c r="G33">
        <v>0.33667230934953535</v>
      </c>
      <c r="H33">
        <v>0.2040094250615955</v>
      </c>
      <c r="I33">
        <v>0.11022541169621078</v>
      </c>
      <c r="K33">
        <v>79.2</v>
      </c>
      <c r="L33">
        <v>80.277777777777771</v>
      </c>
      <c r="M33">
        <v>80.793333333333322</v>
      </c>
    </row>
    <row r="34" spans="1:13">
      <c r="A34">
        <v>1980</v>
      </c>
      <c r="F34">
        <v>1980</v>
      </c>
      <c r="G34">
        <v>-0.10689893234762056</v>
      </c>
      <c r="H34">
        <v>0.10091875908145809</v>
      </c>
      <c r="I34">
        <v>0.24722248478160899</v>
      </c>
      <c r="K34">
        <v>80.400000000000006</v>
      </c>
      <c r="L34">
        <v>80.6111111111111</v>
      </c>
      <c r="M34">
        <v>80.013333333333335</v>
      </c>
    </row>
    <row r="35" spans="1:13">
      <c r="A35">
        <v>1979</v>
      </c>
      <c r="F35">
        <v>1979</v>
      </c>
      <c r="G35">
        <v>7.2982900242459486E-2</v>
      </c>
      <c r="H35">
        <v>0.17239507212521268</v>
      </c>
      <c r="I35">
        <v>9.1113947684404867E-2</v>
      </c>
      <c r="K35">
        <v>80.949999999999989</v>
      </c>
      <c r="L35">
        <v>79.788888888888891</v>
      </c>
      <c r="M35">
        <v>79.56</v>
      </c>
    </row>
    <row r="36" spans="1:13">
      <c r="A36">
        <v>1978</v>
      </c>
      <c r="F36">
        <v>1978</v>
      </c>
      <c r="G36">
        <v>0.55110124848079911</v>
      </c>
      <c r="H36">
        <v>7.5265453806703186E-2</v>
      </c>
      <c r="I36">
        <v>5.2342673795093705E-2</v>
      </c>
      <c r="K36">
        <v>78.099999999999994</v>
      </c>
      <c r="L36">
        <v>79.1111111111111</v>
      </c>
      <c r="M36">
        <v>79.51333333333335</v>
      </c>
    </row>
    <row r="37" spans="1:13">
      <c r="A37">
        <v>1977</v>
      </c>
      <c r="F37">
        <v>1977</v>
      </c>
      <c r="G37">
        <v>-0.39828778730314901</v>
      </c>
      <c r="H37">
        <v>9.8543133693543186E-2</v>
      </c>
      <c r="I37">
        <v>5.4180576505694675E-2</v>
      </c>
      <c r="K37">
        <v>79</v>
      </c>
      <c r="L37">
        <v>78.688888888888883</v>
      </c>
      <c r="M37">
        <v>79.86666666666666</v>
      </c>
    </row>
    <row r="38" spans="1:13">
      <c r="A38">
        <v>1976</v>
      </c>
      <c r="F38">
        <v>1976</v>
      </c>
      <c r="G38">
        <v>0.14281593990297947</v>
      </c>
      <c r="H38">
        <v>-0.11772708873159506</v>
      </c>
      <c r="I38">
        <v>-5.4115468782821807E-2</v>
      </c>
      <c r="K38">
        <v>81.900000000000006</v>
      </c>
      <c r="L38">
        <v>80.033333333333346</v>
      </c>
      <c r="M38">
        <v>79.453333333333333</v>
      </c>
    </row>
    <row r="39" spans="1:13">
      <c r="A39">
        <v>1975</v>
      </c>
      <c r="F39">
        <v>1975</v>
      </c>
      <c r="G39">
        <v>-9.770941879461563E-2</v>
      </c>
      <c r="H39">
        <v>-0.1411302683639197</v>
      </c>
      <c r="I39">
        <v>-0.19074713895857925</v>
      </c>
      <c r="K39">
        <v>81.699999999999989</v>
      </c>
      <c r="L39">
        <v>80.433333333333337</v>
      </c>
      <c r="M39">
        <v>80.473333333333329</v>
      </c>
    </row>
    <row r="40" spans="1:13">
      <c r="A40">
        <v>1974</v>
      </c>
      <c r="F40">
        <v>1974</v>
      </c>
      <c r="G40">
        <v>-0.46849732620012297</v>
      </c>
      <c r="H40">
        <v>-0.23275461579757559</v>
      </c>
      <c r="I40">
        <v>-0.14958144031962581</v>
      </c>
      <c r="K40">
        <v>80.5</v>
      </c>
      <c r="L40">
        <v>81.388888888888886</v>
      </c>
      <c r="M40">
        <v>80.573333333333338</v>
      </c>
    </row>
    <row r="41" spans="1:13">
      <c r="A41">
        <v>1973</v>
      </c>
      <c r="F41">
        <v>1973</v>
      </c>
      <c r="G41">
        <v>-0.13205710239798818</v>
      </c>
      <c r="H41">
        <v>-0.26433790756883097</v>
      </c>
      <c r="I41">
        <v>-0.13362320890184171</v>
      </c>
      <c r="K41">
        <v>84.25</v>
      </c>
      <c r="L41">
        <v>80.288888888888891</v>
      </c>
      <c r="M41">
        <v>80.333333333333329</v>
      </c>
    </row>
    <row r="42" spans="1:13">
      <c r="A42">
        <v>1972</v>
      </c>
      <c r="F42">
        <v>1972</v>
      </c>
      <c r="G42">
        <v>-0.1924592941083817</v>
      </c>
      <c r="H42">
        <v>-3.3969766504823341E-2</v>
      </c>
      <c r="I42">
        <v>-0.12820538776179638</v>
      </c>
      <c r="K42">
        <v>79.3</v>
      </c>
      <c r="L42">
        <v>80.155555555555551</v>
      </c>
      <c r="M42">
        <v>80.213333333333338</v>
      </c>
    </row>
    <row r="43" spans="1:13">
      <c r="A43">
        <v>1971</v>
      </c>
      <c r="F43">
        <v>1971</v>
      </c>
      <c r="G43">
        <v>0.22260709699189984</v>
      </c>
      <c r="H43">
        <v>-1.3490836736956899E-2</v>
      </c>
      <c r="I43">
        <v>-3.552084435619151E-2</v>
      </c>
      <c r="K43">
        <v>81.650000000000006</v>
      </c>
      <c r="L43">
        <v>79.600000000000009</v>
      </c>
      <c r="M43">
        <v>80.373333333333335</v>
      </c>
    </row>
    <row r="44" spans="1:13">
      <c r="A44">
        <v>1970</v>
      </c>
      <c r="F44">
        <v>1970</v>
      </c>
      <c r="G44">
        <v>-7.0620313094388848E-2</v>
      </c>
      <c r="H44">
        <v>4.8970724908470771E-2</v>
      </c>
      <c r="I44">
        <v>4.9539373553377661E-2</v>
      </c>
      <c r="K44">
        <v>83.35</v>
      </c>
      <c r="L44">
        <v>80.099999999999994</v>
      </c>
      <c r="M44">
        <v>79.826666666666668</v>
      </c>
    </row>
    <row r="45" spans="1:13">
      <c r="A45">
        <v>1969</v>
      </c>
      <c r="F45">
        <v>1969</v>
      </c>
      <c r="G45">
        <v>-5.0746091720986763E-3</v>
      </c>
      <c r="H45">
        <v>7.251635496112338E-2</v>
      </c>
      <c r="I45">
        <v>1.2755789844065179E-2</v>
      </c>
      <c r="K45">
        <v>82.35</v>
      </c>
      <c r="L45">
        <v>80.544444444444437</v>
      </c>
      <c r="M45">
        <v>80.206666666666663</v>
      </c>
    </row>
    <row r="46" spans="1:13">
      <c r="A46">
        <v>1968</v>
      </c>
      <c r="F46">
        <v>1968</v>
      </c>
      <c r="G46">
        <v>0.29324398714985767</v>
      </c>
      <c r="H46">
        <v>-2.9402611559061691E-2</v>
      </c>
      <c r="I46">
        <v>-0.11030022101451029</v>
      </c>
      <c r="K46">
        <v>81.650000000000006</v>
      </c>
      <c r="L46">
        <v>80.277777777777771</v>
      </c>
      <c r="M46">
        <v>80.073333333333338</v>
      </c>
    </row>
    <row r="47" spans="1:13">
      <c r="A47">
        <v>1967</v>
      </c>
      <c r="F47">
        <v>1967</v>
      </c>
      <c r="G47">
        <v>-0.37637721265494406</v>
      </c>
      <c r="H47">
        <v>-0.15860206093535464</v>
      </c>
      <c r="I47">
        <v>-0.12541627034891731</v>
      </c>
      <c r="K47">
        <v>81.25</v>
      </c>
      <c r="L47">
        <v>79.655555555555566</v>
      </c>
    </row>
    <row r="48" spans="1:13">
      <c r="A48">
        <v>1966</v>
      </c>
      <c r="F48">
        <v>1966</v>
      </c>
      <c r="G48">
        <v>-0.39267295730097751</v>
      </c>
      <c r="H48">
        <v>-0.30508357657411517</v>
      </c>
      <c r="I48">
        <v>-0.13652566024246715</v>
      </c>
      <c r="K48">
        <v>79.699999999999989</v>
      </c>
    </row>
    <row r="49" spans="1:9">
      <c r="A49">
        <v>1965</v>
      </c>
      <c r="F49">
        <v>1965</v>
      </c>
      <c r="G49">
        <v>-0.14620055976642404</v>
      </c>
      <c r="H49">
        <v>-0.19983169190241643</v>
      </c>
      <c r="I49">
        <v>-4.8036065182293884E-2</v>
      </c>
    </row>
    <row r="50" spans="1:9">
      <c r="A50">
        <v>1964</v>
      </c>
      <c r="F50">
        <v>1964</v>
      </c>
      <c r="G50">
        <v>-6.0621558639847695E-2</v>
      </c>
      <c r="H50">
        <v>0.17628994801481737</v>
      </c>
      <c r="I50">
        <v>3.4949922939542813E-2</v>
      </c>
    </row>
    <row r="51" spans="1:9">
      <c r="A51">
        <v>1963</v>
      </c>
      <c r="F51">
        <v>1963</v>
      </c>
      <c r="G51">
        <v>0.73569196245072388</v>
      </c>
      <c r="H51">
        <v>0.23787437725503854</v>
      </c>
      <c r="I51">
        <v>0.32382579908840442</v>
      </c>
    </row>
    <row r="52" spans="1:9">
      <c r="A52">
        <v>1962</v>
      </c>
      <c r="F52">
        <v>1962</v>
      </c>
      <c r="G52">
        <v>3.8552727954239419E-2</v>
      </c>
      <c r="H52">
        <v>0.60865037128276456</v>
      </c>
      <c r="I52">
        <v>0.11711751655048222</v>
      </c>
    </row>
    <row r="53" spans="1:9">
      <c r="A53">
        <v>1961</v>
      </c>
      <c r="F53">
        <v>1961</v>
      </c>
      <c r="G53">
        <v>1.0517064234433304</v>
      </c>
      <c r="H53">
        <v>-2.9827607019488351E-2</v>
      </c>
    </row>
    <row r="54" spans="1:9">
      <c r="A54">
        <v>1960</v>
      </c>
      <c r="F54">
        <v>1960</v>
      </c>
      <c r="G54">
        <v>-1.179741972456035</v>
      </c>
    </row>
    <row r="60" spans="1:9">
      <c r="G60">
        <f>CORREL(G19:G48,K19:K48)</f>
        <v>-8.5644987286522516E-3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A3" sqref="A3:E31"/>
    </sheetView>
  </sheetViews>
  <sheetFormatPr baseColWidth="10" defaultRowHeight="12" x14ac:dyDescent="0"/>
  <sheetData>
    <row r="3" spans="1:5">
      <c r="A3" t="s">
        <v>72</v>
      </c>
      <c r="B3" t="s">
        <v>73</v>
      </c>
      <c r="C3" t="s">
        <v>74</v>
      </c>
      <c r="D3" t="s">
        <v>75</v>
      </c>
      <c r="E3" t="s">
        <v>76</v>
      </c>
    </row>
    <row r="4" spans="1:5">
      <c r="A4">
        <v>2009</v>
      </c>
      <c r="B4">
        <v>84.4</v>
      </c>
      <c r="C4" s="3">
        <v>14.266666666666666</v>
      </c>
      <c r="D4" s="2">
        <v>1015.3333333333334</v>
      </c>
      <c r="E4" s="2">
        <v>5.3999999999999995</v>
      </c>
    </row>
    <row r="5" spans="1:5">
      <c r="A5">
        <v>2008</v>
      </c>
      <c r="B5">
        <v>79.8</v>
      </c>
      <c r="C5" s="3">
        <v>14.633333333333333</v>
      </c>
      <c r="D5" s="2">
        <v>1018.3000000000001</v>
      </c>
      <c r="E5" s="2">
        <v>5.3</v>
      </c>
    </row>
    <row r="6" spans="1:5">
      <c r="A6">
        <v>2007</v>
      </c>
      <c r="B6">
        <v>78.400000000000006</v>
      </c>
      <c r="C6" s="3">
        <v>14.433333333333332</v>
      </c>
      <c r="D6" s="2">
        <v>1017.1</v>
      </c>
      <c r="E6" s="2">
        <v>4.9333333333333327</v>
      </c>
    </row>
    <row r="7" spans="1:5">
      <c r="A7">
        <v>2006</v>
      </c>
      <c r="B7">
        <v>81.25</v>
      </c>
      <c r="C7" s="3">
        <v>14.800000000000002</v>
      </c>
      <c r="D7" s="2">
        <v>1018.6999999999999</v>
      </c>
      <c r="E7" s="2">
        <v>5.3666666666666671</v>
      </c>
    </row>
    <row r="8" spans="1:5">
      <c r="A8">
        <v>2005</v>
      </c>
      <c r="B8">
        <v>81.3</v>
      </c>
      <c r="C8" s="3">
        <v>15.066666666666668</v>
      </c>
      <c r="D8" s="2">
        <v>1016.1666666666666</v>
      </c>
      <c r="E8" s="2">
        <v>4.9333333333333336</v>
      </c>
    </row>
    <row r="9" spans="1:5">
      <c r="A9">
        <v>2004</v>
      </c>
      <c r="B9">
        <v>79.2</v>
      </c>
      <c r="C9" s="3">
        <v>14.300000000000002</v>
      </c>
      <c r="D9" s="2">
        <v>1017</v>
      </c>
      <c r="E9" s="2">
        <v>5.6000000000000005</v>
      </c>
    </row>
    <row r="10" spans="1:5">
      <c r="A10">
        <v>2003</v>
      </c>
      <c r="B10">
        <v>81</v>
      </c>
      <c r="C10" s="3">
        <v>14.433333333333332</v>
      </c>
      <c r="D10" s="2">
        <v>1012.9666666666667</v>
      </c>
      <c r="E10" s="2">
        <v>5.6333333333333329</v>
      </c>
    </row>
    <row r="11" spans="1:5">
      <c r="A11">
        <v>2002</v>
      </c>
      <c r="B11">
        <v>75.7</v>
      </c>
      <c r="C11" s="3">
        <v>13.9</v>
      </c>
      <c r="D11" s="2">
        <v>1015.8666666666668</v>
      </c>
      <c r="E11" s="2">
        <v>5.8</v>
      </c>
    </row>
    <row r="12" spans="1:5">
      <c r="A12">
        <v>2001</v>
      </c>
      <c r="B12">
        <v>79.7</v>
      </c>
      <c r="C12" s="3">
        <v>15.4</v>
      </c>
      <c r="D12" s="2">
        <v>1017.3333333333334</v>
      </c>
      <c r="E12" s="2">
        <v>4.833333333333333</v>
      </c>
    </row>
    <row r="13" spans="1:5">
      <c r="A13">
        <v>2000</v>
      </c>
      <c r="B13">
        <v>78.349999999999994</v>
      </c>
      <c r="C13" s="3">
        <v>14.333333333333334</v>
      </c>
      <c r="D13" s="2">
        <v>1015.1</v>
      </c>
      <c r="E13" s="2">
        <v>5.5333333333333341</v>
      </c>
    </row>
    <row r="14" spans="1:5">
      <c r="A14">
        <v>1999</v>
      </c>
      <c r="B14">
        <v>79.75</v>
      </c>
      <c r="C14" s="3">
        <v>15.066666666666668</v>
      </c>
      <c r="D14" s="2">
        <v>1019.6</v>
      </c>
      <c r="E14" s="2">
        <v>4.7</v>
      </c>
    </row>
    <row r="15" spans="1:5">
      <c r="A15">
        <v>1998</v>
      </c>
      <c r="B15">
        <v>80.150000000000006</v>
      </c>
      <c r="C15" s="3">
        <v>15.466666666666667</v>
      </c>
      <c r="D15" s="2">
        <v>1017.6666666666666</v>
      </c>
      <c r="E15" s="2">
        <v>5.6000000000000005</v>
      </c>
    </row>
    <row r="16" spans="1:5">
      <c r="A16">
        <v>1997</v>
      </c>
      <c r="B16">
        <v>81.45</v>
      </c>
      <c r="C16" s="3">
        <v>14.233333333333334</v>
      </c>
      <c r="D16" s="2">
        <v>1016.4</v>
      </c>
      <c r="E16" s="2">
        <v>5.833333333333333</v>
      </c>
    </row>
    <row r="17" spans="1:5">
      <c r="A17">
        <v>1996</v>
      </c>
      <c r="B17">
        <v>79.7</v>
      </c>
      <c r="C17" s="3">
        <v>14.866666666666667</v>
      </c>
      <c r="D17" s="2">
        <v>1015.2666666666668</v>
      </c>
      <c r="E17" s="2">
        <v>5.3999999999999995</v>
      </c>
    </row>
    <row r="18" spans="1:5">
      <c r="A18">
        <v>1995</v>
      </c>
      <c r="B18">
        <v>80.8</v>
      </c>
      <c r="C18" s="3">
        <v>14.233333333333334</v>
      </c>
      <c r="D18" s="2">
        <v>1017.6333333333333</v>
      </c>
      <c r="E18" s="2">
        <v>4.9333333333333336</v>
      </c>
    </row>
    <row r="19" spans="1:5">
      <c r="A19">
        <v>1994</v>
      </c>
      <c r="B19">
        <v>80.349999999999994</v>
      </c>
      <c r="C19" s="3">
        <v>13.833333333333334</v>
      </c>
      <c r="D19" s="2">
        <v>1012.7666666666668</v>
      </c>
      <c r="E19" s="2">
        <v>6.333333333333333</v>
      </c>
    </row>
    <row r="20" spans="1:5">
      <c r="A20">
        <v>1993</v>
      </c>
      <c r="B20">
        <v>76.05</v>
      </c>
      <c r="C20" s="35">
        <v>14.6</v>
      </c>
      <c r="D20" s="2">
        <v>1016.5666666666666</v>
      </c>
      <c r="E20" s="2">
        <v>5.5</v>
      </c>
    </row>
    <row r="21" spans="1:5">
      <c r="A21">
        <v>1992</v>
      </c>
      <c r="B21">
        <v>80.3</v>
      </c>
      <c r="C21" s="3">
        <v>14.166666666666666</v>
      </c>
      <c r="D21" s="2">
        <v>1012.5</v>
      </c>
      <c r="E21" s="2">
        <v>6.1333333333333329</v>
      </c>
    </row>
    <row r="22" spans="1:5">
      <c r="A22">
        <v>1991</v>
      </c>
      <c r="B22">
        <v>78.7</v>
      </c>
      <c r="C22" s="3">
        <v>14.5</v>
      </c>
      <c r="D22" s="2">
        <v>1011.5333333333333</v>
      </c>
      <c r="E22" s="2">
        <v>7.2333333333333334</v>
      </c>
    </row>
    <row r="23" spans="1:5">
      <c r="A23">
        <v>1990</v>
      </c>
      <c r="B23">
        <v>78.900000000000006</v>
      </c>
      <c r="C23" s="3">
        <v>14.966666666666667</v>
      </c>
      <c r="D23" s="2">
        <v>1017</v>
      </c>
      <c r="E23" s="2">
        <v>5.0666666666666673</v>
      </c>
    </row>
    <row r="24" spans="1:5">
      <c r="A24">
        <v>1989</v>
      </c>
      <c r="B24">
        <v>77.849999999999994</v>
      </c>
      <c r="C24" s="3">
        <v>15.800000000000002</v>
      </c>
      <c r="D24" s="2">
        <v>1014.5333333333333</v>
      </c>
      <c r="E24" s="2">
        <v>6.2</v>
      </c>
    </row>
    <row r="25" spans="1:5">
      <c r="A25">
        <v>1988</v>
      </c>
      <c r="B25">
        <v>79.099999999999994</v>
      </c>
      <c r="C25" s="3">
        <v>15.266666666666666</v>
      </c>
      <c r="D25" s="2">
        <v>1016.4</v>
      </c>
      <c r="E25" s="2">
        <v>6.9000000000000012</v>
      </c>
    </row>
    <row r="26" spans="1:5">
      <c r="A26">
        <v>1987</v>
      </c>
      <c r="B26">
        <v>80.099999999999994</v>
      </c>
      <c r="C26" s="3">
        <v>14.700000000000001</v>
      </c>
      <c r="D26" s="2">
        <v>1014.7666666666668</v>
      </c>
      <c r="E26" s="2">
        <v>6.5333333333333341</v>
      </c>
    </row>
    <row r="27" spans="1:5">
      <c r="A27">
        <v>1986</v>
      </c>
      <c r="B27">
        <v>79.400000000000006</v>
      </c>
      <c r="C27" s="3">
        <v>14.6</v>
      </c>
      <c r="D27" s="2">
        <v>1013.9</v>
      </c>
      <c r="E27" s="2">
        <v>5.9666666666666659</v>
      </c>
    </row>
    <row r="28" spans="1:5">
      <c r="A28">
        <v>1985</v>
      </c>
      <c r="B28">
        <v>79.3</v>
      </c>
      <c r="C28" s="3">
        <v>14.200000000000001</v>
      </c>
      <c r="D28" s="2">
        <v>1018.6</v>
      </c>
      <c r="E28" s="2">
        <v>6.3666666666666671</v>
      </c>
    </row>
    <row r="29" spans="1:5">
      <c r="A29">
        <v>1984</v>
      </c>
      <c r="B29">
        <v>80.150000000000006</v>
      </c>
      <c r="C29" s="3">
        <v>14.466666666666669</v>
      </c>
      <c r="D29" s="2">
        <v>1017.7000000000002</v>
      </c>
      <c r="E29" s="2">
        <v>3.6</v>
      </c>
    </row>
    <row r="30" spans="1:5">
      <c r="A30">
        <v>1983</v>
      </c>
      <c r="B30">
        <v>83.7</v>
      </c>
      <c r="C30" s="3">
        <v>14.666666666666666</v>
      </c>
      <c r="D30" s="2">
        <v>1017.4</v>
      </c>
      <c r="E30" s="2">
        <v>5.5</v>
      </c>
    </row>
    <row r="31" spans="1:5">
      <c r="A31">
        <v>1982</v>
      </c>
      <c r="B31">
        <v>81.25</v>
      </c>
      <c r="C31" s="3">
        <v>13.966666666666667</v>
      </c>
      <c r="D31" s="2">
        <v>1016.1333333333332</v>
      </c>
      <c r="E31" s="2">
        <v>5.3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MVP correlation and plots</vt:lpstr>
      <vt:lpstr>Rh correlation and plots</vt:lpstr>
      <vt:lpstr>Sheet5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barbour</dc:creator>
  <cp:lastModifiedBy>Drew Lorrey</cp:lastModifiedBy>
  <cp:lastPrinted>1999-01-28T23:46:12Z</cp:lastPrinted>
  <dcterms:created xsi:type="dcterms:W3CDTF">1999-01-27T23:28:22Z</dcterms:created>
  <dcterms:modified xsi:type="dcterms:W3CDTF">2013-10-09T02:21:51Z</dcterms:modified>
</cp:coreProperties>
</file>