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9.xml" ContentType="application/vnd.openxmlformats-officedocument.drawingml.chart+xml"/>
  <Override PartName="/xl/charts/chart58.xml" ContentType="application/vnd.openxmlformats-officedocument.drawingml.chart+xml"/>
  <Override PartName="/xl/charts/chart57.xml" ContentType="application/vnd.openxmlformats-officedocument.drawingml.chart+xml"/>
  <Override PartName="/xl/charts/chart56.xml" ContentType="application/vnd.openxmlformats-officedocument.drawingml.chart+xml"/>
  <Override PartName="/xl/charts/chart55.xml" ContentType="application/vnd.openxmlformats-officedocument.drawingml.chart+xml"/>
  <Override PartName="/xl/charts/chart60.xml" ContentType="application/vnd.openxmlformats-officedocument.drawingml.chart+xml"/>
  <Override PartName="/xl/charts/chart54.xml" ContentType="application/vnd.openxmlformats-officedocument.drawingml.chart+xml"/>
  <Override PartName="/xl/charts/chart53.xml" ContentType="application/vnd.openxmlformats-officedocument.drawingml.chart+xml"/>
  <Override PartName="/xl/charts/chart52.xml" ContentType="application/vnd.openxmlformats-officedocument.drawingml.chart+xml"/>
  <Override PartName="/xl/charts/chart51.xml" ContentType="application/vnd.openxmlformats-officedocument.drawingml.char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MVP correlation and plots" sheetId="5" state="visible" r:id="rId6"/>
    <sheet name="Rh correlation and plots" sheetId="6" state="visible" r:id="rId7"/>
    <sheet name="Sheet5" sheetId="7" state="visible" r:id="rId8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2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Administrator:
</t>
        </r>
        <r>
          <rPr>
            <rFont val="Tahoma"/>
            <charset val="1"/>
            <family val="2"/>
            <color rgb="00000000"/>
            <sz val="9"/>
          </rPr>
          <t xml:space="preserve">added temperature dependence of D from Cuntz et al 2007</t>
        </r>
      </text>
    </comment>
    <comment authorId="0" ref="D18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Margaret Barbour:
</t>
        </r>
        <r>
          <rPr>
            <rFont val="Tahoma"/>
            <charset val="1"/>
            <family val="2"/>
            <color rgb="00000000"/>
            <sz val="8"/>
          </rPr>
          <t xml:space="preserve">enrichment and the evaporating sites in the leaves, relative to source water</t>
        </r>
      </text>
    </comment>
    <comment authorId="0" ref="D2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Margaret Barbour:
</t>
        </r>
        <r>
          <rPr>
            <rFont val="Tahoma"/>
            <charset val="1"/>
            <family val="2"/>
            <color rgb="00000000"/>
            <sz val="8"/>
          </rPr>
          <t xml:space="preserve">enrichment in the bulk lamina relative to source water</t>
        </r>
      </text>
    </comment>
    <comment authorId="0" ref="G23">
      <text>
        <r>
          <rPr>
            <rFont val="Tahoma"/>
            <charset val="1"/>
            <family val="2"/>
            <b val="true"/>
            <color rgb="00000000"/>
            <sz val="8"/>
          </rPr>
          <t xml:space="preserve">Margaret Barbour:
</t>
        </r>
        <r>
          <rPr>
            <rFont val="Tahoma"/>
            <charset val="1"/>
            <family val="2"/>
            <color rgb="00000000"/>
            <sz val="8"/>
          </rPr>
          <t xml:space="preserve">lamina water isotope composition relative to standard</t>
        </r>
      </text>
    </comment>
  </commentList>
</comments>
</file>

<file path=xl/sharedStrings.xml><?xml version="1.0" encoding="utf-8"?>
<sst xmlns="http://schemas.openxmlformats.org/spreadsheetml/2006/main" count="497" uniqueCount="303">
  <si>
    <t>Calculating leaf temperature, ea/ei and E</t>
  </si>
  <si>
    <t>Inputs</t>
  </si>
  <si>
    <t>Energy balance calculations</t>
  </si>
  <si>
    <t>Calculating epsilon</t>
  </si>
  <si>
    <t>Calculating ea/ei</t>
  </si>
  <si>
    <t>Calculating transpiration</t>
  </si>
  <si>
    <t>gs (mol m-2 s-1)</t>
  </si>
  <si>
    <t>corr air tp</t>
  </si>
  <si>
    <t>less temp</t>
  </si>
  <si>
    <t>ea</t>
  </si>
  <si>
    <t>E (molm-2s-1)</t>
  </si>
  <si>
    <t>wind speed (ms-1)</t>
  </si>
  <si>
    <t>rs</t>
  </si>
  <si>
    <t>es less temp</t>
  </si>
  <si>
    <t>es</t>
  </si>
  <si>
    <t>WS</t>
  </si>
  <si>
    <t>V</t>
  </si>
  <si>
    <t>leaf width (m)</t>
  </si>
  <si>
    <t>rb</t>
  </si>
  <si>
    <t>corr less temp</t>
  </si>
  <si>
    <t>ei</t>
  </si>
  <si>
    <t>Air T</t>
  </si>
  <si>
    <t>T</t>
  </si>
  <si>
    <t>air temp (oC)</t>
  </si>
  <si>
    <t>r*b</t>
  </si>
  <si>
    <t>s</t>
  </si>
  <si>
    <t>D</t>
  </si>
  <si>
    <t>Rh</t>
  </si>
  <si>
    <t>S</t>
  </si>
  <si>
    <t>RH (%)</t>
  </si>
  <si>
    <t>gr</t>
  </si>
  <si>
    <t>s mbar</t>
  </si>
  <si>
    <t>ea/ei</t>
  </si>
  <si>
    <t>Pressure</t>
  </si>
  <si>
    <t>U</t>
  </si>
  <si>
    <t>pressure</t>
  </si>
  <si>
    <t>r*bH</t>
  </si>
  <si>
    <t>epsilon</t>
  </si>
  <si>
    <t>temp diff</t>
  </si>
  <si>
    <t>PAR (umolm-2s-1)</t>
  </si>
  <si>
    <t>Q total</t>
  </si>
  <si>
    <t>leaf temp</t>
  </si>
  <si>
    <t>Qabsor</t>
  </si>
  <si>
    <t>corr Tl</t>
  </si>
  <si>
    <t>Craig/Gordon parameters</t>
  </si>
  <si>
    <t>Calculations</t>
  </si>
  <si>
    <t>NB: cells coloured yellow are variable input parameters</t>
  </si>
  <si>
    <t>d water vapour</t>
  </si>
  <si>
    <t>ek</t>
  </si>
  <si>
    <t>       cells coloured pink are constant input parameters</t>
  </si>
  <si>
    <t>Model Parameters</t>
  </si>
  <si>
    <t>Unit of measure</t>
  </si>
  <si>
    <t>Value</t>
  </si>
  <si>
    <t>Comments</t>
  </si>
  <si>
    <t>Reference</t>
  </si>
  <si>
    <t>d source H2O</t>
  </si>
  <si>
    <t>e*</t>
  </si>
  <si>
    <t>       cells coloured blue are outputs</t>
  </si>
  <si>
    <t>fract through stomata</t>
  </si>
  <si>
    <t>Dv</t>
  </si>
  <si>
    <t>Environmental</t>
  </si>
  <si>
    <t>fract through boundary layer</t>
  </si>
  <si>
    <t>De</t>
  </si>
  <si>
    <t>Wind speed</t>
  </si>
  <si>
    <t>m/s</t>
  </si>
  <si>
    <t>Auckland Aero; Station agent #1962</t>
  </si>
  <si>
    <t>www.niwa.co.nz</t>
  </si>
  <si>
    <t>Temperature</t>
  </si>
  <si>
    <t>C</t>
  </si>
  <si>
    <t>Peclet effect</t>
  </si>
  <si>
    <t>hPa</t>
  </si>
  <si>
    <t>source water</t>
  </si>
  <si>
    <t>(δ per mille relative to VSMOW)</t>
  </si>
  <si>
    <t>http://wateriso.utah.edu/waterisotopes/pages/data_access/oipc.html</t>
  </si>
  <si>
    <t>effective length (m)</t>
  </si>
  <si>
    <t>p</t>
  </si>
  <si>
    <t>water vapor</t>
  </si>
  <si>
    <t>Observed relationships between δ18Ov and δ18Op in equilibrium</t>
  </si>
  <si>
    <t>Modeled estimate using data from Lee et al. 2005; 2006; Zheng et al. 2011; Yin et al. 2008</t>
  </si>
  <si>
    <t>DL</t>
  </si>
  <si>
    <t>dL</t>
  </si>
  <si>
    <t>PAR</t>
  </si>
  <si>
    <t>umol m-2 s-1</t>
  </si>
  <si>
    <t>Relative humidity</t>
  </si>
  <si>
    <t>%</t>
  </si>
  <si>
    <t>Real</t>
  </si>
  <si>
    <r>
      <t xml:space="preserve">Calculating </t>
    </r>
    <r>
      <rPr>
        <rFont val="Symbol"/>
        <charset val="2"/>
        <family val="1"/>
        <b val="true"/>
        <sz val="10"/>
      </rPr>
      <t xml:space="preserve">D</t>
    </r>
    <r>
      <rPr>
        <rFont val="Arial"/>
        <charset val="1"/>
        <family val="2"/>
        <b val="true"/>
        <sz val="10"/>
      </rPr>
      <t xml:space="preserve">cellulose and </t>
    </r>
    <r>
      <rPr>
        <rFont val="Symbol"/>
        <charset val="2"/>
        <family val="1"/>
        <b val="true"/>
        <sz val="10"/>
      </rPr>
      <t xml:space="preserve">D</t>
    </r>
    <r>
      <rPr>
        <rFont val="Arial"/>
        <charset val="1"/>
        <family val="2"/>
        <b val="true"/>
        <sz val="10"/>
      </rPr>
      <t xml:space="preserve">leaf</t>
    </r>
  </si>
  <si>
    <t>mean d18O</t>
  </si>
  <si>
    <t>stdev d18O</t>
  </si>
  <si>
    <t>Biological</t>
  </si>
  <si>
    <t>Leaf width</t>
  </si>
  <si>
    <t>m</t>
  </si>
  <si>
    <t>Average measurment from trees in the field</t>
  </si>
  <si>
    <t>Lorrey (unpublished)</t>
  </si>
  <si>
    <t>C=O fract.</t>
  </si>
  <si>
    <t>Dsucrose</t>
  </si>
  <si>
    <t>dsucrose</t>
  </si>
  <si>
    <t>normalized value</t>
  </si>
  <si>
    <t>undetrended</t>
  </si>
  <si>
    <t>effective length</t>
  </si>
  <si>
    <t>Double average distance of evaporation site to central vein</t>
  </si>
  <si>
    <r>
      <t xml:space="preserve">Dcel-</t>
    </r>
    <r>
      <rPr>
        <rFont val="Symbol"/>
        <charset val="2"/>
        <family val="1"/>
        <sz val="10"/>
      </rPr>
      <t xml:space="preserve">D</t>
    </r>
    <r>
      <rPr>
        <rFont val="Arial"/>
        <charset val="1"/>
        <family val="2"/>
        <sz val="10"/>
      </rPr>
      <t xml:space="preserve">om</t>
    </r>
  </si>
  <si>
    <t>Stomatal conductance</t>
  </si>
  <si>
    <t>mol m-2 s-1</t>
  </si>
  <si>
    <t>0.1-0.35</t>
  </si>
  <si>
    <t>Mid-range estimate from experiments with Agathis australis and Araucareaceae</t>
  </si>
  <si>
    <t>Haworth et al. 2011; Brodribb et al. 2005; 2009; McInnis-Ng (unpublished)</t>
  </si>
  <si>
    <t>prop. Exch.</t>
  </si>
  <si>
    <t>Dcellulose</t>
  </si>
  <si>
    <t>dcellulose</t>
  </si>
  <si>
    <t>Year</t>
  </si>
  <si>
    <t>normalized model 180</t>
  </si>
  <si>
    <t>model d180</t>
  </si>
  <si>
    <t>av</t>
  </si>
  <si>
    <t>stdev</t>
  </si>
  <si>
    <t>windspeed</t>
  </si>
  <si>
    <t>Pex</t>
  </si>
  <si>
    <t>ratio</t>
  </si>
  <si>
    <t>Proportion of exchangeable oxygen in cellulose formed from simple carbohydrates</t>
  </si>
  <si>
    <t>Hellicker and Elheringer 2002</t>
  </si>
  <si>
    <t>prop. Xylem</t>
  </si>
  <si>
    <t>Dleaf</t>
  </si>
  <si>
    <t>dleaf</t>
  </si>
  <si>
    <t>Px</t>
  </si>
  <si>
    <t>Proportion of unenriched (source) water in developing cell</t>
  </si>
  <si>
    <t>Barbour et al. 2004; Cernusak et al. 2005</t>
  </si>
  <si>
    <t>avg distance to vein</t>
  </si>
  <si>
    <t>R of source water</t>
  </si>
  <si>
    <t>R of water vapor</t>
  </si>
  <si>
    <t>d18Ovapor</t>
  </si>
  <si>
    <t>precip</t>
  </si>
  <si>
    <t>E+</t>
  </si>
  <si>
    <t>Δ18Ov</t>
  </si>
  <si>
    <t>Δ18Osource</t>
  </si>
  <si>
    <t>R</t>
  </si>
  <si>
    <t>peak at 10 am</t>
  </si>
  <si>
    <t>gs</t>
  </si>
  <si>
    <t>stomatal conductance</t>
  </si>
  <si>
    <t>stomatal conductance araucariaceae</t>
  </si>
  <si>
    <t>umol/m sq/second</t>
  </si>
  <si>
    <t>Haworth et al. 2011</t>
  </si>
  <si>
    <t>Agathis australis</t>
  </si>
  <si>
    <t>Brodribb et al. 2009</t>
  </si>
  <si>
    <t>Agathis robusta</t>
  </si>
  <si>
    <t>brodribb et al. 2005</t>
  </si>
  <si>
    <t>chile araucariaceae</t>
  </si>
  <si>
    <t>52.45MJ/m2/season</t>
  </si>
  <si>
    <t>iteratively changing</t>
  </si>
  <si>
    <t>mean</t>
  </si>
  <si>
    <t>conductance</t>
  </si>
  <si>
    <t>1MJ = 1000000 joules</t>
  </si>
  <si>
    <t>r</t>
  </si>
  <si>
    <t>PexPx</t>
  </si>
  <si>
    <t>MJ/m2/s</t>
  </si>
  <si>
    <t>4.6mol/J</t>
  </si>
  <si>
    <t>1mol = 1000000 umol</t>
  </si>
  <si>
    <t>J/m2/s</t>
  </si>
  <si>
    <t>mol/m2/s</t>
  </si>
  <si>
    <t>r= 0.65</t>
  </si>
  <si>
    <t>p = 0.0002</t>
  </si>
  <si>
    <t>two tailed</t>
  </si>
  <si>
    <t>Auckland Aero</t>
  </si>
  <si>
    <t>EDF = 52</t>
  </si>
  <si>
    <t>Sep-Nov avg</t>
  </si>
  <si>
    <t>MJ/m2</t>
  </si>
  <si>
    <t>day</t>
  </si>
  <si>
    <t>4.6umol/J</t>
  </si>
  <si>
    <t>MJ/m2/sec</t>
  </si>
  <si>
    <t>Joules/m2/sec</t>
  </si>
  <si>
    <t>umol/m2/sec</t>
  </si>
  <si>
    <t>Lower Huia</t>
  </si>
  <si>
    <t>modeled</t>
  </si>
  <si>
    <t>error on LH</t>
  </si>
  <si>
    <t>umol/m2/s</t>
  </si>
  <si>
    <t>MJ/m2/day</t>
  </si>
  <si>
    <t>1748000 watt * second/m2</t>
  </si>
  <si>
    <t>17.48 megajoule = 17 480 000 wattsecond</t>
  </si>
  <si>
    <t>Watt = Joule / second</t>
  </si>
  <si>
    <t>Joule = Watt * Second</t>
  </si>
  <si>
    <t>wattsecond</t>
  </si>
  <si>
    <t>W/m2/second</t>
  </si>
  <si>
    <t>enright et al. 1994</t>
  </si>
  <si>
    <t>solstice</t>
  </si>
  <si>
    <t>245 W/m2</t>
  </si>
  <si>
    <t>1120 umol/m2/s</t>
  </si>
  <si>
    <t>spring is less than this</t>
  </si>
  <si>
    <t>McInnis p comm</t>
  </si>
  <si>
    <t>Huapai</t>
  </si>
  <si>
    <t>2500umol/m2/s</t>
  </si>
  <si>
    <t>summer measurments/peak part of day</t>
  </si>
  <si>
    <t>NIWA vcsn</t>
  </si>
  <si>
    <t>185W/m2</t>
  </si>
  <si>
    <t>840umol/m2/s</t>
  </si>
  <si>
    <t>spring average</t>
  </si>
  <si>
    <t>202 W/m2</t>
  </si>
  <si>
    <t>923 umol/m2/s</t>
  </si>
  <si>
    <t>hourly W/m2</t>
  </si>
  <si>
    <t>Sep 1:00</t>
  </si>
  <si>
    <t>Sep 2:00</t>
  </si>
  <si>
    <t>Sep 3:00</t>
  </si>
  <si>
    <t>Sep 4:00</t>
  </si>
  <si>
    <t>Sep 5:00</t>
  </si>
  <si>
    <t>Sep 6:00</t>
  </si>
  <si>
    <t>Sep 7:00</t>
  </si>
  <si>
    <t>Sep 8:00</t>
  </si>
  <si>
    <t>Sep 9:00</t>
  </si>
  <si>
    <t>Sep 10:00</t>
  </si>
  <si>
    <t>Sep 11:00</t>
  </si>
  <si>
    <t>Sep 12:00</t>
  </si>
  <si>
    <t>Sep 13:00</t>
  </si>
  <si>
    <t>Sep 14:00</t>
  </si>
  <si>
    <t>Sep 15:00</t>
  </si>
  <si>
    <t>Sep 16:00</t>
  </si>
  <si>
    <t>Sep 17:00</t>
  </si>
  <si>
    <t>Sep 18:00</t>
  </si>
  <si>
    <t>Sep 19:00</t>
  </si>
  <si>
    <t>Sep 20:00</t>
  </si>
  <si>
    <t>Sep 21:00</t>
  </si>
  <si>
    <t>Sep 22:00</t>
  </si>
  <si>
    <t>Sep 23:00</t>
  </si>
  <si>
    <t>Oct 0:00</t>
  </si>
  <si>
    <t>Oct 1:00</t>
  </si>
  <si>
    <t>Oct 2:00</t>
  </si>
  <si>
    <t>Oct 3:00</t>
  </si>
  <si>
    <t>Oct 4:00</t>
  </si>
  <si>
    <t>Oct 5:00</t>
  </si>
  <si>
    <t>Oct 6:00</t>
  </si>
  <si>
    <t>Oct 7:00</t>
  </si>
  <si>
    <t>Oct 8:00</t>
  </si>
  <si>
    <t>Oct 9:00</t>
  </si>
  <si>
    <t>Oct 10:00</t>
  </si>
  <si>
    <t>Oct 11:00</t>
  </si>
  <si>
    <t>Oct 12:00</t>
  </si>
  <si>
    <t>Oct 13:00</t>
  </si>
  <si>
    <t>Oct 14:00</t>
  </si>
  <si>
    <t>Oct 15:00</t>
  </si>
  <si>
    <t>Oct 16:00</t>
  </si>
  <si>
    <t>Oct 17:00</t>
  </si>
  <si>
    <t>Oct 18:00</t>
  </si>
  <si>
    <t>Oct 19:00</t>
  </si>
  <si>
    <t>Oct 20:00</t>
  </si>
  <si>
    <t>Oct 21:00</t>
  </si>
  <si>
    <t>Oct 22:00</t>
  </si>
  <si>
    <t>Oct 23:00</t>
  </si>
  <si>
    <t>Nov 0:00</t>
  </si>
  <si>
    <t>Nov 1:00</t>
  </si>
  <si>
    <t>Nov 2:00</t>
  </si>
  <si>
    <t>Nov 3:00</t>
  </si>
  <si>
    <t>Nov 4:00</t>
  </si>
  <si>
    <t>Nov 5:00</t>
  </si>
  <si>
    <t>Nov 6:00</t>
  </si>
  <si>
    <t>Nov 7:00</t>
  </si>
  <si>
    <t>Nov 8:00</t>
  </si>
  <si>
    <t>Nov 9:00</t>
  </si>
  <si>
    <t>Nov 10:00</t>
  </si>
  <si>
    <t>Nov 11:00</t>
  </si>
  <si>
    <t>Nov 12:00</t>
  </si>
  <si>
    <t>Nov 13:00</t>
  </si>
  <si>
    <t>Nov 14:00</t>
  </si>
  <si>
    <t>Nov 15:00</t>
  </si>
  <si>
    <t>Nov 16:00</t>
  </si>
  <si>
    <t>Nov 17:00</t>
  </si>
  <si>
    <t>Nov 18:00</t>
  </si>
  <si>
    <t>Nov 19:00</t>
  </si>
  <si>
    <t>Nov 20:00</t>
  </si>
  <si>
    <t>Nov 21:00</t>
  </si>
  <si>
    <t>Nov 22:00</t>
  </si>
  <si>
    <t>Nov 23:00</t>
  </si>
  <si>
    <t>Lee et al 2005</t>
  </si>
  <si>
    <t>Lee et al. 2006</t>
  </si>
  <si>
    <t>Zhang</t>
  </si>
  <si>
    <t>means</t>
  </si>
  <si>
    <t>Yin et al. 2009</t>
  </si>
  <si>
    <t>3y</t>
  </si>
  <si>
    <t>5y</t>
  </si>
  <si>
    <t>RH3y</t>
  </si>
  <si>
    <t>RH5y</t>
  </si>
  <si>
    <t>PET</t>
  </si>
  <si>
    <t>PET3y</t>
  </si>
  <si>
    <t>PET5y</t>
  </si>
  <si>
    <t>MVP</t>
  </si>
  <si>
    <t>MVP3y</t>
  </si>
  <si>
    <t>MVP5y</t>
  </si>
  <si>
    <t>T3y</t>
  </si>
  <si>
    <t>T5y</t>
  </si>
  <si>
    <t>Huapai 3 series mean</t>
  </si>
  <si>
    <t>RH</t>
  </si>
  <si>
    <t>Rh3y</t>
  </si>
  <si>
    <t>Rh5y</t>
  </si>
  <si>
    <t>Detrended</t>
  </si>
  <si>
    <t>Not detrended</t>
  </si>
  <si>
    <t>SO</t>
  </si>
  <si>
    <t>increase</t>
  </si>
  <si>
    <t>Detrended series</t>
  </si>
  <si>
    <t>not detrended</t>
  </si>
  <si>
    <t>MJJASO</t>
  </si>
  <si>
    <t>decrease</t>
  </si>
  <si>
    <t>SON</t>
  </si>
  <si>
    <t>mvp</t>
  </si>
  <si>
    <t>mvp3</t>
  </si>
  <si>
    <t>mvp5</t>
  </si>
  <si>
    <t>Rh3</t>
  </si>
  <si>
    <t>Rh5</t>
  </si>
</sst>
</file>

<file path=xl/styles.xml><?xml version="1.0" encoding="utf-8"?>
<styleSheet xmlns="http://schemas.openxmlformats.org/spreadsheetml/2006/main">
  <numFmts count="5">
    <numFmt formatCode="GENERAL" numFmtId="164"/>
    <numFmt formatCode="GENERAL" numFmtId="165"/>
    <numFmt formatCode="0.0" numFmtId="166"/>
    <numFmt formatCode="0.00" numFmtId="167"/>
    <numFmt formatCode="0.000" numFmtId="168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800000"/>
      <sz val="10"/>
    </font>
    <font>
      <name val="Arial"/>
      <charset val="1"/>
      <family val="2"/>
      <b val="true"/>
      <i val="true"/>
      <sz val="10"/>
      <u val="single"/>
    </font>
    <font>
      <name val="Arial"/>
      <charset val="1"/>
      <family val="2"/>
      <color rgb="000000FF"/>
      <sz val="10"/>
    </font>
    <font>
      <name val="Symbol"/>
      <charset val="2"/>
      <family val="1"/>
      <b val="true"/>
      <sz val="10"/>
    </font>
    <font>
      <name val="Symbol"/>
      <charset val="2"/>
      <family val="1"/>
      <sz val="10"/>
    </font>
    <font>
      <name val="Arial"/>
      <charset val="1"/>
      <family val="2"/>
      <sz val="16"/>
    </font>
    <font>
      <name val="Arial"/>
      <charset val="1"/>
      <family val="2"/>
      <sz val="12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Tahoma"/>
      <charset val="1"/>
      <family val="2"/>
      <b val="true"/>
      <color rgb="00000000"/>
      <sz val="8"/>
    </font>
    <font>
      <name val="Tahoma"/>
      <charset val="1"/>
      <family val="2"/>
      <color rgb="00000000"/>
      <sz val="8"/>
    </font>
    <font>
      <name val="Calibri"/>
      <family val="2"/>
      <color rgb="00000000"/>
      <sz val="10"/>
    </font>
  </fonts>
  <fills count="11">
    <fill>
      <patternFill patternType="none"/>
    </fill>
    <fill>
      <patternFill patternType="gray125"/>
    </fill>
    <fill>
      <patternFill patternType="solid">
        <fgColor rgb="0000AE00"/>
        <bgColor rgb="00579D1C"/>
      </patternFill>
    </fill>
    <fill>
      <patternFill patternType="solid">
        <fgColor rgb="00579D1C"/>
        <bgColor rgb="0098B855"/>
      </patternFill>
    </fill>
    <fill>
      <patternFill patternType="solid">
        <fgColor rgb="00CCFFFF"/>
        <bgColor rgb="00DBEEF4"/>
      </patternFill>
    </fill>
    <fill>
      <patternFill patternType="solid">
        <fgColor rgb="00DBEEF4"/>
        <bgColor rgb="00CCFFFF"/>
      </patternFill>
    </fill>
    <fill>
      <patternFill patternType="solid">
        <fgColor rgb="0031859C"/>
        <bgColor rgb="00558ED5"/>
      </patternFill>
    </fill>
    <fill>
      <patternFill patternType="solid">
        <fgColor rgb="00CCFFCC"/>
        <bgColor rgb="00CCFFFF"/>
      </patternFill>
    </fill>
    <fill>
      <patternFill patternType="solid">
        <fgColor rgb="00DD4814"/>
        <bgColor rgb="00BE4B48"/>
      </patternFill>
    </fill>
    <fill>
      <patternFill patternType="solid">
        <fgColor rgb="00FFFF00"/>
        <bgColor rgb="00FFFF00"/>
      </patternFill>
    </fill>
    <fill>
      <patternFill patternType="solid">
        <fgColor rgb="00A6A6A6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2" fontId="5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true" applyProtection="false" borderId="0" fillId="2" fontId="5" numFmtId="166" xfId="0"/>
    <xf applyAlignment="false" applyBorder="false" applyFont="false" applyProtection="false" borderId="0" fillId="2" fontId="0" numFmtId="166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true" applyProtection="false" borderId="0" fillId="2" fontId="5" numFmtId="167" xfId="0"/>
    <xf applyAlignment="false" applyBorder="false" applyFont="false" applyProtection="false" borderId="0" fillId="2" fontId="0" numFmtId="167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3" fontId="0" numFmtId="164" xfId="0"/>
    <xf applyAlignment="false" applyBorder="false" applyFont="true" applyProtection="false" borderId="0" fillId="3" fontId="0" numFmtId="166" xfId="0"/>
    <xf applyAlignment="false" applyBorder="false" applyFont="true" applyProtection="false" borderId="0" fillId="0" fontId="6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4" fontId="0" numFmtId="164" xfId="0"/>
    <xf applyAlignment="true" applyBorder="true" applyFont="true" applyProtection="tru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/>
    <xf applyAlignment="false" applyBorder="false" applyFont="true" applyProtection="false" borderId="0" fillId="0" fontId="0" numFmtId="166" xfId="0"/>
    <xf applyAlignment="false" applyBorder="true" applyFont="false" applyProtection="false" borderId="2" fillId="3" fontId="0" numFmtId="164" xfId="0"/>
    <xf applyAlignment="false" applyBorder="false" applyFont="true" applyProtection="false" borderId="0" fillId="5" fontId="0" numFmtId="164" xfId="0"/>
    <xf applyAlignment="false" applyBorder="false" applyFont="false" applyProtection="false" borderId="0" fillId="5" fontId="0" numFmtId="164" xfId="0"/>
    <xf applyAlignment="false" applyBorder="false" applyFont="true" applyProtection="false" borderId="0" fillId="5" fontId="0" numFmtId="166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false" applyBorder="false" applyFont="true" applyProtection="false" borderId="0" fillId="6" fontId="10" numFmtId="166" xfId="0"/>
    <xf applyAlignment="false" applyBorder="false" applyFont="true" applyProtection="false" borderId="0" fillId="7" fontId="10" numFmtId="164" xfId="0"/>
    <xf applyAlignment="false" applyBorder="false" applyFont="false" applyProtection="false" borderId="0" fillId="8" fontId="0" numFmtId="164" xfId="0"/>
    <xf applyAlignment="false" applyBorder="false" applyFont="false" applyProtection="false" borderId="0" fillId="9" fontId="0" numFmtId="167" xfId="0"/>
    <xf applyAlignment="true" applyBorder="false" applyFont="true" applyProtection="false" borderId="0" fillId="0" fontId="0" numFmtId="164" xfId="0">
      <alignment horizontal="right" indent="0" shrinkToFit="false" textRotation="0" vertical="center" wrapText="false"/>
    </xf>
    <xf applyAlignment="false" applyBorder="false" applyFont="true" applyProtection="false" borderId="0" fillId="9" fontId="0" numFmtId="164" xfId="0"/>
    <xf applyAlignment="false" applyBorder="false" applyFont="true" applyProtection="false" borderId="0" fillId="0" fontId="0" numFmtId="167" xfId="0"/>
    <xf applyAlignment="false" applyBorder="false" applyFont="true" applyProtection="false" borderId="0" fillId="0" fontId="11" numFmtId="164" xfId="0"/>
    <xf applyAlignment="false" applyBorder="false" applyFont="false" applyProtection="false" borderId="0" fillId="0" fontId="0" numFmtId="168" xfId="0"/>
    <xf applyAlignment="false" applyBorder="false" applyFont="true" applyProtection="false" borderId="0" fillId="0" fontId="0" numFmtId="168" xfId="0"/>
    <xf applyAlignment="false" applyBorder="false" applyFont="true" applyProtection="false" borderId="0" fillId="10" fontId="0" numFmtId="164" xfId="0"/>
    <xf applyAlignment="false" applyBorder="false" applyFont="true" applyProtection="false" borderId="0" fillId="0" fontId="4" numFmtId="167" xfId="0"/>
    <xf applyAlignment="false" applyBorder="false" applyFont="true" applyProtection="false" borderId="0" fillId="0" fontId="6" numFmtId="167" xfId="0"/>
    <xf applyAlignment="false" applyBorder="false" applyFont="false" applyProtection="false" borderId="0" fillId="10" fontId="0" numFmtId="167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579D1C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BEEF4"/>
      <rgbColor rgb="00CCFFCC"/>
      <rgbColor rgb="00FFFF99"/>
      <rgbColor rgb="0099CCFF"/>
      <rgbColor rgb="00FF99CC"/>
      <rgbColor rgb="00CC99FF"/>
      <rgbColor rgb="00FFCC99"/>
      <rgbColor rgb="00558ED5"/>
      <rgbColor rgb="0033CCCC"/>
      <rgbColor rgb="0098B855"/>
      <rgbColor rgb="00FFCC00"/>
      <rgbColor rgb="00FF9900"/>
      <rgbColor rgb="00DD4814"/>
      <rgbColor rgb="00595959"/>
      <rgbColor rgb="00A6A6A6"/>
      <rgbColor rgb="00003366"/>
      <rgbColor rgb="0031859C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5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000000"/>
            </a:solidFill>
            <a:ln w="47520">
              <a:solidFill>
                <a:srgbClr val="000000"/>
              </a:solidFill>
              <a:round/>
            </a:ln>
          </c:spPr>
          <c:marker/>
          <c:xVal>
            <c:numRef>
              <c:f>Sheet1!$L$31:$L$58</c:f>
              <c:numCache>
                <c:formatCode>General</c:formatCode>
                <c:ptCount val="28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</c:numCache>
            </c:numRef>
          </c:xVal>
          <c:yVal>
            <c:numRef>
              <c:f>Sheet1!$P$31:$P$58</c:f>
              <c:numCache>
                <c:formatCode>General</c:formatCode>
                <c:ptCount val="28"/>
                <c:pt idx="0">
                  <c:v>-0.290357581425254</c:v>
                </c:pt>
                <c:pt idx="1">
                  <c:v>0.239226391218053</c:v>
                </c:pt>
                <c:pt idx="2">
                  <c:v>0.644525254642978</c:v>
                </c:pt>
                <c:pt idx="3">
                  <c:v>-1.11602500457803</c:v>
                </c:pt>
                <c:pt idx="4">
                  <c:v>-0.288800991974175</c:v>
                </c:pt>
                <c:pt idx="5">
                  <c:v>0.195304801722278</c:v>
                </c:pt>
                <c:pt idx="6">
                  <c:v>-0.710341741153059</c:v>
                </c:pt>
                <c:pt idx="7">
                  <c:v>0.504585523518288</c:v>
                </c:pt>
                <c:pt idx="8">
                  <c:v>-0.0374644219748053</c:v>
                </c:pt>
                <c:pt idx="9">
                  <c:v>0.774352237006285</c:v>
                </c:pt>
                <c:pt idx="10">
                  <c:v>-0.0525622581600255</c:v>
                </c:pt>
                <c:pt idx="11">
                  <c:v>-0.273647195365403</c:v>
                </c:pt>
                <c:pt idx="12">
                  <c:v>-0.457270555508932</c:v>
                </c:pt>
                <c:pt idx="13">
                  <c:v>-0.141932344522551</c:v>
                </c:pt>
                <c:pt idx="14">
                  <c:v>-0.0675953286003726</c:v>
                </c:pt>
                <c:pt idx="15">
                  <c:v>0.56564976863267</c:v>
                </c:pt>
                <c:pt idx="16">
                  <c:v>0.727194315662255</c:v>
                </c:pt>
                <c:pt idx="17">
                  <c:v>0.494321492860573</c:v>
                </c:pt>
                <c:pt idx="18">
                  <c:v>0.655280414565495</c:v>
                </c:pt>
                <c:pt idx="19">
                  <c:v>0.157404460731182</c:v>
                </c:pt>
                <c:pt idx="20">
                  <c:v>0.396067090973483</c:v>
                </c:pt>
                <c:pt idx="21">
                  <c:v>-0.0165506311069828</c:v>
                </c:pt>
                <c:pt idx="22">
                  <c:v>-0.149919636117161</c:v>
                </c:pt>
                <c:pt idx="23">
                  <c:v>-0.15409241471607</c:v>
                </c:pt>
                <c:pt idx="24">
                  <c:v>-0.013842537895437</c:v>
                </c:pt>
                <c:pt idx="25">
                  <c:v>-0.166307183198284</c:v>
                </c:pt>
                <c:pt idx="26">
                  <c:v>-0.821791396811226</c:v>
                </c:pt>
                <c:pt idx="27">
                  <c:v>-0.169366282094703</c:v>
                </c:pt>
              </c:numCache>
            </c:numRef>
          </c:yVal>
        </c:ser>
        <c:ser>
          <c:idx val="1"/>
          <c:order val="1"/>
          <c:spPr>
            <a:solidFill>
              <a:srgbClr val="be4b48"/>
            </a:solidFill>
            <a:ln w="47520">
              <a:solidFill>
                <a:srgbClr val="be4b48"/>
              </a:solidFill>
              <a:round/>
            </a:ln>
          </c:spPr>
          <c:marker/>
          <c:xVal>
            <c:numRef>
              <c:f>Sheet1!$L$31:$L$58</c:f>
              <c:numCache>
                <c:formatCode>General</c:formatCode>
                <c:ptCount val="28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</c:numCache>
            </c:numRef>
          </c:xVal>
          <c:yVal>
            <c:numRef>
              <c:f>Sheet1!$M$31:$M$58</c:f>
              <c:numCache>
                <c:formatCode>General</c:formatCode>
                <c:ptCount val="28"/>
                <c:pt idx="0">
                  <c:v>-2.34037519797061</c:v>
                </c:pt>
                <c:pt idx="1">
                  <c:v>0.070446076193106</c:v>
                </c:pt>
                <c:pt idx="2">
                  <c:v>1.1662739280857</c:v>
                </c:pt>
                <c:pt idx="3">
                  <c:v>-0.806216205320969</c:v>
                </c:pt>
                <c:pt idx="4">
                  <c:v>-0.587050634942454</c:v>
                </c:pt>
                <c:pt idx="5">
                  <c:v>0.289611646571629</c:v>
                </c:pt>
                <c:pt idx="6">
                  <c:v>-0.587050634942454</c:v>
                </c:pt>
                <c:pt idx="7">
                  <c:v>2.2621017799783</c:v>
                </c:pt>
                <c:pt idx="8">
                  <c:v>0.289611646571629</c:v>
                </c:pt>
                <c:pt idx="9">
                  <c:v>0.947108357707181</c:v>
                </c:pt>
                <c:pt idx="10">
                  <c:v>0.289611646571629</c:v>
                </c:pt>
                <c:pt idx="11">
                  <c:v>-0.367885064563931</c:v>
                </c:pt>
                <c:pt idx="12">
                  <c:v>-0.806216205320969</c:v>
                </c:pt>
                <c:pt idx="13">
                  <c:v>0.070446076193106</c:v>
                </c:pt>
                <c:pt idx="14">
                  <c:v>-0.148719494185417</c:v>
                </c:pt>
                <c:pt idx="15">
                  <c:v>-0.367885064563931</c:v>
                </c:pt>
                <c:pt idx="16">
                  <c:v>2.04293620959978</c:v>
                </c:pt>
                <c:pt idx="17">
                  <c:v>-0.367885064563931</c:v>
                </c:pt>
                <c:pt idx="18">
                  <c:v>-0.148719494185417</c:v>
                </c:pt>
                <c:pt idx="19">
                  <c:v>0.727942787328666</c:v>
                </c:pt>
                <c:pt idx="20">
                  <c:v>0.508777216950143</c:v>
                </c:pt>
                <c:pt idx="21">
                  <c:v>-0.367885064563931</c:v>
                </c:pt>
                <c:pt idx="22">
                  <c:v>-0.587050634942454</c:v>
                </c:pt>
                <c:pt idx="23">
                  <c:v>0.070446076193106</c:v>
                </c:pt>
                <c:pt idx="24">
                  <c:v>0.070446076193106</c:v>
                </c:pt>
                <c:pt idx="25">
                  <c:v>1.1662739280857</c:v>
                </c:pt>
                <c:pt idx="26">
                  <c:v>-2.12120962759209</c:v>
                </c:pt>
                <c:pt idx="27">
                  <c:v>-0.367885064563931</c:v>
                </c:pt>
              </c:numCache>
            </c:numRef>
          </c:yVal>
        </c:ser>
        <c:axId val="74804028"/>
        <c:axId val="42774012"/>
      </c:scatterChart>
      <c:valAx>
        <c:axId val="74804028"/>
        <c:scaling>
          <c:orientation val="minMax"/>
        </c:scaling>
        <c:delete val="1"/>
        <c:axPos val="b"/>
        <c:majorTickMark val="out"/>
        <c:minorTickMark val="none"/>
        <c:tickLblPos val="nextTo"/>
        <c:crossAx val="4277401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2774012"/>
        <c:scaling>
          <c:orientation val="minMax"/>
        </c:scaling>
        <c:delete val="1"/>
        <c:axPos val="l"/>
        <c:majorTickMark val="out"/>
        <c:minorTickMark val="none"/>
        <c:tickLblPos val="nextTo"/>
        <c:crossAx val="7480402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Sheet1!$AJ$90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95959"/>
            </a:solidFill>
            <a:ln w="47520">
              <a:solidFill>
                <a:srgbClr val="595959"/>
              </a:solidFill>
              <a:custDash/>
              <a:round/>
            </a:ln>
          </c:spPr>
          <c:marker/>
          <c:xVal>
            <c:numRef>
              <c:f>Sheet1!$AI$91:$AI$118</c:f>
              <c:numCache>
                <c:formatCode>General</c:formatCode>
                <c:ptCount val="28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</c:numCache>
            </c:numRef>
          </c:xVal>
          <c:yVal>
            <c:numRef>
              <c:f>Sheet1!$AJ$91:$AJ$118</c:f>
              <c:numCache>
                <c:formatCode>General</c:formatCode>
                <c:ptCount val="28"/>
                <c:pt idx="0">
                  <c:v>-0.290357581425254</c:v>
                </c:pt>
                <c:pt idx="1">
                  <c:v>0.239226391218053</c:v>
                </c:pt>
                <c:pt idx="2">
                  <c:v>0.644525254642978</c:v>
                </c:pt>
                <c:pt idx="3">
                  <c:v>-1.11602500457803</c:v>
                </c:pt>
                <c:pt idx="4">
                  <c:v>-0.288800991974175</c:v>
                </c:pt>
                <c:pt idx="5">
                  <c:v>0.195304801722278</c:v>
                </c:pt>
                <c:pt idx="6">
                  <c:v>-0.710341741153059</c:v>
                </c:pt>
                <c:pt idx="7">
                  <c:v>0.504585523518288</c:v>
                </c:pt>
                <c:pt idx="8">
                  <c:v>-0.0374644219748053</c:v>
                </c:pt>
                <c:pt idx="9">
                  <c:v>0.774352237006285</c:v>
                </c:pt>
                <c:pt idx="10">
                  <c:v>-0.0525622581600255</c:v>
                </c:pt>
                <c:pt idx="11">
                  <c:v>-0.273647195365403</c:v>
                </c:pt>
                <c:pt idx="12">
                  <c:v>-0.457270555508932</c:v>
                </c:pt>
                <c:pt idx="13">
                  <c:v>-0.141932344522551</c:v>
                </c:pt>
                <c:pt idx="14">
                  <c:v>-0.0675953286003726</c:v>
                </c:pt>
                <c:pt idx="15">
                  <c:v>0.56564976863267</c:v>
                </c:pt>
                <c:pt idx="16">
                  <c:v>0.727194315662255</c:v>
                </c:pt>
                <c:pt idx="17">
                  <c:v>0.494321492860573</c:v>
                </c:pt>
                <c:pt idx="18">
                  <c:v>0.655280414565495</c:v>
                </c:pt>
                <c:pt idx="19">
                  <c:v>0.157404460731182</c:v>
                </c:pt>
                <c:pt idx="20">
                  <c:v>0.396067090973483</c:v>
                </c:pt>
                <c:pt idx="21">
                  <c:v>-0.0165506311069828</c:v>
                </c:pt>
                <c:pt idx="22">
                  <c:v>-0.149919636117161</c:v>
                </c:pt>
                <c:pt idx="23">
                  <c:v>-0.15409241471607</c:v>
                </c:pt>
                <c:pt idx="24">
                  <c:v>-0.013842537895437</c:v>
                </c:pt>
                <c:pt idx="25">
                  <c:v>-0.166307183198284</c:v>
                </c:pt>
                <c:pt idx="26">
                  <c:v>-0.821791396811226</c:v>
                </c:pt>
                <c:pt idx="27">
                  <c:v>-0.169366282094703</c:v>
                </c:pt>
              </c:numCache>
            </c:numRef>
          </c:yVal>
        </c:ser>
        <c:ser>
          <c:idx val="1"/>
          <c:order val="1"/>
          <c:tx>
            <c:strRef>
              <c:f>Sheet1!$AK$90</c:f>
              <c:strCache>
                <c:ptCount val="1"/>
                <c:pt idx="0">
                  <c:v>modeled</c:v>
                </c:pt>
              </c:strCache>
            </c:strRef>
          </c:tx>
          <c:spPr>
            <a:solidFill>
              <a:srgbClr val="000000"/>
            </a:solidFill>
            <a:ln w="47520">
              <a:solidFill>
                <a:srgbClr val="000000"/>
              </a:solidFill>
              <a:round/>
            </a:ln>
          </c:spPr>
          <c:marker/>
          <c:xVal>
            <c:numRef>
              <c:f>Sheet1!$AI$91:$AI$118</c:f>
              <c:numCache>
                <c:formatCode>General</c:formatCode>
                <c:ptCount val="28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</c:numCache>
            </c:numRef>
          </c:xVal>
          <c:yVal>
            <c:numRef>
              <c:f>Sheet1!$AK$91:$AK$118</c:f>
              <c:numCache>
                <c:formatCode>General</c:formatCode>
                <c:ptCount val="28"/>
                <c:pt idx="0">
                  <c:v>-2.3318429274791</c:v>
                </c:pt>
                <c:pt idx="1">
                  <c:v>0.086364552869613</c:v>
                </c:pt>
                <c:pt idx="2">
                  <c:v>1.18554977120993</c:v>
                </c:pt>
                <c:pt idx="3">
                  <c:v>-0.792983621802649</c:v>
                </c:pt>
                <c:pt idx="4">
                  <c:v>-0.573146578134582</c:v>
                </c:pt>
                <c:pt idx="5">
                  <c:v>0.52603864020574</c:v>
                </c:pt>
                <c:pt idx="6">
                  <c:v>-0.573146578134582</c:v>
                </c:pt>
                <c:pt idx="7">
                  <c:v>2.28473498955026</c:v>
                </c:pt>
                <c:pt idx="8">
                  <c:v>0.086364552869613</c:v>
                </c:pt>
                <c:pt idx="9">
                  <c:v>0.965712727541867</c:v>
                </c:pt>
                <c:pt idx="10">
                  <c:v>0.306201596537673</c:v>
                </c:pt>
                <c:pt idx="11">
                  <c:v>-0.573146578134582</c:v>
                </c:pt>
                <c:pt idx="12">
                  <c:v>-0.792983621802649</c:v>
                </c:pt>
                <c:pt idx="13">
                  <c:v>0.086364552869613</c:v>
                </c:pt>
                <c:pt idx="14">
                  <c:v>0.086364552869613</c:v>
                </c:pt>
                <c:pt idx="15">
                  <c:v>-0.353309534466514</c:v>
                </c:pt>
                <c:pt idx="16">
                  <c:v>2.06489794588219</c:v>
                </c:pt>
                <c:pt idx="17">
                  <c:v>-0.353309534466514</c:v>
                </c:pt>
                <c:pt idx="18">
                  <c:v>-0.133472490798455</c:v>
                </c:pt>
                <c:pt idx="19">
                  <c:v>0.52603864020574</c:v>
                </c:pt>
                <c:pt idx="20">
                  <c:v>0.306201596537673</c:v>
                </c:pt>
                <c:pt idx="21">
                  <c:v>-0.353309534466514</c:v>
                </c:pt>
                <c:pt idx="22">
                  <c:v>-0.573146578134582</c:v>
                </c:pt>
                <c:pt idx="23">
                  <c:v>0.086364552869613</c:v>
                </c:pt>
                <c:pt idx="24">
                  <c:v>0.086364552869613</c:v>
                </c:pt>
                <c:pt idx="25">
                  <c:v>1.18554977120993</c:v>
                </c:pt>
                <c:pt idx="26">
                  <c:v>-2.11200588381103</c:v>
                </c:pt>
                <c:pt idx="27">
                  <c:v>-0.353309534466514</c:v>
                </c:pt>
              </c:numCache>
            </c:numRef>
          </c:yVal>
        </c:ser>
        <c:axId val="1096834"/>
        <c:axId val="19254052"/>
      </c:scatterChart>
      <c:valAx>
        <c:axId val="1096834"/>
        <c:scaling>
          <c:orientation val="minMax"/>
          <c:max val="2010"/>
        </c:scaling>
        <c:axPos val="b"/>
        <c:majorTickMark val="out"/>
        <c:minorTickMark val="none"/>
        <c:tickLblPos val="nextTo"/>
        <c:crossAx val="1925405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19254052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9683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99ccff"/>
            </a:solidFill>
          </c:spPr>
          <c:marker/>
          <c:xVal>
            <c:numRef>
              <c:f>Sheet3!$A$2:$A$25</c:f>
              <c:numCache>
                <c:formatCode>General</c:formatCode>
                <c:ptCount val="24"/>
                <c:pt idx="0">
                  <c:v>-17.2</c:v>
                </c:pt>
                <c:pt idx="1">
                  <c:v>-4.5</c:v>
                </c:pt>
                <c:pt idx="2">
                  <c:v>-17.2</c:v>
                </c:pt>
                <c:pt idx="3">
                  <c:v>-17.2</c:v>
                </c:pt>
                <c:pt idx="4">
                  <c:v>-9.4</c:v>
                </c:pt>
                <c:pt idx="5">
                  <c:v>-14.3</c:v>
                </c:pt>
                <c:pt idx="6">
                  <c:v>-6.6</c:v>
                </c:pt>
                <c:pt idx="7">
                  <c:v>-9</c:v>
                </c:pt>
                <c:pt idx="8">
                  <c:v>-7.8</c:v>
                </c:pt>
                <c:pt idx="9">
                  <c:v>-5.1</c:v>
                </c:pt>
                <c:pt idx="10">
                  <c:v>-4.8</c:v>
                </c:pt>
                <c:pt idx="11">
                  <c:v>-5.9</c:v>
                </c:pt>
                <c:pt idx="12">
                  <c:v>-8.4</c:v>
                </c:pt>
                <c:pt idx="13">
                  <c:v>-6</c:v>
                </c:pt>
                <c:pt idx="14">
                  <c:v>-9.8</c:v>
                </c:pt>
                <c:pt idx="15">
                  <c:v>-4.4</c:v>
                </c:pt>
                <c:pt idx="16">
                  <c:v>-9.1</c:v>
                </c:pt>
                <c:pt idx="17">
                  <c:v>-7.8</c:v>
                </c:pt>
                <c:pt idx="18">
                  <c:v>-4.6</c:v>
                </c:pt>
                <c:pt idx="19">
                  <c:v>-3.8</c:v>
                </c:pt>
                <c:pt idx="20">
                  <c:v>-7.6</c:v>
                </c:pt>
                <c:pt idx="21">
                  <c:v>-4.09</c:v>
                </c:pt>
                <c:pt idx="22">
                  <c:v>-7.07</c:v>
                </c:pt>
                <c:pt idx="23">
                  <c:v>-7.8</c:v>
                </c:pt>
              </c:numCache>
            </c:numRef>
          </c:xVal>
          <c:yVal>
            <c:numRef>
              <c:f>Sheet3!$B$2:$B$25</c:f>
              <c:numCache>
                <c:formatCode>General</c:formatCode>
                <c:ptCount val="24"/>
                <c:pt idx="0">
                  <c:v>-26.9</c:v>
                </c:pt>
                <c:pt idx="1">
                  <c:v>-13.8</c:v>
                </c:pt>
                <c:pt idx="2">
                  <c:v>-27.5</c:v>
                </c:pt>
                <c:pt idx="3">
                  <c:v>-27.3</c:v>
                </c:pt>
                <c:pt idx="4">
                  <c:v>-20.7</c:v>
                </c:pt>
                <c:pt idx="5">
                  <c:v>-26.3</c:v>
                </c:pt>
                <c:pt idx="6">
                  <c:v>-18.2</c:v>
                </c:pt>
                <c:pt idx="7">
                  <c:v>-20.1</c:v>
                </c:pt>
                <c:pt idx="8">
                  <c:v>-18.4</c:v>
                </c:pt>
                <c:pt idx="9">
                  <c:v>-15.2</c:v>
                </c:pt>
                <c:pt idx="10">
                  <c:v>-14.6</c:v>
                </c:pt>
                <c:pt idx="11">
                  <c:v>-15.4</c:v>
                </c:pt>
                <c:pt idx="12">
                  <c:v>-17.9</c:v>
                </c:pt>
                <c:pt idx="13">
                  <c:v>-15.7</c:v>
                </c:pt>
                <c:pt idx="14">
                  <c:v>-19.7</c:v>
                </c:pt>
                <c:pt idx="15">
                  <c:v>-20.1</c:v>
                </c:pt>
                <c:pt idx="16">
                  <c:v>-18.8</c:v>
                </c:pt>
                <c:pt idx="17">
                  <c:v>-17.4</c:v>
                </c:pt>
                <c:pt idx="18">
                  <c:v>-14.2</c:v>
                </c:pt>
                <c:pt idx="19">
                  <c:v>-13.7</c:v>
                </c:pt>
                <c:pt idx="20">
                  <c:v>-17.7</c:v>
                </c:pt>
                <c:pt idx="21">
                  <c:v>-13.92</c:v>
                </c:pt>
                <c:pt idx="22">
                  <c:v>-17.21</c:v>
                </c:pt>
                <c:pt idx="23">
                  <c:v>-18.5</c:v>
                </c:pt>
              </c:numCache>
            </c:numRef>
          </c:yVal>
        </c:ser>
        <c:axId val="21269141"/>
        <c:axId val="89047827"/>
      </c:scatterChart>
      <c:valAx>
        <c:axId val="21269141"/>
        <c:scaling>
          <c:orientation val="minMax"/>
        </c:scaling>
        <c:delete val="1"/>
        <c:axPos val="b"/>
        <c:majorTickMark val="out"/>
        <c:minorTickMark val="none"/>
        <c:tickLblPos val="nextTo"/>
        <c:crossAx val="89047827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89047827"/>
        <c:scaling>
          <c:orientation val="minMax"/>
        </c:scaling>
        <c:delete val="1"/>
        <c:axPos val="l"/>
        <c:majorTickMark val="out"/>
        <c:minorTickMark val="none"/>
        <c:tickLblPos val="nextTo"/>
        <c:crossAx val="212691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solidFill>
              <a:srgbClr val="99ccff"/>
            </a:solidFill>
          </c:spPr>
          <c:marker/>
          <c:xVal>
            <c:numRef>
              <c:f>Sheet4!$X$16:$X$51</c:f>
              <c:numCache>
                <c:formatCode>General</c:formatCode>
                <c:ptCount val="36"/>
                <c:pt idx="0">
                  <c:v>1995</c:v>
                </c:pt>
                <c:pt idx="1">
                  <c:v>1994</c:v>
                </c:pt>
                <c:pt idx="2">
                  <c:v>1993</c:v>
                </c:pt>
                <c:pt idx="3">
                  <c:v>1992</c:v>
                </c:pt>
                <c:pt idx="4">
                  <c:v>1991</c:v>
                </c:pt>
                <c:pt idx="5">
                  <c:v>1990</c:v>
                </c:pt>
                <c:pt idx="6">
                  <c:v>1989</c:v>
                </c:pt>
                <c:pt idx="7">
                  <c:v>1988</c:v>
                </c:pt>
                <c:pt idx="8">
                  <c:v>1987</c:v>
                </c:pt>
                <c:pt idx="9">
                  <c:v>1986</c:v>
                </c:pt>
                <c:pt idx="10">
                  <c:v>1985</c:v>
                </c:pt>
                <c:pt idx="11">
                  <c:v>1984</c:v>
                </c:pt>
                <c:pt idx="12">
                  <c:v>1983</c:v>
                </c:pt>
                <c:pt idx="13">
                  <c:v>1982</c:v>
                </c:pt>
                <c:pt idx="14">
                  <c:v>1981</c:v>
                </c:pt>
                <c:pt idx="15">
                  <c:v>1980</c:v>
                </c:pt>
                <c:pt idx="16">
                  <c:v>1979</c:v>
                </c:pt>
                <c:pt idx="17">
                  <c:v>1978</c:v>
                </c:pt>
                <c:pt idx="18">
                  <c:v>1977</c:v>
                </c:pt>
                <c:pt idx="19">
                  <c:v>1976</c:v>
                </c:pt>
                <c:pt idx="20">
                  <c:v>1975</c:v>
                </c:pt>
                <c:pt idx="21">
                  <c:v>1974</c:v>
                </c:pt>
                <c:pt idx="22">
                  <c:v>1973</c:v>
                </c:pt>
                <c:pt idx="23">
                  <c:v>1972</c:v>
                </c:pt>
                <c:pt idx="24">
                  <c:v>1971</c:v>
                </c:pt>
                <c:pt idx="25">
                  <c:v>1970</c:v>
                </c:pt>
                <c:pt idx="26">
                  <c:v>1969</c:v>
                </c:pt>
                <c:pt idx="27">
                  <c:v>1968</c:v>
                </c:pt>
                <c:pt idx="28">
                  <c:v>1967</c:v>
                </c:pt>
                <c:pt idx="29">
                  <c:v>1966</c:v>
                </c:pt>
                <c:pt idx="30">
                  <c:v>1965</c:v>
                </c:pt>
                <c:pt idx="31">
                  <c:v>1964</c:v>
                </c:pt>
                <c:pt idx="32">
                  <c:v>1963</c:v>
                </c:pt>
                <c:pt idx="33">
                  <c:v>1962</c:v>
                </c:pt>
                <c:pt idx="34">
                  <c:v>1961</c:v>
                </c:pt>
                <c:pt idx="35">
                  <c:v>1960</c:v>
                </c:pt>
              </c:numCache>
            </c:numRef>
          </c:xVal>
          <c:yVal>
            <c:numRef>
              <c:f>Sheet4!$Y$16:$Y$51</c:f>
              <c:numCache>
                <c:formatCode>General</c:formatCode>
                <c:ptCount val="36"/>
                <c:pt idx="0">
                  <c:v>0.24734605506512</c:v>
                </c:pt>
                <c:pt idx="1">
                  <c:v>0.107018947076846</c:v>
                </c:pt>
                <c:pt idx="2">
                  <c:v>0.0522264294838219</c:v>
                </c:pt>
                <c:pt idx="3">
                  <c:v>-0.680914152057983</c:v>
                </c:pt>
                <c:pt idx="4">
                  <c:v>0.390191379765985</c:v>
                </c:pt>
                <c:pt idx="5">
                  <c:v>0.949792653944522</c:v>
                </c:pt>
                <c:pt idx="6">
                  <c:v>-0.498217294783597</c:v>
                </c:pt>
                <c:pt idx="7">
                  <c:v>-0.720641068281589</c:v>
                </c:pt>
                <c:pt idx="8">
                  <c:v>-0.205027006273063</c:v>
                </c:pt>
                <c:pt idx="9">
                  <c:v>0.00366008492864509</c:v>
                </c:pt>
                <c:pt idx="10">
                  <c:v>-0.797725141665978</c:v>
                </c:pt>
                <c:pt idx="11">
                  <c:v>0.26131441948708</c:v>
                </c:pt>
                <c:pt idx="12">
                  <c:v>-0.133884116946192</c:v>
                </c:pt>
                <c:pt idx="13">
                  <c:v>0.382254898182872</c:v>
                </c:pt>
                <c:pt idx="14">
                  <c:v>0.336672309349535</c:v>
                </c:pt>
                <c:pt idx="15">
                  <c:v>-0.106898932347621</c:v>
                </c:pt>
                <c:pt idx="16">
                  <c:v>0.0729829002424595</c:v>
                </c:pt>
                <c:pt idx="17">
                  <c:v>0.551101248480799</c:v>
                </c:pt>
                <c:pt idx="18">
                  <c:v>-0.398287787303149</c:v>
                </c:pt>
                <c:pt idx="19">
                  <c:v>0.14281593990298</c:v>
                </c:pt>
                <c:pt idx="20">
                  <c:v>-0.0977094187946156</c:v>
                </c:pt>
                <c:pt idx="21">
                  <c:v>-0.468497326200123</c:v>
                </c:pt>
                <c:pt idx="22">
                  <c:v>-0.132057102397988</c:v>
                </c:pt>
                <c:pt idx="23">
                  <c:v>-0.192459294108382</c:v>
                </c:pt>
                <c:pt idx="24">
                  <c:v>0.2226070969919</c:v>
                </c:pt>
                <c:pt idx="25">
                  <c:v>-0.0706203130943888</c:v>
                </c:pt>
                <c:pt idx="26">
                  <c:v>-0.00507460917209868</c:v>
                </c:pt>
                <c:pt idx="27">
                  <c:v>0.293243987149858</c:v>
                </c:pt>
                <c:pt idx="28">
                  <c:v>-0.376377212654944</c:v>
                </c:pt>
                <c:pt idx="29">
                  <c:v>-0.392672957300978</c:v>
                </c:pt>
                <c:pt idx="30">
                  <c:v>-0.146200559766424</c:v>
                </c:pt>
                <c:pt idx="31">
                  <c:v>-0.0606215586398477</c:v>
                </c:pt>
                <c:pt idx="32">
                  <c:v>0.735691962450724</c:v>
                </c:pt>
                <c:pt idx="33">
                  <c:v>0.0385527279542394</c:v>
                </c:pt>
                <c:pt idx="34">
                  <c:v>1.05170642344333</c:v>
                </c:pt>
                <c:pt idx="35">
                  <c:v>-1.17974197245604</c:v>
                </c:pt>
              </c:numCache>
            </c:numRef>
          </c:yVal>
        </c:ser>
        <c:axId val="71184065"/>
        <c:axId val="53130771"/>
      </c:scatterChart>
      <c:valAx>
        <c:axId val="71184065"/>
        <c:scaling>
          <c:orientation val="minMax"/>
        </c:scaling>
        <c:delete val="1"/>
        <c:axPos val="b"/>
        <c:majorTickMark val="out"/>
        <c:minorTickMark val="none"/>
        <c:tickLblPos val="nextTo"/>
        <c:crossAx val="5313077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3130771"/>
        <c:scaling>
          <c:orientation val="minMax"/>
        </c:scaling>
        <c:delete val="1"/>
        <c:axPos val="l"/>
        <c:majorTickMark val="out"/>
        <c:minorTickMark val="none"/>
        <c:tickLblPos val="nextTo"/>
        <c:crossAx val="7118406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'MVP correlation and plots'!$B$4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plots'!$B$5:$B$54</c:f>
              <c:numCache>
                <c:formatCode>General</c:formatCode>
                <c:ptCount val="50"/>
                <c:pt idx="0">
                  <c:v>-0.290357581425254</c:v>
                </c:pt>
                <c:pt idx="1">
                  <c:v>0.239226391218053</c:v>
                </c:pt>
                <c:pt idx="2">
                  <c:v>0.644525254642978</c:v>
                </c:pt>
                <c:pt idx="3">
                  <c:v>-1.11602500457803</c:v>
                </c:pt>
                <c:pt idx="4">
                  <c:v>-0.288800991974175</c:v>
                </c:pt>
                <c:pt idx="5">
                  <c:v>0.195304801722278</c:v>
                </c:pt>
                <c:pt idx="6">
                  <c:v>-0.710341741153059</c:v>
                </c:pt>
                <c:pt idx="7">
                  <c:v>0.504585523518288</c:v>
                </c:pt>
                <c:pt idx="8">
                  <c:v>-0.0374644219748053</c:v>
                </c:pt>
                <c:pt idx="9">
                  <c:v>0.774352237006285</c:v>
                </c:pt>
                <c:pt idx="10">
                  <c:v>-0.0525622581600255</c:v>
                </c:pt>
                <c:pt idx="11">
                  <c:v>-0.273647195365403</c:v>
                </c:pt>
                <c:pt idx="12">
                  <c:v>-0.457270555508932</c:v>
                </c:pt>
                <c:pt idx="13">
                  <c:v>-0.141932344522551</c:v>
                </c:pt>
                <c:pt idx="14">
                  <c:v>-0.0675953286003726</c:v>
                </c:pt>
                <c:pt idx="15">
                  <c:v>0.56564976863267</c:v>
                </c:pt>
                <c:pt idx="16">
                  <c:v>0.727194315662255</c:v>
                </c:pt>
                <c:pt idx="17">
                  <c:v>0.494321492860573</c:v>
                </c:pt>
                <c:pt idx="18">
                  <c:v>0.655280414565495</c:v>
                </c:pt>
                <c:pt idx="19">
                  <c:v>0.157404460731182</c:v>
                </c:pt>
                <c:pt idx="20">
                  <c:v>0.396067090973483</c:v>
                </c:pt>
                <c:pt idx="21">
                  <c:v>-0.0165506311069828</c:v>
                </c:pt>
                <c:pt idx="22">
                  <c:v>-0.149919636117161</c:v>
                </c:pt>
                <c:pt idx="23">
                  <c:v>-0.15409241471607</c:v>
                </c:pt>
                <c:pt idx="24">
                  <c:v>-0.013842537895437</c:v>
                </c:pt>
                <c:pt idx="25">
                  <c:v>-0.166307183198284</c:v>
                </c:pt>
                <c:pt idx="26">
                  <c:v>-0.821791396811226</c:v>
                </c:pt>
                <c:pt idx="27">
                  <c:v>-0.169366282094703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'MVP correlation and plots'!$G$4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plots'!$G$5:$G$54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0.24734605506512</c:v>
                </c:pt>
                <c:pt idx="15">
                  <c:v>0.107018947076846</c:v>
                </c:pt>
                <c:pt idx="16">
                  <c:v>0.0522264294838219</c:v>
                </c:pt>
                <c:pt idx="17">
                  <c:v>-0.680914152057983</c:v>
                </c:pt>
                <c:pt idx="18">
                  <c:v>0.390191379765985</c:v>
                </c:pt>
                <c:pt idx="19">
                  <c:v>0.949792653944522</c:v>
                </c:pt>
                <c:pt idx="20">
                  <c:v>-0.498217294783597</c:v>
                </c:pt>
                <c:pt idx="21">
                  <c:v>-0.720641068281589</c:v>
                </c:pt>
                <c:pt idx="22">
                  <c:v>-0.205027006273063</c:v>
                </c:pt>
                <c:pt idx="23">
                  <c:v>0.00366008492864509</c:v>
                </c:pt>
                <c:pt idx="24">
                  <c:v>-0.797725141665978</c:v>
                </c:pt>
                <c:pt idx="25">
                  <c:v>0.26131441948708</c:v>
                </c:pt>
                <c:pt idx="26">
                  <c:v>-0.133884116946192</c:v>
                </c:pt>
                <c:pt idx="27">
                  <c:v>0.382254898182872</c:v>
                </c:pt>
                <c:pt idx="28">
                  <c:v>0.336672309349535</c:v>
                </c:pt>
                <c:pt idx="29">
                  <c:v>-0.106898932347621</c:v>
                </c:pt>
                <c:pt idx="30">
                  <c:v>0.0729829002424595</c:v>
                </c:pt>
                <c:pt idx="31">
                  <c:v>0.551101248480799</c:v>
                </c:pt>
                <c:pt idx="32">
                  <c:v>-0.398287787303149</c:v>
                </c:pt>
                <c:pt idx="33">
                  <c:v>0.14281593990298</c:v>
                </c:pt>
                <c:pt idx="34">
                  <c:v>-0.0977094187946156</c:v>
                </c:pt>
                <c:pt idx="35">
                  <c:v>-0.468497326200123</c:v>
                </c:pt>
                <c:pt idx="36">
                  <c:v>-0.132057102397988</c:v>
                </c:pt>
                <c:pt idx="37">
                  <c:v>-0.192459294108382</c:v>
                </c:pt>
                <c:pt idx="38">
                  <c:v>0.2226070969919</c:v>
                </c:pt>
                <c:pt idx="39">
                  <c:v>-0.0706203130943888</c:v>
                </c:pt>
                <c:pt idx="40">
                  <c:v>-0.00507460917209868</c:v>
                </c:pt>
                <c:pt idx="41">
                  <c:v>0.293243987149858</c:v>
                </c:pt>
                <c:pt idx="42">
                  <c:v>-0.376377212654944</c:v>
                </c:pt>
                <c:pt idx="43">
                  <c:v>-0.392672957300978</c:v>
                </c:pt>
                <c:pt idx="44">
                  <c:v>-0.146200559766424</c:v>
                </c:pt>
                <c:pt idx="45">
                  <c:v>-0.0606215586398477</c:v>
                </c:pt>
                <c:pt idx="46">
                  <c:v>0.735691962450724</c:v>
                </c:pt>
                <c:pt idx="47">
                  <c:v>0.0385527279542394</c:v>
                </c:pt>
                <c:pt idx="48">
                  <c:v>1.05170642344333</c:v>
                </c:pt>
                <c:pt idx="49">
                  <c:v>-1.17974197245604</c:v>
                </c:pt>
              </c:numCache>
            </c:numRef>
          </c:yVal>
        </c:ser>
        <c:axId val="5099346"/>
        <c:axId val="54778308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'MVP correlation and plots'!$F$5:$F$52</c:f>
              <c:numCache>
                <c:formatCode>General</c:formatCode>
                <c:ptCount val="48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</c:numCache>
            </c:numRef>
          </c:xVal>
          <c:yVal>
            <c:numRef>
              <c:f>'MVP correlation and plots'!$K$5:$K$52</c:f>
              <c:numCache>
                <c:formatCode>General</c:formatCode>
                <c:ptCount val="48"/>
                <c:pt idx="0">
                  <c:v>13.6333333333333</c:v>
                </c:pt>
                <c:pt idx="1">
                  <c:v>13</c:v>
                </c:pt>
                <c:pt idx="2">
                  <c:v>12.9</c:v>
                </c:pt>
                <c:pt idx="3">
                  <c:v>13.4333333333333</c:v>
                </c:pt>
                <c:pt idx="4">
                  <c:v>13.3666666666667</c:v>
                </c:pt>
                <c:pt idx="5">
                  <c:v>12.8666666666667</c:v>
                </c:pt>
                <c:pt idx="6">
                  <c:v>13.2333333333333</c:v>
                </c:pt>
                <c:pt idx="7">
                  <c:v>12.1333333333333</c:v>
                </c:pt>
                <c:pt idx="8">
                  <c:v>13.8666666666667</c:v>
                </c:pt>
                <c:pt idx="9">
                  <c:v>12.8666666666667</c:v>
                </c:pt>
                <c:pt idx="10">
                  <c:v>13.8</c:v>
                </c:pt>
                <c:pt idx="11">
                  <c:v>13.8666666666667</c:v>
                </c:pt>
                <c:pt idx="12">
                  <c:v>12.9666666666667</c:v>
                </c:pt>
                <c:pt idx="13">
                  <c:v>13.1</c:v>
                </c:pt>
                <c:pt idx="14">
                  <c:v>13.2</c:v>
                </c:pt>
                <c:pt idx="15">
                  <c:v>12.5</c:v>
                </c:pt>
                <c:pt idx="16">
                  <c:v>11.9</c:v>
                </c:pt>
                <c:pt idx="17">
                  <c:v>12.4333333333333</c:v>
                </c:pt>
                <c:pt idx="18">
                  <c:v>12.2666666666667</c:v>
                </c:pt>
                <c:pt idx="19">
                  <c:v>13</c:v>
                </c:pt>
                <c:pt idx="20">
                  <c:v>13.3666666666667</c:v>
                </c:pt>
                <c:pt idx="21">
                  <c:v>13.9333333333333</c:v>
                </c:pt>
                <c:pt idx="22">
                  <c:v>13.4333333333333</c:v>
                </c:pt>
                <c:pt idx="23">
                  <c:v>13.1</c:v>
                </c:pt>
                <c:pt idx="24">
                  <c:v>13.3666666666667</c:v>
                </c:pt>
                <c:pt idx="25">
                  <c:v>13.4666666666667</c:v>
                </c:pt>
                <c:pt idx="26">
                  <c:v>13.7</c:v>
                </c:pt>
                <c:pt idx="27">
                  <c:v>12.7666666666667</c:v>
                </c:pt>
                <c:pt idx="28">
                  <c:v>12.9</c:v>
                </c:pt>
                <c:pt idx="29">
                  <c:v>13.2333333333333</c:v>
                </c:pt>
                <c:pt idx="30">
                  <c:v>13.5333333333333</c:v>
                </c:pt>
                <c:pt idx="31">
                  <c:v>12.5</c:v>
                </c:pt>
                <c:pt idx="32">
                  <c:v>11.7666666666667</c:v>
                </c:pt>
                <c:pt idx="33">
                  <c:v>12.6333333333333</c:v>
                </c:pt>
                <c:pt idx="34">
                  <c:v>13.5333333333333</c:v>
                </c:pt>
                <c:pt idx="35">
                  <c:v>13.7</c:v>
                </c:pt>
                <c:pt idx="36">
                  <c:v>14.7</c:v>
                </c:pt>
                <c:pt idx="37">
                  <c:v>13.9</c:v>
                </c:pt>
                <c:pt idx="38">
                  <c:v>13.4666666666667</c:v>
                </c:pt>
                <c:pt idx="39">
                  <c:v>14.0666666666667</c:v>
                </c:pt>
                <c:pt idx="40">
                  <c:v>13.5</c:v>
                </c:pt>
                <c:pt idx="41">
                  <c:v>12.6333333333333</c:v>
                </c:pt>
                <c:pt idx="42">
                  <c:v>13.9333333333333</c:v>
                </c:pt>
                <c:pt idx="43">
                  <c:v>12.7666666666667</c:v>
                </c:pt>
                <c:pt idx="44">
                  <c:v>13.75</c:v>
                </c:pt>
                <c:pt idx="45">
                  <c:v>12.9333333333333</c:v>
                </c:pt>
                <c:pt idx="46">
                  <c:v>12.9333333333333</c:v>
                </c:pt>
                <c:pt idx="47">
                  <c:v>14.6</c:v>
                </c:pt>
              </c:numCache>
            </c:numRef>
          </c:yVal>
        </c:ser>
        <c:axId val="35024440"/>
        <c:axId val="20890127"/>
      </c:scatterChart>
      <c:valAx>
        <c:axId val="509934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78308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4778308"/>
        <c:scaling>
          <c:orientation val="minMax"/>
        </c:scaling>
        <c:delete val="1"/>
        <c:axPos val="l"/>
        <c:majorTickMark val="out"/>
        <c:minorTickMark val="none"/>
        <c:tickLblPos val="nextTo"/>
        <c:crossAx val="509934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35024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890127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0890127"/>
        <c:scaling>
          <c:orientation val="minMax"/>
        </c:scaling>
        <c:delete val="1"/>
        <c:axPos val="l"/>
        <c:majorTickMark val="out"/>
        <c:minorTickMark val="none"/>
        <c:tickLblPos val="nextTo"/>
        <c:crossAx val="350244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'MVP correlation and plots'!$C$4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plots'!$C$5:$C$54</c:f>
              <c:numCache>
                <c:formatCode>General</c:formatCode>
                <c:ptCount val="50"/>
                <c:pt idx="0">
                  <c:v>NaN</c:v>
                </c:pt>
                <c:pt idx="1">
                  <c:v>0.197798021478592</c:v>
                </c:pt>
                <c:pt idx="2">
                  <c:v>-0.0774244529056648</c:v>
                </c:pt>
                <c:pt idx="3">
                  <c:v>-0.253433580636408</c:v>
                </c:pt>
                <c:pt idx="4">
                  <c:v>-0.403173731609974</c:v>
                </c:pt>
                <c:pt idx="5">
                  <c:v>-0.267945977134985</c:v>
                </c:pt>
                <c:pt idx="6">
                  <c:v>-0.00348380530416451</c:v>
                </c:pt>
                <c:pt idx="7">
                  <c:v>-0.0810735465365255</c:v>
                </c:pt>
                <c:pt idx="8">
                  <c:v>0.413824446183256</c:v>
                </c:pt>
                <c:pt idx="9">
                  <c:v>0.228108518957152</c:v>
                </c:pt>
                <c:pt idx="10">
                  <c:v>0.149380927826952</c:v>
                </c:pt>
                <c:pt idx="11">
                  <c:v>-0.261160003011453</c:v>
                </c:pt>
                <c:pt idx="12">
                  <c:v>-0.290950031798962</c:v>
                </c:pt>
                <c:pt idx="13">
                  <c:v>-0.222266076210618</c:v>
                </c:pt>
                <c:pt idx="14">
                  <c:v>0.118707365169916</c:v>
                </c:pt>
                <c:pt idx="15">
                  <c:v>0.408416251898184</c:v>
                </c:pt>
                <c:pt idx="16">
                  <c:v>0.595721859051833</c:v>
                </c:pt>
                <c:pt idx="17">
                  <c:v>0.625598741029441</c:v>
                </c:pt>
                <c:pt idx="18">
                  <c:v>0.43566878938575</c:v>
                </c:pt>
                <c:pt idx="19">
                  <c:v>0.402917322090053</c:v>
                </c:pt>
                <c:pt idx="20">
                  <c:v>0.178973640199227</c:v>
                </c:pt>
                <c:pt idx="21">
                  <c:v>0.0765322745831129</c:v>
                </c:pt>
                <c:pt idx="22">
                  <c:v>-0.106854227313405</c:v>
                </c:pt>
                <c:pt idx="23">
                  <c:v>-0.105951529576223</c:v>
                </c:pt>
                <c:pt idx="24">
                  <c:v>-0.111414045269931</c:v>
                </c:pt>
                <c:pt idx="25">
                  <c:v>-0.333980372634982</c:v>
                </c:pt>
                <c:pt idx="26">
                  <c:v>-0.385821620701405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'MVP correlation and plots'!$H$4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plots'!$H$5:$H$54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0.135530477208596</c:v>
                </c:pt>
                <c:pt idx="16">
                  <c:v>-0.173889591832438</c:v>
                </c:pt>
                <c:pt idx="17">
                  <c:v>-0.0794987809360589</c:v>
                </c:pt>
                <c:pt idx="18">
                  <c:v>0.219689960550841</c:v>
                </c:pt>
                <c:pt idx="19">
                  <c:v>0.280588912975637</c:v>
                </c:pt>
                <c:pt idx="20">
                  <c:v>-0.0896885697068879</c:v>
                </c:pt>
                <c:pt idx="21">
                  <c:v>-0.474628456446083</c:v>
                </c:pt>
                <c:pt idx="22">
                  <c:v>-0.307335996542002</c:v>
                </c:pt>
                <c:pt idx="23">
                  <c:v>-0.333030687670132</c:v>
                </c:pt>
                <c:pt idx="24">
                  <c:v>-0.177583545750084</c:v>
                </c:pt>
                <c:pt idx="25">
                  <c:v>-0.223431613041697</c:v>
                </c:pt>
                <c:pt idx="26">
                  <c:v>0.16989506690792</c:v>
                </c:pt>
                <c:pt idx="27">
                  <c:v>0.195014363528738</c:v>
                </c:pt>
                <c:pt idx="28">
                  <c:v>0.204009425061595</c:v>
                </c:pt>
                <c:pt idx="29">
                  <c:v>0.100918759081458</c:v>
                </c:pt>
                <c:pt idx="30">
                  <c:v>0.172395072125213</c:v>
                </c:pt>
                <c:pt idx="31">
                  <c:v>0.0752654538067032</c:v>
                </c:pt>
                <c:pt idx="32">
                  <c:v>0.0985431336935432</c:v>
                </c:pt>
                <c:pt idx="33">
                  <c:v>-0.117727088731595</c:v>
                </c:pt>
                <c:pt idx="34">
                  <c:v>-0.14113026836392</c:v>
                </c:pt>
                <c:pt idx="35">
                  <c:v>-0.232754615797576</c:v>
                </c:pt>
                <c:pt idx="36">
                  <c:v>-0.264337907568831</c:v>
                </c:pt>
                <c:pt idx="37">
                  <c:v>-0.0339697665048233</c:v>
                </c:pt>
                <c:pt idx="38">
                  <c:v>-0.0134908367369569</c:v>
                </c:pt>
                <c:pt idx="39">
                  <c:v>0.0489707249084708</c:v>
                </c:pt>
                <c:pt idx="40">
                  <c:v>0.0725163549611234</c:v>
                </c:pt>
                <c:pt idx="41">
                  <c:v>-0.0294026115590617</c:v>
                </c:pt>
                <c:pt idx="42">
                  <c:v>-0.158602060935355</c:v>
                </c:pt>
                <c:pt idx="43">
                  <c:v>-0.305083576574115</c:v>
                </c:pt>
                <c:pt idx="44">
                  <c:v>-0.199831691902416</c:v>
                </c:pt>
                <c:pt idx="45">
                  <c:v>0.176289948014817</c:v>
                </c:pt>
                <c:pt idx="46">
                  <c:v>0.237874377255039</c:v>
                </c:pt>
                <c:pt idx="47">
                  <c:v>0.608650371282765</c:v>
                </c:pt>
                <c:pt idx="48">
                  <c:v>-0.0298276070194883</c:v>
                </c:pt>
                <c:pt idx="49">
                  <c:v>NaN</c:v>
                </c:pt>
              </c:numCache>
            </c:numRef>
          </c:yVal>
        </c:ser>
        <c:axId val="65216167"/>
        <c:axId val="77174973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'MVP correlation and plots'!$A$5:$A$51</c:f>
              <c:numCache>
                <c:formatCode>General</c:formatCode>
                <c:ptCount val="47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</c:numCache>
            </c:numRef>
          </c:xVal>
          <c:yVal>
            <c:numRef>
              <c:f>'MVP correlation and plots'!$L$5:$L$51</c:f>
              <c:numCache>
                <c:formatCode>General</c:formatCode>
                <c:ptCount val="47"/>
                <c:pt idx="0">
                  <c:v>13.3777777777778</c:v>
                </c:pt>
                <c:pt idx="1">
                  <c:v>13.1777777777778</c:v>
                </c:pt>
                <c:pt idx="2">
                  <c:v>13.1111111111111</c:v>
                </c:pt>
                <c:pt idx="3">
                  <c:v>13.2333333333333</c:v>
                </c:pt>
                <c:pt idx="4">
                  <c:v>13.2222222222222</c:v>
                </c:pt>
                <c:pt idx="5">
                  <c:v>13.1555555555556</c:v>
                </c:pt>
                <c:pt idx="6">
                  <c:v>12.7444444444444</c:v>
                </c:pt>
                <c:pt idx="7">
                  <c:v>13.0777777777778</c:v>
                </c:pt>
                <c:pt idx="8">
                  <c:v>12.9555555555556</c:v>
                </c:pt>
                <c:pt idx="9">
                  <c:v>13.5111111111111</c:v>
                </c:pt>
                <c:pt idx="10">
                  <c:v>13.5111111111111</c:v>
                </c:pt>
                <c:pt idx="11">
                  <c:v>13.5444444444444</c:v>
                </c:pt>
                <c:pt idx="12">
                  <c:v>13.3111111111111</c:v>
                </c:pt>
                <c:pt idx="13">
                  <c:v>13.0888888888889</c:v>
                </c:pt>
                <c:pt idx="14">
                  <c:v>12.9333333333333</c:v>
                </c:pt>
                <c:pt idx="15">
                  <c:v>12.5333333333333</c:v>
                </c:pt>
                <c:pt idx="16">
                  <c:v>12.2777777777778</c:v>
                </c:pt>
                <c:pt idx="17">
                  <c:v>12.2</c:v>
                </c:pt>
                <c:pt idx="18">
                  <c:v>12.5666666666667</c:v>
                </c:pt>
                <c:pt idx="19">
                  <c:v>12.8777777777778</c:v>
                </c:pt>
                <c:pt idx="20">
                  <c:v>13.4333333333333</c:v>
                </c:pt>
                <c:pt idx="21">
                  <c:v>13.5777777777778</c:v>
                </c:pt>
                <c:pt idx="22">
                  <c:v>13.4888888888889</c:v>
                </c:pt>
                <c:pt idx="23">
                  <c:v>13.3</c:v>
                </c:pt>
                <c:pt idx="24">
                  <c:v>13.3111111111111</c:v>
                </c:pt>
                <c:pt idx="25">
                  <c:v>13.5111111111111</c:v>
                </c:pt>
                <c:pt idx="26">
                  <c:v>13.3111111111111</c:v>
                </c:pt>
                <c:pt idx="27">
                  <c:v>13.1222222222222</c:v>
                </c:pt>
                <c:pt idx="28">
                  <c:v>12.9666666666667</c:v>
                </c:pt>
                <c:pt idx="29">
                  <c:v>13.2222222222222</c:v>
                </c:pt>
                <c:pt idx="30">
                  <c:v>13.0888888888889</c:v>
                </c:pt>
                <c:pt idx="31">
                  <c:v>12.6</c:v>
                </c:pt>
                <c:pt idx="32">
                  <c:v>12.3</c:v>
                </c:pt>
                <c:pt idx="33">
                  <c:v>12.6444444444444</c:v>
                </c:pt>
                <c:pt idx="34">
                  <c:v>13.2888888888889</c:v>
                </c:pt>
                <c:pt idx="35">
                  <c:v>13.9777777777778</c:v>
                </c:pt>
                <c:pt idx="36">
                  <c:v>14.1</c:v>
                </c:pt>
                <c:pt idx="37">
                  <c:v>14.0222222222222</c:v>
                </c:pt>
                <c:pt idx="38">
                  <c:v>13.8111111111111</c:v>
                </c:pt>
                <c:pt idx="39">
                  <c:v>13.6777777777778</c:v>
                </c:pt>
                <c:pt idx="40">
                  <c:v>13.4</c:v>
                </c:pt>
                <c:pt idx="41">
                  <c:v>13.3555555555556</c:v>
                </c:pt>
                <c:pt idx="42">
                  <c:v>13.1111111111111</c:v>
                </c:pt>
                <c:pt idx="43">
                  <c:v>13.4833333333333</c:v>
                </c:pt>
                <c:pt idx="44">
                  <c:v>13.15</c:v>
                </c:pt>
                <c:pt idx="45">
                  <c:v>13.2055555555556</c:v>
                </c:pt>
                <c:pt idx="46">
                  <c:v>13.4888888888889</c:v>
                </c:pt>
              </c:numCache>
            </c:numRef>
          </c:yVal>
        </c:ser>
        <c:axId val="83931785"/>
        <c:axId val="41662399"/>
      </c:scatterChart>
      <c:valAx>
        <c:axId val="65216167"/>
        <c:scaling>
          <c:orientation val="minMax"/>
        </c:scaling>
        <c:delete val="1"/>
        <c:axPos val="b"/>
        <c:majorTickMark val="out"/>
        <c:minorTickMark val="none"/>
        <c:tickLblPos val="nextTo"/>
        <c:crossAx val="77174973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7174973"/>
        <c:scaling>
          <c:orientation val="minMax"/>
        </c:scaling>
        <c:delete val="1"/>
        <c:axPos val="l"/>
        <c:majorTickMark val="out"/>
        <c:minorTickMark val="none"/>
        <c:tickLblPos val="nextTo"/>
        <c:crossAx val="65216167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83931785"/>
        <c:scaling>
          <c:orientation val="minMax"/>
        </c:scaling>
        <c:delete val="1"/>
        <c:axPos val="b"/>
        <c:majorTickMark val="out"/>
        <c:minorTickMark val="none"/>
        <c:tickLblPos val="nextTo"/>
        <c:crossAx val="41662399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1662399"/>
        <c:scaling>
          <c:orientation val="minMax"/>
        </c:scaling>
        <c:delete val="1"/>
        <c:axPos val="l"/>
        <c:majorTickMark val="out"/>
        <c:minorTickMark val="none"/>
        <c:tickLblPos val="nextTo"/>
        <c:crossAx val="8393178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'MVP correlation and plots'!$D$4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plots'!$D$5:$D$54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-0.162286386423285</c:v>
                </c:pt>
                <c:pt idx="3">
                  <c:v>-0.0651539097937784</c:v>
                </c:pt>
                <c:pt idx="4">
                  <c:v>-0.255067536268001</c:v>
                </c:pt>
                <c:pt idx="5">
                  <c:v>-0.283055482492939</c:v>
                </c:pt>
                <c:pt idx="6">
                  <c:v>-0.0673433659722948</c:v>
                </c:pt>
                <c:pt idx="7">
                  <c:v>0.145287279823797</c:v>
                </c:pt>
                <c:pt idx="8">
                  <c:v>0.0957138678473367</c:v>
                </c:pt>
                <c:pt idx="9">
                  <c:v>0.183052777004868</c:v>
                </c:pt>
                <c:pt idx="10">
                  <c:v>-0.00931843880057593</c:v>
                </c:pt>
                <c:pt idx="11">
                  <c:v>-0.030212023310125</c:v>
                </c:pt>
                <c:pt idx="12">
                  <c:v>-0.198601536431457</c:v>
                </c:pt>
                <c:pt idx="13">
                  <c:v>-0.0749591310729175</c:v>
                </c:pt>
                <c:pt idx="14">
                  <c:v>0.125209171132614</c:v>
                </c:pt>
                <c:pt idx="15">
                  <c:v>0.315527580806515</c:v>
                </c:pt>
                <c:pt idx="16">
                  <c:v>0.474970132624124</c:v>
                </c:pt>
                <c:pt idx="17">
                  <c:v>0.519970090490435</c:v>
                </c:pt>
                <c:pt idx="18">
                  <c:v>0.486053554958598</c:v>
                </c:pt>
                <c:pt idx="19">
                  <c:v>0.33730456560475</c:v>
                </c:pt>
                <c:pt idx="20">
                  <c:v>0.208456339809203</c:v>
                </c:pt>
                <c:pt idx="21">
                  <c:v>0.0465817739528901</c:v>
                </c:pt>
                <c:pt idx="22">
                  <c:v>0.0123323742275663</c:v>
                </c:pt>
                <c:pt idx="23">
                  <c:v>-0.100142480606787</c:v>
                </c:pt>
                <c:pt idx="24">
                  <c:v>-0.261190633747636</c:v>
                </c:pt>
                <c:pt idx="25">
                  <c:v>-0.265079962943144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'MVP correlation and plots'!$I$4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'MVP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'MVP correlation and plots'!$I$5:$I$54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0.0231737318667579</c:v>
                </c:pt>
                <c:pt idx="17">
                  <c:v>0.163663051642638</c:v>
                </c:pt>
                <c:pt idx="18">
                  <c:v>0.0426158032705497</c:v>
                </c:pt>
                <c:pt idx="19">
                  <c:v>-0.111957696282532</c:v>
                </c:pt>
                <c:pt idx="20">
                  <c:v>-0.0167802671255483</c:v>
                </c:pt>
                <c:pt idx="21">
                  <c:v>-0.0940865260930163</c:v>
                </c:pt>
                <c:pt idx="22">
                  <c:v>-0.443590085215116</c:v>
                </c:pt>
                <c:pt idx="23">
                  <c:v>-0.291683742360981</c:v>
                </c:pt>
                <c:pt idx="24">
                  <c:v>-0.174332352093902</c:v>
                </c:pt>
                <c:pt idx="25">
                  <c:v>-0.0568759712027146</c:v>
                </c:pt>
                <c:pt idx="26">
                  <c:v>0.00972647368146343</c:v>
                </c:pt>
                <c:pt idx="27">
                  <c:v>0.147891715545135</c:v>
                </c:pt>
                <c:pt idx="28">
                  <c:v>0.110225411696211</c:v>
                </c:pt>
                <c:pt idx="29">
                  <c:v>0.247222484781609</c:v>
                </c:pt>
                <c:pt idx="30">
                  <c:v>0.0911139476844049</c:v>
                </c:pt>
                <c:pt idx="31">
                  <c:v>0.0523426737950937</c:v>
                </c:pt>
                <c:pt idx="32">
                  <c:v>0.0541805765056947</c:v>
                </c:pt>
                <c:pt idx="33">
                  <c:v>-0.0541154687828218</c:v>
                </c:pt>
                <c:pt idx="34">
                  <c:v>-0.190747138958579</c:v>
                </c:pt>
                <c:pt idx="35">
                  <c:v>-0.149581440319626</c:v>
                </c:pt>
                <c:pt idx="36">
                  <c:v>-0.133623208901842</c:v>
                </c:pt>
                <c:pt idx="37">
                  <c:v>-0.128205387761796</c:v>
                </c:pt>
                <c:pt idx="38">
                  <c:v>-0.0355208443561915</c:v>
                </c:pt>
                <c:pt idx="39">
                  <c:v>0.0495393735533777</c:v>
                </c:pt>
                <c:pt idx="40">
                  <c:v>0.0127557898440652</c:v>
                </c:pt>
                <c:pt idx="41">
                  <c:v>-0.11030022101451</c:v>
                </c:pt>
                <c:pt idx="42">
                  <c:v>-0.125416270348917</c:v>
                </c:pt>
                <c:pt idx="43">
                  <c:v>-0.136525660242467</c:v>
                </c:pt>
                <c:pt idx="44">
                  <c:v>-0.0480360651822939</c:v>
                </c:pt>
                <c:pt idx="45">
                  <c:v>0.0349499229395428</c:v>
                </c:pt>
                <c:pt idx="46">
                  <c:v>0.323825799088404</c:v>
                </c:pt>
                <c:pt idx="47">
                  <c:v>0.117117516550482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axId val="43429525"/>
        <c:axId val="85441464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'MVP correlation and plots'!$A$5:$A$50</c:f>
              <c:numCache>
                <c:formatCode>General</c:formatCode>
                <c:ptCount val="46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</c:numCache>
            </c:numRef>
          </c:xVal>
          <c:yVal>
            <c:numRef>
              <c:f>'MVP correlation and plots'!$M$5:$M$50</c:f>
              <c:numCache>
                <c:formatCode>General</c:formatCode>
                <c:ptCount val="46"/>
                <c:pt idx="0">
                  <c:v>13.2866666666667</c:v>
                </c:pt>
                <c:pt idx="1">
                  <c:v>13.2933333333333</c:v>
                </c:pt>
                <c:pt idx="2">
                  <c:v>13.2666666666667</c:v>
                </c:pt>
                <c:pt idx="3">
                  <c:v>13.1133333333333</c:v>
                </c:pt>
                <c:pt idx="4">
                  <c:v>13.16</c:v>
                </c:pt>
                <c:pt idx="5">
                  <c:v>13.0066666666667</c:v>
                </c:pt>
                <c:pt idx="6">
                  <c:v>13.0933333333333</c:v>
                </c:pt>
                <c:pt idx="7">
                  <c:v>12.9933333333333</c:v>
                </c:pt>
                <c:pt idx="8">
                  <c:v>13.18</c:v>
                </c:pt>
                <c:pt idx="9">
                  <c:v>13.3066666666667</c:v>
                </c:pt>
                <c:pt idx="10">
                  <c:v>13.4733333333333</c:v>
                </c:pt>
                <c:pt idx="11">
                  <c:v>13.32</c:v>
                </c:pt>
                <c:pt idx="12">
                  <c:v>13.3866666666667</c:v>
                </c:pt>
                <c:pt idx="13">
                  <c:v>13.1266666666667</c:v>
                </c:pt>
                <c:pt idx="14">
                  <c:v>12.7333333333333</c:v>
                </c:pt>
                <c:pt idx="15">
                  <c:v>12.6266666666667</c:v>
                </c:pt>
                <c:pt idx="16">
                  <c:v>12.46</c:v>
                </c:pt>
                <c:pt idx="17">
                  <c:v>12.42</c:v>
                </c:pt>
                <c:pt idx="18">
                  <c:v>12.5933333333333</c:v>
                </c:pt>
                <c:pt idx="19">
                  <c:v>13</c:v>
                </c:pt>
                <c:pt idx="20">
                  <c:v>13.2</c:v>
                </c:pt>
                <c:pt idx="21">
                  <c:v>13.3666666666667</c:v>
                </c:pt>
                <c:pt idx="22">
                  <c:v>13.44</c:v>
                </c:pt>
                <c:pt idx="23">
                  <c:v>13.46</c:v>
                </c:pt>
                <c:pt idx="24">
                  <c:v>13.4133333333333</c:v>
                </c:pt>
                <c:pt idx="25">
                  <c:v>13.28</c:v>
                </c:pt>
                <c:pt idx="26">
                  <c:v>13.24</c:v>
                </c:pt>
                <c:pt idx="27">
                  <c:v>13.2133333333333</c:v>
                </c:pt>
                <c:pt idx="28">
                  <c:v>13.2266666666667</c:v>
                </c:pt>
                <c:pt idx="29">
                  <c:v>12.9866666666667</c:v>
                </c:pt>
                <c:pt idx="30">
                  <c:v>12.7866666666667</c:v>
                </c:pt>
                <c:pt idx="31">
                  <c:v>12.7333333333333</c:v>
                </c:pt>
                <c:pt idx="32">
                  <c:v>12.7933333333333</c:v>
                </c:pt>
                <c:pt idx="33">
                  <c:v>12.8266666666667</c:v>
                </c:pt>
                <c:pt idx="34">
                  <c:v>13.2666666666667</c:v>
                </c:pt>
                <c:pt idx="35">
                  <c:v>13.6933333333333</c:v>
                </c:pt>
                <c:pt idx="36">
                  <c:v>13.86</c:v>
                </c:pt>
                <c:pt idx="37">
                  <c:v>13.9666666666667</c:v>
                </c:pt>
                <c:pt idx="38">
                  <c:v>13.9266666666667</c:v>
                </c:pt>
                <c:pt idx="39">
                  <c:v>13.5133333333333</c:v>
                </c:pt>
                <c:pt idx="40">
                  <c:v>13.52</c:v>
                </c:pt>
                <c:pt idx="41">
                  <c:v>13.38</c:v>
                </c:pt>
                <c:pt idx="42">
                  <c:v>13.3166666666667</c:v>
                </c:pt>
                <c:pt idx="43">
                  <c:v>13.2033333333333</c:v>
                </c:pt>
                <c:pt idx="44">
                  <c:v>13.2633333333333</c:v>
                </c:pt>
                <c:pt idx="45">
                  <c:v>13.3966666666667</c:v>
                </c:pt>
              </c:numCache>
            </c:numRef>
          </c:yVal>
        </c:ser>
        <c:axId val="54632361"/>
        <c:axId val="48265112"/>
      </c:scatterChart>
      <c:valAx>
        <c:axId val="43429525"/>
        <c:scaling>
          <c:orientation val="minMax"/>
        </c:scaling>
        <c:delete val="1"/>
        <c:axPos val="b"/>
        <c:majorTickMark val="out"/>
        <c:minorTickMark val="none"/>
        <c:tickLblPos val="nextTo"/>
        <c:crossAx val="8544146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85441464"/>
        <c:scaling>
          <c:orientation val="minMax"/>
        </c:scaling>
        <c:delete val="1"/>
        <c:axPos val="l"/>
        <c:majorTickMark val="out"/>
        <c:minorTickMark val="none"/>
        <c:tickLblPos val="nextTo"/>
        <c:crossAx val="43429525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4632361"/>
        <c:scaling>
          <c:orientation val="minMax"/>
        </c:scaling>
        <c:delete val="1"/>
        <c:axPos val="b"/>
        <c:majorTickMark val="out"/>
        <c:minorTickMark val="none"/>
        <c:tickLblPos val="nextTo"/>
        <c:crossAx val="48265112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8265112"/>
        <c:scaling>
          <c:orientation val="minMax"/>
        </c:scaling>
        <c:delete val="1"/>
        <c:axPos val="l"/>
        <c:majorTickMark val="out"/>
        <c:minorTickMark val="none"/>
        <c:tickLblPos val="nextTo"/>
        <c:crossAx val="5463236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'Rh correlation and plots'!$B$4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plots'!$B$5:$B$54</c:f>
              <c:numCache>
                <c:formatCode>General</c:formatCode>
                <c:ptCount val="50"/>
                <c:pt idx="0">
                  <c:v>-0.290357581425254</c:v>
                </c:pt>
                <c:pt idx="1">
                  <c:v>0.239226391218053</c:v>
                </c:pt>
                <c:pt idx="2">
                  <c:v>0.644525254642978</c:v>
                </c:pt>
                <c:pt idx="3">
                  <c:v>-1.11602500457803</c:v>
                </c:pt>
                <c:pt idx="4">
                  <c:v>-0.288800991974175</c:v>
                </c:pt>
                <c:pt idx="5">
                  <c:v>0.195304801722278</c:v>
                </c:pt>
                <c:pt idx="6">
                  <c:v>-0.710341741153059</c:v>
                </c:pt>
                <c:pt idx="7">
                  <c:v>0.504585523518288</c:v>
                </c:pt>
                <c:pt idx="8">
                  <c:v>-0.0374644219748053</c:v>
                </c:pt>
                <c:pt idx="9">
                  <c:v>0.774352237006285</c:v>
                </c:pt>
                <c:pt idx="10">
                  <c:v>-0.0525622581600255</c:v>
                </c:pt>
                <c:pt idx="11">
                  <c:v>-0.273647195365403</c:v>
                </c:pt>
                <c:pt idx="12">
                  <c:v>-0.457270555508932</c:v>
                </c:pt>
                <c:pt idx="13">
                  <c:v>-0.141932344522551</c:v>
                </c:pt>
                <c:pt idx="14">
                  <c:v>-0.0675953286003726</c:v>
                </c:pt>
                <c:pt idx="15">
                  <c:v>0.56564976863267</c:v>
                </c:pt>
                <c:pt idx="16">
                  <c:v>0.727194315662255</c:v>
                </c:pt>
                <c:pt idx="17">
                  <c:v>0.494321492860573</c:v>
                </c:pt>
                <c:pt idx="18">
                  <c:v>0.655280414565495</c:v>
                </c:pt>
                <c:pt idx="19">
                  <c:v>0.157404460731182</c:v>
                </c:pt>
                <c:pt idx="20">
                  <c:v>0.396067090973483</c:v>
                </c:pt>
                <c:pt idx="21">
                  <c:v>-0.0165506311069828</c:v>
                </c:pt>
                <c:pt idx="22">
                  <c:v>-0.149919636117161</c:v>
                </c:pt>
                <c:pt idx="23">
                  <c:v>-0.15409241471607</c:v>
                </c:pt>
                <c:pt idx="24">
                  <c:v>-0.013842537895437</c:v>
                </c:pt>
                <c:pt idx="25">
                  <c:v>-0.166307183198284</c:v>
                </c:pt>
                <c:pt idx="26">
                  <c:v>-0.821791396811226</c:v>
                </c:pt>
                <c:pt idx="27">
                  <c:v>-0.169366282094703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'Rh correlation and plots'!$G$4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plots'!$G$5:$G$54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0.24734605506512</c:v>
                </c:pt>
                <c:pt idx="15">
                  <c:v>0.107018947076846</c:v>
                </c:pt>
                <c:pt idx="16">
                  <c:v>0.0522264294838219</c:v>
                </c:pt>
                <c:pt idx="17">
                  <c:v>-0.680914152057983</c:v>
                </c:pt>
                <c:pt idx="18">
                  <c:v>0.390191379765985</c:v>
                </c:pt>
                <c:pt idx="19">
                  <c:v>0.949792653944522</c:v>
                </c:pt>
                <c:pt idx="20">
                  <c:v>-0.498217294783597</c:v>
                </c:pt>
                <c:pt idx="21">
                  <c:v>-0.720641068281589</c:v>
                </c:pt>
                <c:pt idx="22">
                  <c:v>-0.205027006273063</c:v>
                </c:pt>
                <c:pt idx="23">
                  <c:v>0.00366008492864509</c:v>
                </c:pt>
                <c:pt idx="24">
                  <c:v>-0.797725141665978</c:v>
                </c:pt>
                <c:pt idx="25">
                  <c:v>0.26131441948708</c:v>
                </c:pt>
                <c:pt idx="26">
                  <c:v>-0.133884116946192</c:v>
                </c:pt>
                <c:pt idx="27">
                  <c:v>0.382254898182872</c:v>
                </c:pt>
                <c:pt idx="28">
                  <c:v>0.336672309349535</c:v>
                </c:pt>
                <c:pt idx="29">
                  <c:v>-0.106898932347621</c:v>
                </c:pt>
                <c:pt idx="30">
                  <c:v>0.0729829002424595</c:v>
                </c:pt>
                <c:pt idx="31">
                  <c:v>0.551101248480799</c:v>
                </c:pt>
                <c:pt idx="32">
                  <c:v>-0.398287787303149</c:v>
                </c:pt>
                <c:pt idx="33">
                  <c:v>0.14281593990298</c:v>
                </c:pt>
                <c:pt idx="34">
                  <c:v>-0.0977094187946156</c:v>
                </c:pt>
                <c:pt idx="35">
                  <c:v>-0.468497326200123</c:v>
                </c:pt>
                <c:pt idx="36">
                  <c:v>-0.132057102397988</c:v>
                </c:pt>
                <c:pt idx="37">
                  <c:v>-0.192459294108382</c:v>
                </c:pt>
                <c:pt idx="38">
                  <c:v>0.2226070969919</c:v>
                </c:pt>
                <c:pt idx="39">
                  <c:v>-0.0706203130943888</c:v>
                </c:pt>
                <c:pt idx="40">
                  <c:v>-0.00507460917209868</c:v>
                </c:pt>
                <c:pt idx="41">
                  <c:v>0.293243987149858</c:v>
                </c:pt>
                <c:pt idx="42">
                  <c:v>-0.376377212654944</c:v>
                </c:pt>
                <c:pt idx="43">
                  <c:v>-0.392672957300978</c:v>
                </c:pt>
                <c:pt idx="44">
                  <c:v>-0.146200559766424</c:v>
                </c:pt>
                <c:pt idx="45">
                  <c:v>-0.0606215586398477</c:v>
                </c:pt>
                <c:pt idx="46">
                  <c:v>0.735691962450724</c:v>
                </c:pt>
                <c:pt idx="47">
                  <c:v>0.0385527279542394</c:v>
                </c:pt>
                <c:pt idx="48">
                  <c:v>1.05170642344333</c:v>
                </c:pt>
                <c:pt idx="49">
                  <c:v>-1.17974197245604</c:v>
                </c:pt>
              </c:numCache>
            </c:numRef>
          </c:yVal>
        </c:ser>
        <c:axId val="29590655"/>
        <c:axId val="48585076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'Rh correlation and plots'!$F$5:$F$48</c:f>
              <c:numCache>
                <c:formatCode>General</c:formatCode>
                <c:ptCount val="44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</c:numCache>
            </c:numRef>
          </c:xVal>
          <c:yVal>
            <c:numRef>
              <c:f>'Rh correlation and plots'!$K$5:$K$48</c:f>
              <c:numCache>
                <c:formatCode>General</c:formatCode>
                <c:ptCount val="44"/>
                <c:pt idx="0">
                  <c:v>84.4</c:v>
                </c:pt>
                <c:pt idx="1">
                  <c:v>79.8</c:v>
                </c:pt>
                <c:pt idx="2">
                  <c:v>78.4</c:v>
                </c:pt>
                <c:pt idx="3">
                  <c:v>81.25</c:v>
                </c:pt>
                <c:pt idx="4">
                  <c:v>81.3</c:v>
                </c:pt>
                <c:pt idx="5">
                  <c:v>79.2</c:v>
                </c:pt>
                <c:pt idx="6">
                  <c:v>81</c:v>
                </c:pt>
                <c:pt idx="7">
                  <c:v>75.7</c:v>
                </c:pt>
                <c:pt idx="8">
                  <c:v>79.7</c:v>
                </c:pt>
                <c:pt idx="9">
                  <c:v>78.35</c:v>
                </c:pt>
                <c:pt idx="10">
                  <c:v>79.75</c:v>
                </c:pt>
                <c:pt idx="11">
                  <c:v>80.15</c:v>
                </c:pt>
                <c:pt idx="12">
                  <c:v>81.45</c:v>
                </c:pt>
                <c:pt idx="13">
                  <c:v>79.7</c:v>
                </c:pt>
                <c:pt idx="14">
                  <c:v>80.8</c:v>
                </c:pt>
                <c:pt idx="15">
                  <c:v>80.35</c:v>
                </c:pt>
                <c:pt idx="16">
                  <c:v>76.05</c:v>
                </c:pt>
                <c:pt idx="17">
                  <c:v>80.3</c:v>
                </c:pt>
                <c:pt idx="18">
                  <c:v>78.7</c:v>
                </c:pt>
                <c:pt idx="19">
                  <c:v>78.9</c:v>
                </c:pt>
                <c:pt idx="20">
                  <c:v>77.85</c:v>
                </c:pt>
                <c:pt idx="21">
                  <c:v>79.1</c:v>
                </c:pt>
                <c:pt idx="22">
                  <c:v>80.1</c:v>
                </c:pt>
                <c:pt idx="23">
                  <c:v>79.4</c:v>
                </c:pt>
                <c:pt idx="24">
                  <c:v>79.3</c:v>
                </c:pt>
                <c:pt idx="25">
                  <c:v>80.15</c:v>
                </c:pt>
                <c:pt idx="26">
                  <c:v>83.7</c:v>
                </c:pt>
                <c:pt idx="27">
                  <c:v>81.25</c:v>
                </c:pt>
                <c:pt idx="28">
                  <c:v>79.2</c:v>
                </c:pt>
                <c:pt idx="29">
                  <c:v>80.4</c:v>
                </c:pt>
                <c:pt idx="30">
                  <c:v>80.95</c:v>
                </c:pt>
                <c:pt idx="31">
                  <c:v>78.1</c:v>
                </c:pt>
                <c:pt idx="32">
                  <c:v>79</c:v>
                </c:pt>
                <c:pt idx="33">
                  <c:v>81.9</c:v>
                </c:pt>
                <c:pt idx="34">
                  <c:v>81.7</c:v>
                </c:pt>
                <c:pt idx="35">
                  <c:v>80.5</c:v>
                </c:pt>
                <c:pt idx="36">
                  <c:v>84.25</c:v>
                </c:pt>
                <c:pt idx="37">
                  <c:v>79.3</c:v>
                </c:pt>
                <c:pt idx="38">
                  <c:v>81.65</c:v>
                </c:pt>
                <c:pt idx="39">
                  <c:v>83.35</c:v>
                </c:pt>
                <c:pt idx="40">
                  <c:v>82.35</c:v>
                </c:pt>
                <c:pt idx="41">
                  <c:v>81.65</c:v>
                </c:pt>
                <c:pt idx="42">
                  <c:v>81.25</c:v>
                </c:pt>
                <c:pt idx="43">
                  <c:v>79.7</c:v>
                </c:pt>
              </c:numCache>
            </c:numRef>
          </c:yVal>
        </c:ser>
        <c:axId val="63716484"/>
        <c:axId val="68008540"/>
      </c:scatterChart>
      <c:valAx>
        <c:axId val="29590655"/>
        <c:scaling>
          <c:orientation val="minMax"/>
        </c:scaling>
        <c:delete val="1"/>
        <c:axPos val="b"/>
        <c:majorTickMark val="out"/>
        <c:minorTickMark val="none"/>
        <c:tickLblPos val="nextTo"/>
        <c:crossAx val="4858507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48585076"/>
        <c:scaling>
          <c:orientation val="minMax"/>
        </c:scaling>
        <c:delete val="1"/>
        <c:axPos val="l"/>
        <c:majorTickMark val="out"/>
        <c:minorTickMark val="none"/>
        <c:tickLblPos val="nextTo"/>
        <c:crossAx val="29590655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3716484"/>
        <c:scaling>
          <c:orientation val="minMax"/>
        </c:scaling>
        <c:delete val="1"/>
        <c:axPos val="b"/>
        <c:majorTickMark val="out"/>
        <c:minorTickMark val="none"/>
        <c:tickLblPos val="nextTo"/>
        <c:crossAx val="68008540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68008540"/>
        <c:scaling>
          <c:orientation val="minMax"/>
        </c:scaling>
        <c:delete val="1"/>
        <c:axPos val="l"/>
        <c:majorTickMark val="out"/>
        <c:minorTickMark val="none"/>
        <c:tickLblPos val="nextTo"/>
        <c:crossAx val="6371648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'Rh correlation and plots'!$C$4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plots'!$C$5:$C$54</c:f>
              <c:numCache>
                <c:formatCode>General</c:formatCode>
                <c:ptCount val="50"/>
                <c:pt idx="0">
                  <c:v>NaN</c:v>
                </c:pt>
                <c:pt idx="1">
                  <c:v>0.197798021478592</c:v>
                </c:pt>
                <c:pt idx="2">
                  <c:v>-0.0774244529056648</c:v>
                </c:pt>
                <c:pt idx="3">
                  <c:v>-0.253433580636408</c:v>
                </c:pt>
                <c:pt idx="4">
                  <c:v>-0.403173731609974</c:v>
                </c:pt>
                <c:pt idx="5">
                  <c:v>-0.267945977134985</c:v>
                </c:pt>
                <c:pt idx="6">
                  <c:v>-0.00348380530416451</c:v>
                </c:pt>
                <c:pt idx="7">
                  <c:v>-0.0810735465365255</c:v>
                </c:pt>
                <c:pt idx="8">
                  <c:v>0.413824446183256</c:v>
                </c:pt>
                <c:pt idx="9">
                  <c:v>0.228108518957152</c:v>
                </c:pt>
                <c:pt idx="10">
                  <c:v>0.149380927826952</c:v>
                </c:pt>
                <c:pt idx="11">
                  <c:v>-0.261160003011453</c:v>
                </c:pt>
                <c:pt idx="12">
                  <c:v>-0.290950031798962</c:v>
                </c:pt>
                <c:pt idx="13">
                  <c:v>-0.222266076210618</c:v>
                </c:pt>
                <c:pt idx="14">
                  <c:v>0.118707365169916</c:v>
                </c:pt>
                <c:pt idx="15">
                  <c:v>0.408416251898184</c:v>
                </c:pt>
                <c:pt idx="16">
                  <c:v>0.595721859051833</c:v>
                </c:pt>
                <c:pt idx="17">
                  <c:v>0.625598741029441</c:v>
                </c:pt>
                <c:pt idx="18">
                  <c:v>0.43566878938575</c:v>
                </c:pt>
                <c:pt idx="19">
                  <c:v>0.402917322090053</c:v>
                </c:pt>
                <c:pt idx="20">
                  <c:v>0.178973640199227</c:v>
                </c:pt>
                <c:pt idx="21">
                  <c:v>0.0765322745831129</c:v>
                </c:pt>
                <c:pt idx="22">
                  <c:v>-0.106854227313405</c:v>
                </c:pt>
                <c:pt idx="23">
                  <c:v>-0.105951529576223</c:v>
                </c:pt>
                <c:pt idx="24">
                  <c:v>-0.111414045269931</c:v>
                </c:pt>
                <c:pt idx="25">
                  <c:v>-0.333980372634982</c:v>
                </c:pt>
                <c:pt idx="26">
                  <c:v>-0.385821620701405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'Rh correlation and plots'!$H$4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plots'!$H$5:$H$54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0.135530477208596</c:v>
                </c:pt>
                <c:pt idx="16">
                  <c:v>-0.173889591832438</c:v>
                </c:pt>
                <c:pt idx="17">
                  <c:v>-0.0794987809360589</c:v>
                </c:pt>
                <c:pt idx="18">
                  <c:v>0.219689960550841</c:v>
                </c:pt>
                <c:pt idx="19">
                  <c:v>0.280588912975637</c:v>
                </c:pt>
                <c:pt idx="20">
                  <c:v>-0.0896885697068879</c:v>
                </c:pt>
                <c:pt idx="21">
                  <c:v>-0.474628456446083</c:v>
                </c:pt>
                <c:pt idx="22">
                  <c:v>-0.307335996542002</c:v>
                </c:pt>
                <c:pt idx="23">
                  <c:v>-0.333030687670132</c:v>
                </c:pt>
                <c:pt idx="24">
                  <c:v>-0.177583545750084</c:v>
                </c:pt>
                <c:pt idx="25">
                  <c:v>-0.223431613041697</c:v>
                </c:pt>
                <c:pt idx="26">
                  <c:v>0.16989506690792</c:v>
                </c:pt>
                <c:pt idx="27">
                  <c:v>0.195014363528738</c:v>
                </c:pt>
                <c:pt idx="28">
                  <c:v>0.204009425061595</c:v>
                </c:pt>
                <c:pt idx="29">
                  <c:v>0.100918759081458</c:v>
                </c:pt>
                <c:pt idx="30">
                  <c:v>0.172395072125213</c:v>
                </c:pt>
                <c:pt idx="31">
                  <c:v>0.0752654538067032</c:v>
                </c:pt>
                <c:pt idx="32">
                  <c:v>0.0985431336935432</c:v>
                </c:pt>
                <c:pt idx="33">
                  <c:v>-0.117727088731595</c:v>
                </c:pt>
                <c:pt idx="34">
                  <c:v>-0.14113026836392</c:v>
                </c:pt>
                <c:pt idx="35">
                  <c:v>-0.232754615797576</c:v>
                </c:pt>
                <c:pt idx="36">
                  <c:v>-0.264337907568831</c:v>
                </c:pt>
                <c:pt idx="37">
                  <c:v>-0.0339697665048233</c:v>
                </c:pt>
                <c:pt idx="38">
                  <c:v>-0.0134908367369569</c:v>
                </c:pt>
                <c:pt idx="39">
                  <c:v>0.0489707249084708</c:v>
                </c:pt>
                <c:pt idx="40">
                  <c:v>0.0725163549611234</c:v>
                </c:pt>
                <c:pt idx="41">
                  <c:v>-0.0294026115590617</c:v>
                </c:pt>
                <c:pt idx="42">
                  <c:v>-0.158602060935355</c:v>
                </c:pt>
                <c:pt idx="43">
                  <c:v>-0.305083576574115</c:v>
                </c:pt>
                <c:pt idx="44">
                  <c:v>-0.199831691902416</c:v>
                </c:pt>
                <c:pt idx="45">
                  <c:v>0.176289948014817</c:v>
                </c:pt>
                <c:pt idx="46">
                  <c:v>0.237874377255039</c:v>
                </c:pt>
                <c:pt idx="47">
                  <c:v>0.608650371282765</c:v>
                </c:pt>
                <c:pt idx="48">
                  <c:v>-0.0298276070194883</c:v>
                </c:pt>
                <c:pt idx="49">
                  <c:v>NaN</c:v>
                </c:pt>
              </c:numCache>
            </c:numRef>
          </c:yVal>
        </c:ser>
        <c:axId val="71015091"/>
        <c:axId val="13775316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'Rh correlation and plots'!$A$5:$A$47</c:f>
              <c:numCache>
                <c:formatCode>General</c:formatCode>
                <c:ptCount val="43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</c:numCache>
            </c:numRef>
          </c:xVal>
          <c:yVal>
            <c:numRef>
              <c:f>'Rh correlation and plots'!$L$5:$L$47</c:f>
              <c:numCache>
                <c:formatCode>General</c:formatCode>
                <c:ptCount val="43"/>
                <c:pt idx="0">
                  <c:v>80.6333333333333</c:v>
                </c:pt>
                <c:pt idx="1">
                  <c:v>79.9444444444444</c:v>
                </c:pt>
                <c:pt idx="2">
                  <c:v>78.5</c:v>
                </c:pt>
                <c:pt idx="3">
                  <c:v>78.6111111111111</c:v>
                </c:pt>
                <c:pt idx="4">
                  <c:v>78.2777777777778</c:v>
                </c:pt>
                <c:pt idx="5">
                  <c:v>78.0777777777778</c:v>
                </c:pt>
                <c:pt idx="6">
                  <c:v>76.9888888888889</c:v>
                </c:pt>
                <c:pt idx="7">
                  <c:v>77.1666666666666</c:v>
                </c:pt>
                <c:pt idx="8">
                  <c:v>76.8666666666667</c:v>
                </c:pt>
                <c:pt idx="9">
                  <c:v>78.4</c:v>
                </c:pt>
                <c:pt idx="10">
                  <c:v>78.5555555555556</c:v>
                </c:pt>
                <c:pt idx="11">
                  <c:v>79.3111111111111</c:v>
                </c:pt>
                <c:pt idx="12">
                  <c:v>78.4555555555556</c:v>
                </c:pt>
                <c:pt idx="13">
                  <c:v>78.8111111111111</c:v>
                </c:pt>
                <c:pt idx="14">
                  <c:v>78.4222222222222</c:v>
                </c:pt>
                <c:pt idx="15">
                  <c:v>77.8666666666667</c:v>
                </c:pt>
                <c:pt idx="16">
                  <c:v>77.6888888888889</c:v>
                </c:pt>
                <c:pt idx="17">
                  <c:v>77.0777777777778</c:v>
                </c:pt>
                <c:pt idx="18">
                  <c:v>78.0666666666667</c:v>
                </c:pt>
                <c:pt idx="19">
                  <c:v>77.0111111111111</c:v>
                </c:pt>
                <c:pt idx="20">
                  <c:v>77.6444444444445</c:v>
                </c:pt>
                <c:pt idx="21">
                  <c:v>78.0888888888889</c:v>
                </c:pt>
                <c:pt idx="22">
                  <c:v>78.9222222222222</c:v>
                </c:pt>
                <c:pt idx="23">
                  <c:v>79.4333333333333</c:v>
                </c:pt>
                <c:pt idx="24">
                  <c:v>79.6777777777778</c:v>
                </c:pt>
                <c:pt idx="25">
                  <c:v>80.8111111111111</c:v>
                </c:pt>
                <c:pt idx="26">
                  <c:v>80.8111111111111</c:v>
                </c:pt>
                <c:pt idx="27">
                  <c:v>80.8222222222222</c:v>
                </c:pt>
                <c:pt idx="28">
                  <c:v>80.2777777777778</c:v>
                </c:pt>
                <c:pt idx="29">
                  <c:v>80.6111111111111</c:v>
                </c:pt>
                <c:pt idx="30">
                  <c:v>79.7888888888889</c:v>
                </c:pt>
                <c:pt idx="31">
                  <c:v>79.1111111111111</c:v>
                </c:pt>
                <c:pt idx="32">
                  <c:v>78.6888888888889</c:v>
                </c:pt>
                <c:pt idx="33">
                  <c:v>80.0333333333333</c:v>
                </c:pt>
                <c:pt idx="34">
                  <c:v>80.4333333333333</c:v>
                </c:pt>
                <c:pt idx="35">
                  <c:v>81.3888888888889</c:v>
                </c:pt>
                <c:pt idx="36">
                  <c:v>80.2888888888889</c:v>
                </c:pt>
                <c:pt idx="37">
                  <c:v>80.1555555555555</c:v>
                </c:pt>
                <c:pt idx="38">
                  <c:v>79.6</c:v>
                </c:pt>
                <c:pt idx="39">
                  <c:v>80.1</c:v>
                </c:pt>
                <c:pt idx="40">
                  <c:v>80.5444444444444</c:v>
                </c:pt>
                <c:pt idx="41">
                  <c:v>80.2777777777778</c:v>
                </c:pt>
                <c:pt idx="42">
                  <c:v>79.6555555555556</c:v>
                </c:pt>
              </c:numCache>
            </c:numRef>
          </c:yVal>
        </c:ser>
        <c:axId val="7424550"/>
        <c:axId val="24882781"/>
      </c:scatterChart>
      <c:valAx>
        <c:axId val="71015091"/>
        <c:scaling>
          <c:orientation val="minMax"/>
        </c:scaling>
        <c:delete val="1"/>
        <c:axPos val="b"/>
        <c:majorTickMark val="out"/>
        <c:minorTickMark val="none"/>
        <c:tickLblPos val="nextTo"/>
        <c:crossAx val="1377531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13775316"/>
        <c:scaling>
          <c:orientation val="minMax"/>
        </c:scaling>
        <c:delete val="1"/>
        <c:axPos val="l"/>
        <c:majorTickMark val="out"/>
        <c:minorTickMark val="none"/>
        <c:tickLblPos val="nextTo"/>
        <c:crossAx val="7101509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7424550"/>
        <c:scaling>
          <c:orientation val="minMax"/>
        </c:scaling>
        <c:delete val="1"/>
        <c:axPos val="b"/>
        <c:majorTickMark val="out"/>
        <c:minorTickMark val="none"/>
        <c:tickLblPos val="nextTo"/>
        <c:crossAx val="24882781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24882781"/>
        <c:scaling>
          <c:orientation val="minMax"/>
        </c:scaling>
        <c:delete val="1"/>
        <c:axPos val="l"/>
        <c:majorTickMark val="out"/>
        <c:minorTickMark val="none"/>
        <c:tickLblPos val="nextTo"/>
        <c:crossAx val="74245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'Rh correlation and plots'!$D$4</c:f>
              <c:strCache>
                <c:ptCount val="1"/>
                <c:pt idx="0">
                  <c:v>Lower Huia</c:v>
                </c:pt>
              </c:strCache>
            </c:strRef>
          </c:tx>
          <c:spPr>
            <a:solidFill>
              <a:srgbClr val="558ed5"/>
            </a:solidFill>
            <a:ln w="47520">
              <a:solidFill>
                <a:srgbClr val="558ed5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plots'!$D$5:$D$54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-0.162286386423285</c:v>
                </c:pt>
                <c:pt idx="3">
                  <c:v>-0.0651539097937784</c:v>
                </c:pt>
                <c:pt idx="4">
                  <c:v>-0.255067536268001</c:v>
                </c:pt>
                <c:pt idx="5">
                  <c:v>-0.283055482492939</c:v>
                </c:pt>
                <c:pt idx="6">
                  <c:v>-0.0673433659722948</c:v>
                </c:pt>
                <c:pt idx="7">
                  <c:v>0.145287279823797</c:v>
                </c:pt>
                <c:pt idx="8">
                  <c:v>0.0957138678473367</c:v>
                </c:pt>
                <c:pt idx="9">
                  <c:v>0.183052777004868</c:v>
                </c:pt>
                <c:pt idx="10">
                  <c:v>-0.00931843880057593</c:v>
                </c:pt>
                <c:pt idx="11">
                  <c:v>-0.030212023310125</c:v>
                </c:pt>
                <c:pt idx="12">
                  <c:v>-0.198601536431457</c:v>
                </c:pt>
                <c:pt idx="13">
                  <c:v>-0.0749591310729175</c:v>
                </c:pt>
                <c:pt idx="14">
                  <c:v>0.125209171132614</c:v>
                </c:pt>
                <c:pt idx="15">
                  <c:v>0.315527580806515</c:v>
                </c:pt>
                <c:pt idx="16">
                  <c:v>0.474970132624124</c:v>
                </c:pt>
                <c:pt idx="17">
                  <c:v>0.519970090490435</c:v>
                </c:pt>
                <c:pt idx="18">
                  <c:v>0.486053554958598</c:v>
                </c:pt>
                <c:pt idx="19">
                  <c:v>0.33730456560475</c:v>
                </c:pt>
                <c:pt idx="20">
                  <c:v>0.208456339809203</c:v>
                </c:pt>
                <c:pt idx="21">
                  <c:v>0.0465817739528901</c:v>
                </c:pt>
                <c:pt idx="22">
                  <c:v>0.0123323742275663</c:v>
                </c:pt>
                <c:pt idx="23">
                  <c:v>-0.100142480606787</c:v>
                </c:pt>
                <c:pt idx="24">
                  <c:v>-0.261190633747636</c:v>
                </c:pt>
                <c:pt idx="25">
                  <c:v>-0.265079962943144</c:v>
                </c:pt>
                <c:pt idx="26">
                  <c:v>NaN</c:v>
                </c:pt>
                <c:pt idx="27">
                  <c:v>NaN</c:v>
                </c:pt>
                <c:pt idx="28">
                  <c:v>NaN</c:v>
                </c:pt>
                <c:pt idx="29">
                  <c:v>NaN</c:v>
                </c:pt>
                <c:pt idx="30">
                  <c:v>NaN</c:v>
                </c:pt>
                <c:pt idx="31">
                  <c:v>NaN</c:v>
                </c:pt>
                <c:pt idx="32">
                  <c:v>NaN</c:v>
                </c:pt>
                <c:pt idx="33">
                  <c:v>NaN</c:v>
                </c:pt>
                <c:pt idx="34">
                  <c:v>NaN</c:v>
                </c:pt>
                <c:pt idx="35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NaN</c:v>
                </c:pt>
                <c:pt idx="39">
                  <c:v>NaN</c:v>
                </c:pt>
                <c:pt idx="40">
                  <c:v>NaN</c:v>
                </c:pt>
                <c:pt idx="41">
                  <c:v>NaN</c:v>
                </c:pt>
                <c:pt idx="42">
                  <c:v>NaN</c:v>
                </c:pt>
                <c:pt idx="43">
                  <c:v>NaN</c:v>
                </c:pt>
                <c:pt idx="44">
                  <c:v>NaN</c:v>
                </c:pt>
                <c:pt idx="45">
                  <c:v>NaN</c:v>
                </c:pt>
                <c:pt idx="46">
                  <c:v>NaN</c:v>
                </c:pt>
                <c:pt idx="47">
                  <c:v>NaN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ser>
          <c:idx val="1"/>
          <c:order val="1"/>
          <c:tx>
            <c:strRef>
              <c:f>'Rh correlation and plots'!$I$4</c:f>
              <c:strCache>
                <c:ptCount val="1"/>
                <c:pt idx="0">
                  <c:v>Huapai</c:v>
                </c:pt>
              </c:strCache>
            </c:strRef>
          </c:tx>
          <c:spPr>
            <a:solidFill>
              <a:srgbClr val="ff0000"/>
            </a:solidFill>
            <a:ln w="47520">
              <a:solidFill>
                <a:srgbClr val="ff0000"/>
              </a:solidFill>
              <a:round/>
            </a:ln>
          </c:spPr>
          <c:marker/>
          <c:xVal>
            <c:numRef>
              <c:f>'Rh correlation and plots'!$A$5:$A$54</c:f>
              <c:numCache>
                <c:formatCode>General</c:formatCode>
                <c:ptCount val="50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  <c:pt idx="42">
                  <c:v>1967</c:v>
                </c:pt>
                <c:pt idx="43">
                  <c:v>1966</c:v>
                </c:pt>
                <c:pt idx="44">
                  <c:v>1965</c:v>
                </c:pt>
                <c:pt idx="45">
                  <c:v>1964</c:v>
                </c:pt>
                <c:pt idx="46">
                  <c:v>1963</c:v>
                </c:pt>
                <c:pt idx="47">
                  <c:v>1962</c:v>
                </c:pt>
                <c:pt idx="48">
                  <c:v>1961</c:v>
                </c:pt>
                <c:pt idx="49">
                  <c:v>1960</c:v>
                </c:pt>
              </c:numCache>
            </c:numRef>
          </c:xVal>
          <c:yVal>
            <c:numRef>
              <c:f>'Rh correlation and plots'!$I$5:$I$54</c:f>
              <c:numCache>
                <c:formatCode>General</c:formatCode>
                <c:ptCount val="50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0.0231737318667579</c:v>
                </c:pt>
                <c:pt idx="17">
                  <c:v>0.163663051642638</c:v>
                </c:pt>
                <c:pt idx="18">
                  <c:v>0.0426158032705497</c:v>
                </c:pt>
                <c:pt idx="19">
                  <c:v>-0.111957696282532</c:v>
                </c:pt>
                <c:pt idx="20">
                  <c:v>-0.0167802671255483</c:v>
                </c:pt>
                <c:pt idx="21">
                  <c:v>-0.0940865260930163</c:v>
                </c:pt>
                <c:pt idx="22">
                  <c:v>-0.443590085215116</c:v>
                </c:pt>
                <c:pt idx="23">
                  <c:v>-0.291683742360981</c:v>
                </c:pt>
                <c:pt idx="24">
                  <c:v>-0.174332352093902</c:v>
                </c:pt>
                <c:pt idx="25">
                  <c:v>-0.0568759712027146</c:v>
                </c:pt>
                <c:pt idx="26">
                  <c:v>0.00972647368146343</c:v>
                </c:pt>
                <c:pt idx="27">
                  <c:v>0.147891715545135</c:v>
                </c:pt>
                <c:pt idx="28">
                  <c:v>0.110225411696211</c:v>
                </c:pt>
                <c:pt idx="29">
                  <c:v>0.247222484781609</c:v>
                </c:pt>
                <c:pt idx="30">
                  <c:v>0.0911139476844049</c:v>
                </c:pt>
                <c:pt idx="31">
                  <c:v>0.0523426737950937</c:v>
                </c:pt>
                <c:pt idx="32">
                  <c:v>0.0541805765056947</c:v>
                </c:pt>
                <c:pt idx="33">
                  <c:v>-0.0541154687828218</c:v>
                </c:pt>
                <c:pt idx="34">
                  <c:v>-0.190747138958579</c:v>
                </c:pt>
                <c:pt idx="35">
                  <c:v>-0.149581440319626</c:v>
                </c:pt>
                <c:pt idx="36">
                  <c:v>-0.133623208901842</c:v>
                </c:pt>
                <c:pt idx="37">
                  <c:v>-0.128205387761796</c:v>
                </c:pt>
                <c:pt idx="38">
                  <c:v>-0.0355208443561915</c:v>
                </c:pt>
                <c:pt idx="39">
                  <c:v>0.0495393735533777</c:v>
                </c:pt>
                <c:pt idx="40">
                  <c:v>0.0127557898440652</c:v>
                </c:pt>
                <c:pt idx="41">
                  <c:v>-0.11030022101451</c:v>
                </c:pt>
                <c:pt idx="42">
                  <c:v>-0.125416270348917</c:v>
                </c:pt>
                <c:pt idx="43">
                  <c:v>-0.136525660242467</c:v>
                </c:pt>
                <c:pt idx="44">
                  <c:v>-0.0480360651822939</c:v>
                </c:pt>
                <c:pt idx="45">
                  <c:v>0.0349499229395428</c:v>
                </c:pt>
                <c:pt idx="46">
                  <c:v>0.323825799088404</c:v>
                </c:pt>
                <c:pt idx="47">
                  <c:v>0.117117516550482</c:v>
                </c:pt>
                <c:pt idx="48">
                  <c:v>NaN</c:v>
                </c:pt>
                <c:pt idx="49">
                  <c:v>NaN</c:v>
                </c:pt>
              </c:numCache>
            </c:numRef>
          </c:yVal>
        </c:ser>
        <c:axId val="79312676"/>
        <c:axId val="50884058"/>
      </c:scatterChart>
      <c:scatterChart>
        <c:scatterStyle val="lineMarker"/>
        <c:ser>
          <c:idx val="0"/>
          <c:order val="0"/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/>
          <c:xVal>
            <c:numRef>
              <c:f>'Rh correlation and plots'!$A$5:$A$46</c:f>
              <c:numCache>
                <c:formatCode>General</c:formatCode>
                <c:ptCount val="42"/>
                <c:pt idx="0">
                  <c:v>2009</c:v>
                </c:pt>
                <c:pt idx="1">
                  <c:v>2008</c:v>
                </c:pt>
                <c:pt idx="2">
                  <c:v>2007</c:v>
                </c:pt>
                <c:pt idx="3">
                  <c:v>2006</c:v>
                </c:pt>
                <c:pt idx="4">
                  <c:v>2005</c:v>
                </c:pt>
                <c:pt idx="5">
                  <c:v>2004</c:v>
                </c:pt>
                <c:pt idx="6">
                  <c:v>2003</c:v>
                </c:pt>
                <c:pt idx="7">
                  <c:v>2002</c:v>
                </c:pt>
                <c:pt idx="8">
                  <c:v>2001</c:v>
                </c:pt>
                <c:pt idx="9">
                  <c:v>2000</c:v>
                </c:pt>
                <c:pt idx="10">
                  <c:v>1999</c:v>
                </c:pt>
                <c:pt idx="11">
                  <c:v>1998</c:v>
                </c:pt>
                <c:pt idx="12">
                  <c:v>1997</c:v>
                </c:pt>
                <c:pt idx="13">
                  <c:v>1996</c:v>
                </c:pt>
                <c:pt idx="14">
                  <c:v>1995</c:v>
                </c:pt>
                <c:pt idx="15">
                  <c:v>1994</c:v>
                </c:pt>
                <c:pt idx="16">
                  <c:v>1993</c:v>
                </c:pt>
                <c:pt idx="17">
                  <c:v>1992</c:v>
                </c:pt>
                <c:pt idx="18">
                  <c:v>1991</c:v>
                </c:pt>
                <c:pt idx="19">
                  <c:v>1990</c:v>
                </c:pt>
                <c:pt idx="20">
                  <c:v>1989</c:v>
                </c:pt>
                <c:pt idx="21">
                  <c:v>1988</c:v>
                </c:pt>
                <c:pt idx="22">
                  <c:v>1987</c:v>
                </c:pt>
                <c:pt idx="23">
                  <c:v>1986</c:v>
                </c:pt>
                <c:pt idx="24">
                  <c:v>1985</c:v>
                </c:pt>
                <c:pt idx="25">
                  <c:v>1984</c:v>
                </c:pt>
                <c:pt idx="26">
                  <c:v>1983</c:v>
                </c:pt>
                <c:pt idx="27">
                  <c:v>1982</c:v>
                </c:pt>
                <c:pt idx="28">
                  <c:v>1981</c:v>
                </c:pt>
                <c:pt idx="29">
                  <c:v>1980</c:v>
                </c:pt>
                <c:pt idx="30">
                  <c:v>1979</c:v>
                </c:pt>
                <c:pt idx="31">
                  <c:v>1978</c:v>
                </c:pt>
                <c:pt idx="32">
                  <c:v>1977</c:v>
                </c:pt>
                <c:pt idx="33">
                  <c:v>1976</c:v>
                </c:pt>
                <c:pt idx="34">
                  <c:v>1975</c:v>
                </c:pt>
                <c:pt idx="35">
                  <c:v>1974</c:v>
                </c:pt>
                <c:pt idx="36">
                  <c:v>1973</c:v>
                </c:pt>
                <c:pt idx="37">
                  <c:v>1972</c:v>
                </c:pt>
                <c:pt idx="38">
                  <c:v>1971</c:v>
                </c:pt>
                <c:pt idx="39">
                  <c:v>1970</c:v>
                </c:pt>
                <c:pt idx="40">
                  <c:v>1969</c:v>
                </c:pt>
                <c:pt idx="41">
                  <c:v>1968</c:v>
                </c:pt>
              </c:numCache>
            </c:numRef>
          </c:xVal>
          <c:yVal>
            <c:numRef>
              <c:f>'Rh correlation and plots'!$M$5:$M$46</c:f>
              <c:numCache>
                <c:formatCode>General</c:formatCode>
                <c:ptCount val="42"/>
                <c:pt idx="0">
                  <c:v>80.42</c:v>
                </c:pt>
                <c:pt idx="1">
                  <c:v>79.9133333333333</c:v>
                </c:pt>
                <c:pt idx="2">
                  <c:v>79.4333333333333</c:v>
                </c:pt>
                <c:pt idx="3">
                  <c:v>78.2333333333333</c:v>
                </c:pt>
                <c:pt idx="4">
                  <c:v>78.38</c:v>
                </c:pt>
                <c:pt idx="5">
                  <c:v>77.66</c:v>
                </c:pt>
                <c:pt idx="6">
                  <c:v>77.4333333333333</c:v>
                </c:pt>
                <c:pt idx="7">
                  <c:v>77.3333333333333</c:v>
                </c:pt>
                <c:pt idx="8">
                  <c:v>77.7333333333333</c:v>
                </c:pt>
                <c:pt idx="9">
                  <c:v>77.72</c:v>
                </c:pt>
                <c:pt idx="10">
                  <c:v>78.7266666666667</c:v>
                </c:pt>
                <c:pt idx="11">
                  <c:v>78.5066666666667</c:v>
                </c:pt>
                <c:pt idx="12">
                  <c:v>78.8866666666667</c:v>
                </c:pt>
                <c:pt idx="13">
                  <c:v>78.74</c:v>
                </c:pt>
                <c:pt idx="14">
                  <c:v>78.0933333333333</c:v>
                </c:pt>
                <c:pt idx="15">
                  <c:v>77.9133333333333</c:v>
                </c:pt>
                <c:pt idx="16">
                  <c:v>77.9133333333333</c:v>
                </c:pt>
                <c:pt idx="17">
                  <c:v>77.6466666666667</c:v>
                </c:pt>
                <c:pt idx="18">
                  <c:v>77.0666666666667</c:v>
                </c:pt>
                <c:pt idx="19">
                  <c:v>77.78</c:v>
                </c:pt>
                <c:pt idx="20">
                  <c:v>77.8866666666667</c:v>
                </c:pt>
                <c:pt idx="21">
                  <c:v>78.1733333333333</c:v>
                </c:pt>
                <c:pt idx="22">
                  <c:v>78.6</c:v>
                </c:pt>
                <c:pt idx="23">
                  <c:v>79.4866666666667</c:v>
                </c:pt>
                <c:pt idx="24">
                  <c:v>80.0733333333333</c:v>
                </c:pt>
                <c:pt idx="25">
                  <c:v>80.2333333333333</c:v>
                </c:pt>
                <c:pt idx="26">
                  <c:v>80.6266666666667</c:v>
                </c:pt>
                <c:pt idx="27">
                  <c:v>80.58</c:v>
                </c:pt>
                <c:pt idx="28">
                  <c:v>80.7933333333333</c:v>
                </c:pt>
                <c:pt idx="29">
                  <c:v>80.0133333333333</c:v>
                </c:pt>
                <c:pt idx="30">
                  <c:v>79.56</c:v>
                </c:pt>
                <c:pt idx="31">
                  <c:v>79.5133333333334</c:v>
                </c:pt>
                <c:pt idx="32">
                  <c:v>79.8666666666667</c:v>
                </c:pt>
                <c:pt idx="33">
                  <c:v>79.4533333333333</c:v>
                </c:pt>
                <c:pt idx="34">
                  <c:v>80.4733333333333</c:v>
                </c:pt>
                <c:pt idx="35">
                  <c:v>80.5733333333333</c:v>
                </c:pt>
                <c:pt idx="36">
                  <c:v>80.3333333333333</c:v>
                </c:pt>
                <c:pt idx="37">
                  <c:v>80.2133333333333</c:v>
                </c:pt>
                <c:pt idx="38">
                  <c:v>80.3733333333333</c:v>
                </c:pt>
                <c:pt idx="39">
                  <c:v>79.8266666666667</c:v>
                </c:pt>
                <c:pt idx="40">
                  <c:v>80.2066666666667</c:v>
                </c:pt>
                <c:pt idx="41">
                  <c:v>80.0733333333333</c:v>
                </c:pt>
              </c:numCache>
            </c:numRef>
          </c:yVal>
        </c:ser>
        <c:axId val="54270838"/>
        <c:axId val="54116704"/>
      </c:scatterChart>
      <c:valAx>
        <c:axId val="79312676"/>
        <c:scaling>
          <c:orientation val="minMax"/>
        </c:scaling>
        <c:delete val="1"/>
        <c:axPos val="b"/>
        <c:majorTickMark val="out"/>
        <c:minorTickMark val="none"/>
        <c:tickLblPos val="nextTo"/>
        <c:crossAx val="50884058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0884058"/>
        <c:scaling>
          <c:orientation val="minMax"/>
        </c:scaling>
        <c:delete val="1"/>
        <c:axPos val="l"/>
        <c:majorTickMark val="out"/>
        <c:minorTickMark val="none"/>
        <c:tickLblPos val="nextTo"/>
        <c:crossAx val="79312676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4270838"/>
        <c:scaling>
          <c:orientation val="minMax"/>
        </c:scaling>
        <c:delete val="1"/>
        <c:axPos val="b"/>
        <c:majorTickMark val="out"/>
        <c:minorTickMark val="none"/>
        <c:tickLblPos val="nextTo"/>
        <c:crossAx val="54116704"/>
        <c:crossesAt val="0"/>
        <c:spPr>
          <a:ln w="9360">
            <a:solidFill>
              <a:srgbClr val="878787"/>
            </a:solidFill>
            <a:round/>
          </a:ln>
        </c:spPr>
      </c:valAx>
      <c:valAx>
        <c:axId val="54116704"/>
        <c:scaling>
          <c:orientation val="minMax"/>
        </c:scaling>
        <c:delete val="1"/>
        <c:axPos val="l"/>
        <c:majorTickMark val="out"/>
        <c:minorTickMark val="none"/>
        <c:tickLblPos val="nextTo"/>
        <c:crossAx val="5427083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1.xml"/><Relationship Id="rId2" Type="http://schemas.openxmlformats.org/officeDocument/2006/relationships/chart" Target="../charts/chart5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5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55.xml"/><Relationship Id="rId2" Type="http://schemas.openxmlformats.org/officeDocument/2006/relationships/chart" Target="../charts/chart56.xml"/><Relationship Id="rId3" Type="http://schemas.openxmlformats.org/officeDocument/2006/relationships/chart" Target="../charts/chart57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8.xml"/><Relationship Id="rId2" Type="http://schemas.openxmlformats.org/officeDocument/2006/relationships/chart" Target="../charts/chart59.xml"/><Relationship Id="rId3" Type="http://schemas.openxmlformats.org/officeDocument/2006/relationships/chart" Target="../charts/chart6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17</xdr:col>
      <xdr:colOff>14400</xdr:colOff>
      <xdr:row>2</xdr:row>
      <xdr:rowOff>115200</xdr:rowOff>
    </xdr:from>
    <xdr:to>
      <xdr:col>29</xdr:col>
      <xdr:colOff>547920</xdr:colOff>
      <xdr:row>29</xdr:row>
      <xdr:rowOff>127440</xdr:rowOff>
    </xdr:to>
    <xdr:graphicFrame>
      <xdr:nvGraphicFramePr>
        <xdr:cNvPr id="0" name="Chart 1"/>
        <xdr:cNvGraphicFramePr/>
      </xdr:nvGraphicFramePr>
      <xdr:xfrm>
        <a:off x="13073040" y="419760"/>
        <a:ext cx="8008560" cy="41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37</xdr:col>
      <xdr:colOff>428760</xdr:colOff>
      <xdr:row>90</xdr:row>
      <xdr:rowOff>3600</xdr:rowOff>
    </xdr:from>
    <xdr:to>
      <xdr:col>47</xdr:col>
      <xdr:colOff>85680</xdr:colOff>
      <xdr:row>121</xdr:row>
      <xdr:rowOff>54000</xdr:rowOff>
    </xdr:to>
    <xdr:graphicFrame>
      <xdr:nvGraphicFramePr>
        <xdr:cNvPr id="1" name="Chart 5"/>
        <xdr:cNvGraphicFramePr/>
      </xdr:nvGraphicFramePr>
      <xdr:xfrm>
        <a:off x="26510400" y="14036760"/>
        <a:ext cx="7862400" cy="4775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255600</xdr:colOff>
      <xdr:row>19</xdr:row>
      <xdr:rowOff>16560</xdr:rowOff>
    </xdr:from>
    <xdr:to>
      <xdr:col>16</xdr:col>
      <xdr:colOff>394920</xdr:colOff>
      <xdr:row>55</xdr:row>
      <xdr:rowOff>130680</xdr:rowOff>
    </xdr:to>
    <xdr:graphicFrame>
      <xdr:nvGraphicFramePr>
        <xdr:cNvPr id="2" name="Chart 1"/>
        <xdr:cNvGraphicFramePr/>
      </xdr:nvGraphicFramePr>
      <xdr:xfrm>
        <a:off x="4020840" y="2912040"/>
        <a:ext cx="8423640" cy="560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8</xdr:col>
      <xdr:colOff>693720</xdr:colOff>
      <xdr:row>55</xdr:row>
      <xdr:rowOff>29160</xdr:rowOff>
    </xdr:from>
    <xdr:to>
      <xdr:col>18</xdr:col>
      <xdr:colOff>140760</xdr:colOff>
      <xdr:row>86</xdr:row>
      <xdr:rowOff>79560</xdr:rowOff>
    </xdr:to>
    <xdr:graphicFrame>
      <xdr:nvGraphicFramePr>
        <xdr:cNvPr id="3" name="Chart 1"/>
        <xdr:cNvGraphicFramePr/>
      </xdr:nvGraphicFramePr>
      <xdr:xfrm>
        <a:off x="6718320" y="8411040"/>
        <a:ext cx="6978240" cy="4774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13</xdr:col>
      <xdr:colOff>29520</xdr:colOff>
      <xdr:row>0</xdr:row>
      <xdr:rowOff>41760</xdr:rowOff>
    </xdr:from>
    <xdr:to>
      <xdr:col>27</xdr:col>
      <xdr:colOff>496440</xdr:colOff>
      <xdr:row>41</xdr:row>
      <xdr:rowOff>143280</xdr:rowOff>
    </xdr:to>
    <xdr:graphicFrame>
      <xdr:nvGraphicFramePr>
        <xdr:cNvPr id="4" name="Chart 2"/>
        <xdr:cNvGraphicFramePr/>
      </xdr:nvGraphicFramePr>
      <xdr:xfrm>
        <a:off x="9819720" y="41760"/>
        <a:ext cx="11010600" cy="634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42120</xdr:colOff>
      <xdr:row>41</xdr:row>
      <xdr:rowOff>105480</xdr:rowOff>
    </xdr:from>
    <xdr:to>
      <xdr:col>27</xdr:col>
      <xdr:colOff>496440</xdr:colOff>
      <xdr:row>77</xdr:row>
      <xdr:rowOff>28800</xdr:rowOff>
    </xdr:to>
    <xdr:graphicFrame>
      <xdr:nvGraphicFramePr>
        <xdr:cNvPr id="5" name="Chart 3"/>
        <xdr:cNvGraphicFramePr/>
      </xdr:nvGraphicFramePr>
      <xdr:xfrm>
        <a:off x="9832320" y="6353640"/>
        <a:ext cx="10998000" cy="540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67680</xdr:colOff>
      <xdr:row>77</xdr:row>
      <xdr:rowOff>41760</xdr:rowOff>
    </xdr:from>
    <xdr:to>
      <xdr:col>27</xdr:col>
      <xdr:colOff>509400</xdr:colOff>
      <xdr:row>116</xdr:row>
      <xdr:rowOff>117720</xdr:rowOff>
    </xdr:to>
    <xdr:graphicFrame>
      <xdr:nvGraphicFramePr>
        <xdr:cNvPr id="6" name="Chart 4"/>
        <xdr:cNvGraphicFramePr/>
      </xdr:nvGraphicFramePr>
      <xdr:xfrm>
        <a:off x="9857880" y="11776320"/>
        <a:ext cx="10985400" cy="601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13</xdr:col>
      <xdr:colOff>29520</xdr:colOff>
      <xdr:row>0</xdr:row>
      <xdr:rowOff>41760</xdr:rowOff>
    </xdr:from>
    <xdr:to>
      <xdr:col>27</xdr:col>
      <xdr:colOff>496440</xdr:colOff>
      <xdr:row>41</xdr:row>
      <xdr:rowOff>143280</xdr:rowOff>
    </xdr:to>
    <xdr:graphicFrame>
      <xdr:nvGraphicFramePr>
        <xdr:cNvPr id="7" name="Chart 1"/>
        <xdr:cNvGraphicFramePr/>
      </xdr:nvGraphicFramePr>
      <xdr:xfrm>
        <a:off x="9819720" y="41760"/>
        <a:ext cx="11010600" cy="6349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42120</xdr:colOff>
      <xdr:row>41</xdr:row>
      <xdr:rowOff>105480</xdr:rowOff>
    </xdr:from>
    <xdr:to>
      <xdr:col>27</xdr:col>
      <xdr:colOff>496440</xdr:colOff>
      <xdr:row>77</xdr:row>
      <xdr:rowOff>28800</xdr:rowOff>
    </xdr:to>
    <xdr:graphicFrame>
      <xdr:nvGraphicFramePr>
        <xdr:cNvPr id="8" name="Chart 2"/>
        <xdr:cNvGraphicFramePr/>
      </xdr:nvGraphicFramePr>
      <xdr:xfrm>
        <a:off x="9832320" y="6353640"/>
        <a:ext cx="10998000" cy="540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67680</xdr:colOff>
      <xdr:row>77</xdr:row>
      <xdr:rowOff>41760</xdr:rowOff>
    </xdr:from>
    <xdr:to>
      <xdr:col>27</xdr:col>
      <xdr:colOff>509400</xdr:colOff>
      <xdr:row>116</xdr:row>
      <xdr:rowOff>117720</xdr:rowOff>
    </xdr:to>
    <xdr:graphicFrame>
      <xdr:nvGraphicFramePr>
        <xdr:cNvPr id="9" name="Chart 3"/>
        <xdr:cNvGraphicFramePr/>
      </xdr:nvGraphicFramePr>
      <xdr:xfrm>
        <a:off x="9857880" y="11776320"/>
        <a:ext cx="10985400" cy="601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niwa.co.nz/" TargetMode="External"/><Relationship Id="rId3" Type="http://schemas.openxmlformats.org/officeDocument/2006/relationships/hyperlink" Target="http://www.niwa.co.nz/" TargetMode="External"/><Relationship Id="rId4" Type="http://schemas.openxmlformats.org/officeDocument/2006/relationships/hyperlink" Target="http://www.niwa.co.nz/" TargetMode="External"/><Relationship Id="rId5" Type="http://schemas.openxmlformats.org/officeDocument/2006/relationships/hyperlink" Target="http://wateriso.utah.edu/waterisotopes/pages/data_access/oipc.html" TargetMode="External"/><Relationship Id="rId6" Type="http://schemas.openxmlformats.org/officeDocument/2006/relationships/hyperlink" Target="http://www.niwa.co.nz/" TargetMode="External"/><Relationship Id="rId7" Type="http://schemas.openxmlformats.org/officeDocument/2006/relationships/hyperlink" Target="http://www.niwa.co.nz/" TargetMode="External"/><Relationship Id="rId8" Type="http://schemas.openxmlformats.org/officeDocument/2006/relationships/drawing" Target="../drawings/drawing1.xml"/><Relationship Id="rId9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9"/>
  <sheetViews>
    <sheetView colorId="64" defaultGridColor="true" rightToLeft="false" showFormulas="false" showGridLines="true" showOutlineSymbols="true" showRowColHeaders="true" showZeros="true" tabSelected="true" topLeftCell="A2" view="normal" windowProtection="false" workbookViewId="0" zoomScale="100" zoomScaleNormal="100" zoomScalePageLayoutView="100">
      <selection activeCell="B45" activeCellId="0" pane="topLeft" sqref="B45"/>
    </sheetView>
  </sheetViews>
  <cols>
    <col collapsed="false" hidden="false" max="1" min="1" style="0" width="23.7764705882353"/>
    <col collapsed="false" hidden="false" max="2" min="2" style="0" width="12.3921568627451"/>
    <col collapsed="false" hidden="false" max="6" min="3" style="0" width="8.87058823529412"/>
    <col collapsed="false" hidden="false" max="7" min="7" style="0" width="16.4705882352941"/>
    <col collapsed="false" hidden="false" max="9" min="8" style="0" width="8.87058823529412"/>
    <col collapsed="false" hidden="false" max="10" min="10" style="0" width="11.3058823529412"/>
    <col collapsed="false" hidden="false" max="12" min="11" style="0" width="8.87058823529412"/>
    <col collapsed="false" hidden="false" max="14" min="13" style="0" width="12.2274509803922"/>
    <col collapsed="false" hidden="false" max="35" min="15" style="0" width="8.87058823529412"/>
    <col collapsed="false" hidden="false" max="36" min="36" style="0" width="16.9137254901961"/>
    <col collapsed="false" hidden="false" max="41" min="37" style="0" width="8.87058823529412"/>
    <col collapsed="false" hidden="false" max="42" min="42" style="0" width="37.0196078431373"/>
    <col collapsed="false" hidden="false" max="1025" min="43" style="0" width="8.87058823529412"/>
  </cols>
  <sheetData>
    <row collapsed="false" customFormat="false" customHeight="true" hidden="false" ht="12" outlineLevel="0" r="1">
      <c r="A1" s="1" t="s">
        <v>0</v>
      </c>
      <c r="AF1" s="2" t="n">
        <f aca="false">J36</f>
        <v>31</v>
      </c>
    </row>
    <row collapsed="false" customFormat="false" customHeight="true" hidden="false" ht="12" outlineLevel="0" r="2">
      <c r="A2" s="0" t="s">
        <v>1</v>
      </c>
      <c r="D2" s="0" t="s">
        <v>2</v>
      </c>
      <c r="G2" s="0" t="s">
        <v>3</v>
      </c>
      <c r="J2" s="0" t="s">
        <v>4</v>
      </c>
      <c r="M2" s="0" t="s">
        <v>5</v>
      </c>
    </row>
    <row collapsed="false" customFormat="false" customHeight="true" hidden="false" ht="12" outlineLevel="0" r="3">
      <c r="A3" s="0" t="s">
        <v>6</v>
      </c>
      <c r="B3" s="3" t="n">
        <v>0.25</v>
      </c>
      <c r="D3" s="0" t="s">
        <v>7</v>
      </c>
      <c r="E3" s="4" t="n">
        <f aca="false">B6+273.16</f>
        <v>287.426666666667</v>
      </c>
      <c r="G3" s="0" t="s">
        <v>8</v>
      </c>
      <c r="H3" s="4" t="n">
        <f aca="false">B6-1</f>
        <v>13.2666666666667</v>
      </c>
      <c r="J3" s="0" t="s">
        <v>9</v>
      </c>
      <c r="K3" s="4" t="n">
        <f aca="false">(B7/100)*K4</f>
        <v>13.7819659816718</v>
      </c>
      <c r="M3" s="0" t="s">
        <v>10</v>
      </c>
      <c r="N3" s="5" t="n">
        <f aca="false">(H8*E8*E10/44012 +K6)/(E4+E5+H8*E8)</f>
        <v>0.0011702780786221</v>
      </c>
    </row>
    <row collapsed="false" customFormat="false" customHeight="true" hidden="false" ht="12" outlineLevel="0" r="4">
      <c r="A4" s="0" t="s">
        <v>11</v>
      </c>
      <c r="B4" s="6" t="n">
        <f aca="false">AH4</f>
        <v>5.4</v>
      </c>
      <c r="D4" s="0" t="s">
        <v>12</v>
      </c>
      <c r="E4" s="4" t="n">
        <f aca="false">1/B3</f>
        <v>4</v>
      </c>
      <c r="G4" s="0" t="s">
        <v>13</v>
      </c>
      <c r="H4" s="7" t="n">
        <f aca="false">(6.13753 * EXP(H3 * ((18.564 - (H3/254.4)))/(H3 +255.57)))*100</f>
        <v>1530.15345319012</v>
      </c>
      <c r="J4" s="0" t="s">
        <v>14</v>
      </c>
      <c r="K4" s="7" t="n">
        <f aca="false">(6.13753 * EXP(B6 * ((18.564 - (B6/254.4)))/(B6 +255.57)))</f>
        <v>16.3293435801799</v>
      </c>
      <c r="AE4" s="8"/>
      <c r="AF4" s="0" t="s">
        <v>15</v>
      </c>
      <c r="AG4" s="0" t="s">
        <v>16</v>
      </c>
      <c r="AH4" s="2" t="n">
        <f aca="true">INDIRECT("V"&amp;$AF$1)</f>
        <v>5.4</v>
      </c>
    </row>
    <row collapsed="false" customFormat="false" customHeight="true" hidden="false" ht="12" outlineLevel="0" r="5">
      <c r="A5" s="0" t="s">
        <v>17</v>
      </c>
      <c r="B5" s="3" t="n">
        <v>0.015</v>
      </c>
      <c r="D5" s="0" t="s">
        <v>18</v>
      </c>
      <c r="E5" s="4" t="n">
        <f aca="false">0.89*E6</f>
        <v>0.509330329368083</v>
      </c>
      <c r="G5" s="0" t="s">
        <v>19</v>
      </c>
      <c r="H5" s="4" t="n">
        <f aca="false">H3+273.16</f>
        <v>286.426666666667</v>
      </c>
      <c r="J5" s="0" t="s">
        <v>20</v>
      </c>
      <c r="K5" s="7" t="n">
        <f aca="false">(6.13753 * EXP(K9 * ((18.564 - (K9/254.4)))/(K9 +255.57)))</f>
        <v>19.3602755618201</v>
      </c>
      <c r="AE5" s="9"/>
      <c r="AF5" s="0" t="s">
        <v>21</v>
      </c>
      <c r="AG5" s="0" t="s">
        <v>22</v>
      </c>
      <c r="AH5" s="2" t="n">
        <f aca="true">INDIRECT("T"&amp;$AF$1)</f>
        <v>14.2666666666667</v>
      </c>
    </row>
    <row collapsed="false" customFormat="false" customHeight="true" hidden="false" ht="12" outlineLevel="0" r="6">
      <c r="A6" s="0" t="s">
        <v>23</v>
      </c>
      <c r="B6" s="10" t="n">
        <f aca="false">AH5</f>
        <v>14.2666666666667</v>
      </c>
      <c r="D6" s="0" t="s">
        <v>24</v>
      </c>
      <c r="E6" s="4" t="n">
        <f aca="false">3.8 * (B5^0.25)*(B4^-0.5)</f>
        <v>0.572281268952902</v>
      </c>
      <c r="G6" s="0" t="s">
        <v>25</v>
      </c>
      <c r="H6" s="4" t="n">
        <f aca="false">(K4-H4)/(E3-H5)</f>
        <v>-1513.82410960994</v>
      </c>
      <c r="J6" s="0" t="s">
        <v>26</v>
      </c>
      <c r="K6" s="4" t="n">
        <f aca="false">(K4-K3)/B8</f>
        <v>0.00250890768073676</v>
      </c>
      <c r="AC6" s="0" t="n">
        <v>31</v>
      </c>
      <c r="AF6" s="0" t="s">
        <v>27</v>
      </c>
      <c r="AG6" s="0" t="s">
        <v>28</v>
      </c>
      <c r="AH6" s="2" t="n">
        <f aca="true">INDIRECT("S"&amp;$AF$1)</f>
        <v>84.4</v>
      </c>
    </row>
    <row collapsed="false" customFormat="false" customHeight="true" hidden="false" ht="12" outlineLevel="0" r="7">
      <c r="A7" s="0" t="s">
        <v>29</v>
      </c>
      <c r="B7" s="10" t="n">
        <f aca="false">AH6</f>
        <v>84.4</v>
      </c>
      <c r="D7" s="0" t="s">
        <v>30</v>
      </c>
      <c r="E7" s="4" t="n">
        <f aca="false">(4*0.98*(0.000000056703)*(E3^3))/(29.2)</f>
        <v>0.180755044915562</v>
      </c>
      <c r="G7" s="0" t="s">
        <v>31</v>
      </c>
      <c r="H7" s="4" t="n">
        <f aca="false">6.13753*(((B6+255.7)*(18.564 - (2*B6/254.4)) - B6*(18.564 - (B6/254.4)))/((B6+255.57)^2))*(EXP(B6*(18.564 - (B6/254.4))/(B6 + 255.57)))</f>
        <v>1.05794617634609</v>
      </c>
      <c r="J7" s="0" t="s">
        <v>32</v>
      </c>
      <c r="K7" s="4" t="n">
        <f aca="false">K3/K5</f>
        <v>0.711868275720769</v>
      </c>
      <c r="AC7" s="0" t="n">
        <v>32</v>
      </c>
      <c r="AF7" s="0" t="s">
        <v>33</v>
      </c>
      <c r="AG7" s="0" t="s">
        <v>34</v>
      </c>
      <c r="AH7" s="2" t="n">
        <f aca="true">INDIRECT("U"&amp;$AF$1)</f>
        <v>1015.33333333333</v>
      </c>
    </row>
    <row collapsed="false" customFormat="false" customHeight="true" hidden="false" ht="12" outlineLevel="0" r="8">
      <c r="A8" s="0" t="s">
        <v>35</v>
      </c>
      <c r="B8" s="3" t="n">
        <f aca="false">AH7</f>
        <v>1015.33333333333</v>
      </c>
      <c r="D8" s="0" t="s">
        <v>36</v>
      </c>
      <c r="E8" s="4" t="n">
        <f aca="false">1/((1/E6)+E7)</f>
        <v>0.518632508260436</v>
      </c>
      <c r="G8" s="0" t="s">
        <v>37</v>
      </c>
      <c r="H8" s="4" t="n">
        <f aca="false">(H7*44012)/(29.2*(B8))</f>
        <v>1.57051895299508</v>
      </c>
      <c r="J8" s="0" t="s">
        <v>38</v>
      </c>
      <c r="K8" s="11" t="n">
        <f aca="false">(E8*((E10*(E4+E5))-(44012*K6)))/(29.2*(E4+E5+(H8*E8)))</f>
        <v>2.6567603450696</v>
      </c>
      <c r="AC8" s="0" t="n">
        <v>33</v>
      </c>
    </row>
    <row collapsed="false" customFormat="false" customHeight="true" hidden="false" ht="12" outlineLevel="0" r="9">
      <c r="A9" s="0" t="s">
        <v>39</v>
      </c>
      <c r="B9" s="3" t="n">
        <v>925</v>
      </c>
      <c r="D9" s="0" t="s">
        <v>40</v>
      </c>
      <c r="E9" s="4" t="n">
        <f aca="false">(B9/4.6)*2</f>
        <v>402.173913043478</v>
      </c>
      <c r="J9" s="0" t="s">
        <v>41</v>
      </c>
      <c r="K9" s="4" t="n">
        <f aca="false">B6+K8</f>
        <v>16.9234270117363</v>
      </c>
      <c r="AC9" s="0" t="n">
        <v>34</v>
      </c>
    </row>
    <row collapsed="false" customFormat="false" customHeight="true" hidden="false" ht="12" outlineLevel="0" r="10">
      <c r="D10" s="0" t="s">
        <v>42</v>
      </c>
      <c r="E10" s="4" t="n">
        <f aca="false">E9*0.5</f>
        <v>201.086956521739</v>
      </c>
      <c r="J10" s="0" t="s">
        <v>43</v>
      </c>
      <c r="K10" s="4" t="n">
        <f aca="false">K9+273.16</f>
        <v>290.083427011736</v>
      </c>
      <c r="AC10" s="0" t="n">
        <v>35</v>
      </c>
    </row>
    <row collapsed="false" customFormat="false" customHeight="true" hidden="false" ht="12" outlineLevel="0" r="11">
      <c r="AC11" s="0" t="n">
        <v>36</v>
      </c>
    </row>
    <row collapsed="false" customFormat="false" customHeight="true" hidden="false" ht="12" outlineLevel="0" r="12">
      <c r="AC12" s="0" t="n">
        <v>37</v>
      </c>
    </row>
    <row collapsed="false" customFormat="false" customHeight="true" hidden="false" ht="12" outlineLevel="0" r="13">
      <c r="A13" s="1" t="s">
        <v>44</v>
      </c>
      <c r="AC13" s="0" t="n">
        <v>38</v>
      </c>
    </row>
    <row collapsed="false" customFormat="false" customHeight="true" hidden="false" ht="12" outlineLevel="0" r="14">
      <c r="A14" s="0" t="s">
        <v>1</v>
      </c>
      <c r="D14" s="0" t="s">
        <v>45</v>
      </c>
      <c r="H14" s="0" t="s">
        <v>46</v>
      </c>
      <c r="AC14" s="0" t="n">
        <v>39</v>
      </c>
    </row>
    <row collapsed="false" customFormat="false" customHeight="true" hidden="false" ht="12" outlineLevel="0" r="15">
      <c r="A15" s="12" t="s">
        <v>47</v>
      </c>
      <c r="B15" s="13" t="n">
        <f aca="false">B16+D45</f>
        <v>-15.2281120022339</v>
      </c>
      <c r="D15" s="12" t="s">
        <v>48</v>
      </c>
      <c r="E15" s="13" t="n">
        <f aca="false">((B17*E4)+(B18*E5))/(E4+E5)</f>
        <v>31.5481986972203</v>
      </c>
      <c r="H15" s="0" t="s">
        <v>49</v>
      </c>
      <c r="AC15" s="0" t="n">
        <v>40</v>
      </c>
      <c r="AG15" s="1" t="s">
        <v>50</v>
      </c>
      <c r="AH15" s="1"/>
      <c r="AI15" s="1" t="s">
        <v>51</v>
      </c>
      <c r="AJ15" s="1"/>
      <c r="AK15" s="1" t="s">
        <v>52</v>
      </c>
      <c r="AL15" s="1"/>
      <c r="AM15" s="1" t="s">
        <v>53</v>
      </c>
      <c r="AN15" s="1"/>
      <c r="AO15" s="1"/>
      <c r="AP15" s="1"/>
      <c r="AQ15" s="1" t="s">
        <v>54</v>
      </c>
    </row>
    <row collapsed="false" customFormat="false" customHeight="true" hidden="false" ht="12" outlineLevel="0" r="16">
      <c r="A16" s="12" t="s">
        <v>55</v>
      </c>
      <c r="B16" s="13" t="n">
        <v>-5.17</v>
      </c>
      <c r="D16" s="12" t="s">
        <v>56</v>
      </c>
      <c r="E16" s="13" t="n">
        <f aca="false">2.644-3.206*((10^3)/K10)+1.534*((10^6)/(K10^2))</f>
        <v>9.82170714080248</v>
      </c>
      <c r="H16" s="0" t="s">
        <v>57</v>
      </c>
      <c r="AC16" s="0" t="n">
        <v>41</v>
      </c>
    </row>
    <row collapsed="false" customFormat="false" customHeight="true" hidden="false" ht="12" outlineLevel="0" r="17">
      <c r="A17" s="0" t="s">
        <v>58</v>
      </c>
      <c r="B17" s="13" t="n">
        <v>32</v>
      </c>
      <c r="D17" s="12" t="s">
        <v>59</v>
      </c>
      <c r="E17" s="14" t="n">
        <f aca="false">((B15/1000)*(1+(B16/1000))+(B16/1000))*1000</f>
        <v>-20.3193826631824</v>
      </c>
      <c r="AC17" s="0" t="n">
        <v>42</v>
      </c>
      <c r="AG17" s="15" t="s">
        <v>60</v>
      </c>
    </row>
    <row collapsed="false" customFormat="false" customHeight="true" hidden="false" ht="12" outlineLevel="0" r="18">
      <c r="A18" s="0" t="s">
        <v>61</v>
      </c>
      <c r="B18" s="13" t="n">
        <v>28</v>
      </c>
      <c r="D18" s="16" t="s">
        <v>62</v>
      </c>
      <c r="E18" s="13" t="n">
        <f aca="false">E15+E16+((B15-E15)*K7)</f>
        <v>8.07133419582336</v>
      </c>
      <c r="G18" s="17"/>
      <c r="AC18" s="0" t="n">
        <v>43</v>
      </c>
      <c r="AG18" s="0" t="s">
        <v>63</v>
      </c>
      <c r="AI18" s="0" t="s">
        <v>64</v>
      </c>
      <c r="AK18" s="0" t="n">
        <v>5.6</v>
      </c>
      <c r="AM18" s="0" t="s">
        <v>65</v>
      </c>
      <c r="AQ18" s="18" t="s">
        <v>66</v>
      </c>
    </row>
    <row collapsed="false" customFormat="false" customHeight="true" hidden="false" ht="12" outlineLevel="0" r="19">
      <c r="AC19" s="0" t="n">
        <v>44</v>
      </c>
      <c r="AG19" s="0" t="s">
        <v>67</v>
      </c>
      <c r="AI19" s="0" t="s">
        <v>68</v>
      </c>
      <c r="AK19" s="0" t="n">
        <v>14.6</v>
      </c>
      <c r="AM19" s="0" t="s">
        <v>65</v>
      </c>
      <c r="AQ19" s="18" t="s">
        <v>66</v>
      </c>
    </row>
    <row collapsed="false" customFormat="false" customHeight="true" hidden="false" ht="12" outlineLevel="0" r="20">
      <c r="A20" s="1" t="s">
        <v>69</v>
      </c>
      <c r="AC20" s="0" t="n">
        <v>45</v>
      </c>
      <c r="AG20" s="0" t="s">
        <v>33</v>
      </c>
      <c r="AI20" s="0" t="s">
        <v>70</v>
      </c>
      <c r="AK20" s="0" t="n">
        <v>1016.1</v>
      </c>
      <c r="AM20" s="0" t="s">
        <v>65</v>
      </c>
      <c r="AQ20" s="18" t="s">
        <v>66</v>
      </c>
    </row>
    <row collapsed="false" customFormat="false" customHeight="true" hidden="false" ht="12" outlineLevel="0" r="21">
      <c r="A21" s="0" t="s">
        <v>1</v>
      </c>
      <c r="D21" s="0" t="s">
        <v>45</v>
      </c>
      <c r="AC21" s="0" t="n">
        <v>46</v>
      </c>
      <c r="AG21" s="0" t="s">
        <v>71</v>
      </c>
      <c r="AI21" s="0" t="s">
        <v>72</v>
      </c>
      <c r="AK21" s="0" t="n">
        <v>-5.17</v>
      </c>
      <c r="AQ21" s="18" t="s">
        <v>73</v>
      </c>
    </row>
    <row collapsed="false" customFormat="false" customHeight="true" hidden="false" ht="12" outlineLevel="0" r="22">
      <c r="A22" s="0" t="s">
        <v>74</v>
      </c>
      <c r="B22" s="13" t="n">
        <v>0.0077</v>
      </c>
      <c r="D22" s="0" t="s">
        <v>75</v>
      </c>
      <c r="E22" s="13" t="n">
        <f aca="false">(N3*B22)/(B23*B24)</f>
        <v>0.0875176268770401</v>
      </c>
      <c r="AC22" s="0" t="n">
        <v>47</v>
      </c>
      <c r="AG22" s="0" t="s">
        <v>76</v>
      </c>
      <c r="AI22" s="0" t="s">
        <v>72</v>
      </c>
      <c r="AK22" s="0" t="n">
        <v>-15.61</v>
      </c>
      <c r="AM22" s="0" t="s">
        <v>77</v>
      </c>
      <c r="AQ22" s="0" t="s">
        <v>78</v>
      </c>
    </row>
    <row collapsed="false" customFormat="false" customHeight="true" hidden="false" ht="12" outlineLevel="0" r="23">
      <c r="A23" s="0" t="s">
        <v>68</v>
      </c>
      <c r="B23" s="19" t="n">
        <f aca="false">55.5*1000</f>
        <v>55500</v>
      </c>
      <c r="D23" s="16" t="s">
        <v>79</v>
      </c>
      <c r="E23" s="13" t="n">
        <f aca="false">(E18*(1-EXP(-E22)))/E22</f>
        <v>7.72822415171601</v>
      </c>
      <c r="F23" s="12" t="s">
        <v>80</v>
      </c>
      <c r="G23" s="20" t="n">
        <f aca="false">((E23/1000)*(1+(B16/1000))+(B16/1000))*1000</f>
        <v>2.51826923285164</v>
      </c>
      <c r="AC23" s="0" t="n">
        <v>48</v>
      </c>
      <c r="AG23" s="0" t="s">
        <v>81</v>
      </c>
      <c r="AI23" s="0" t="s">
        <v>82</v>
      </c>
      <c r="AK23" s="0" t="n">
        <v>925</v>
      </c>
      <c r="AM23" s="0" t="s">
        <v>65</v>
      </c>
      <c r="AQ23" s="18" t="s">
        <v>66</v>
      </c>
    </row>
    <row collapsed="false" customFormat="false" customHeight="true" hidden="false" ht="13" outlineLevel="0" r="24">
      <c r="A24" s="0" t="s">
        <v>26</v>
      </c>
      <c r="B24" s="21" t="n">
        <f aca="false">0.000000119*(EXP(-(637/(K10-137))))</f>
        <v>1.85520232203896E-009</v>
      </c>
      <c r="AC24" s="0" t="n">
        <v>49</v>
      </c>
      <c r="AG24" s="0" t="s">
        <v>83</v>
      </c>
      <c r="AI24" s="0" t="s">
        <v>84</v>
      </c>
      <c r="AK24" s="0" t="n">
        <v>79.9</v>
      </c>
      <c r="AM24" s="0" t="s">
        <v>65</v>
      </c>
      <c r="AQ24" s="18" t="s">
        <v>66</v>
      </c>
    </row>
    <row collapsed="false" customFormat="false" customHeight="true" hidden="false" ht="12" outlineLevel="0" r="25">
      <c r="I25" s="0" t="s">
        <v>85</v>
      </c>
      <c r="AC25" s="0" t="n">
        <v>50</v>
      </c>
    </row>
    <row collapsed="false" customFormat="false" customHeight="true" hidden="false" ht="12" outlineLevel="0" r="26">
      <c r="A26" s="1" t="s">
        <v>86</v>
      </c>
      <c r="I26" s="0" t="s">
        <v>87</v>
      </c>
      <c r="J26" s="0" t="s">
        <v>88</v>
      </c>
      <c r="AC26" s="0" t="n">
        <v>51</v>
      </c>
      <c r="AG26" s="15" t="s">
        <v>89</v>
      </c>
    </row>
    <row collapsed="false" customFormat="false" customHeight="true" hidden="false" ht="12" outlineLevel="0" r="27">
      <c r="A27" s="0" t="s">
        <v>1</v>
      </c>
      <c r="D27" s="0" t="s">
        <v>45</v>
      </c>
      <c r="I27" s="0" t="n">
        <v>31.82</v>
      </c>
      <c r="J27" s="0" t="n">
        <v>1.73</v>
      </c>
      <c r="AC27" s="0" t="n">
        <v>52</v>
      </c>
      <c r="AG27" s="0" t="s">
        <v>90</v>
      </c>
      <c r="AI27" s="0" t="s">
        <v>91</v>
      </c>
      <c r="AK27" s="0" t="n">
        <v>0.015</v>
      </c>
      <c r="AM27" s="0" t="s">
        <v>92</v>
      </c>
      <c r="AQ27" s="0" t="s">
        <v>93</v>
      </c>
    </row>
    <row collapsed="false" customFormat="false" customHeight="true" hidden="false" ht="12" outlineLevel="0" r="28">
      <c r="A28" s="0" t="s">
        <v>94</v>
      </c>
      <c r="B28" s="13" t="n">
        <v>27</v>
      </c>
      <c r="D28" s="22" t="s">
        <v>95</v>
      </c>
      <c r="E28" s="23" t="n">
        <f aca="false">E23+B28</f>
        <v>34.728224151716</v>
      </c>
      <c r="F28" s="22" t="s">
        <v>96</v>
      </c>
      <c r="G28" s="24" t="n">
        <f aca="false">((E28/1000)*(1+(B16/1000))+(B16/1000))*1000</f>
        <v>29.3786792328516</v>
      </c>
      <c r="K28" s="0" t="s">
        <v>97</v>
      </c>
      <c r="M28" s="0" t="s">
        <v>98</v>
      </c>
      <c r="N28" s="2" t="n">
        <f aca="false">STDEV(N31:N58)</f>
        <v>0.456276046585651</v>
      </c>
      <c r="AC28" s="0" t="n">
        <v>53</v>
      </c>
      <c r="AG28" s="0" t="s">
        <v>99</v>
      </c>
      <c r="AI28" s="0" t="s">
        <v>91</v>
      </c>
      <c r="AK28" s="0" t="n">
        <v>0.0077</v>
      </c>
      <c r="AM28" s="0" t="s">
        <v>100</v>
      </c>
    </row>
    <row collapsed="false" customFormat="false" customHeight="true" hidden="false" ht="12" outlineLevel="0" r="29">
      <c r="A29" s="12" t="s">
        <v>101</v>
      </c>
      <c r="B29" s="13" t="n">
        <v>9</v>
      </c>
      <c r="N29" s="2" t="n">
        <f aca="false">AVERAGE(N31:N58)</f>
        <v>28.4678571428571</v>
      </c>
      <c r="AC29" s="0" t="n">
        <v>54</v>
      </c>
      <c r="AG29" s="0" t="s">
        <v>102</v>
      </c>
      <c r="AI29" s="0" t="s">
        <v>103</v>
      </c>
      <c r="AK29" s="25" t="s">
        <v>104</v>
      </c>
      <c r="AM29" s="0" t="s">
        <v>105</v>
      </c>
      <c r="AQ29" s="0" t="s">
        <v>106</v>
      </c>
    </row>
    <row collapsed="false" customFormat="false" customHeight="true" hidden="false" ht="18" outlineLevel="0" r="30">
      <c r="A30" s="0" t="s">
        <v>107</v>
      </c>
      <c r="B30" s="13" t="n">
        <v>0.45</v>
      </c>
      <c r="D30" s="22" t="s">
        <v>108</v>
      </c>
      <c r="E30" s="23" t="n">
        <f aca="false">(E23*(1-(B30*B31)))+B28</f>
        <v>32.7807116654836</v>
      </c>
      <c r="F30" s="22" t="s">
        <v>109</v>
      </c>
      <c r="G30" s="26" t="n">
        <f aca="false">((E30/1000)*(1+(B16/1000))+(B16/1000))*1000</f>
        <v>27.441235386173</v>
      </c>
      <c r="I30" s="8"/>
      <c r="L30" s="0" t="s">
        <v>110</v>
      </c>
      <c r="M30" s="0" t="s">
        <v>111</v>
      </c>
      <c r="N30" s="0" t="s">
        <v>112</v>
      </c>
      <c r="O30" s="0" t="s">
        <v>110</v>
      </c>
      <c r="P30" s="0" t="s">
        <v>113</v>
      </c>
      <c r="Q30" s="0" t="s">
        <v>114</v>
      </c>
      <c r="S30" s="0" t="s">
        <v>27</v>
      </c>
      <c r="T30" s="0" t="s">
        <v>21</v>
      </c>
      <c r="U30" s="0" t="s">
        <v>33</v>
      </c>
      <c r="V30" s="0" t="s">
        <v>115</v>
      </c>
      <c r="AC30" s="0" t="n">
        <v>55</v>
      </c>
      <c r="AG30" s="0" t="s">
        <v>116</v>
      </c>
      <c r="AI30" s="0" t="s">
        <v>117</v>
      </c>
      <c r="AK30" s="0" t="n">
        <v>0.45</v>
      </c>
      <c r="AM30" s="0" t="s">
        <v>118</v>
      </c>
      <c r="AQ30" s="0" t="s">
        <v>119</v>
      </c>
    </row>
    <row collapsed="false" customFormat="false" customHeight="true" hidden="false" ht="12" outlineLevel="0" r="31">
      <c r="A31" s="0" t="s">
        <v>120</v>
      </c>
      <c r="B31" s="13" t="n">
        <v>0.56</v>
      </c>
      <c r="D31" s="22" t="s">
        <v>121</v>
      </c>
      <c r="E31" s="23" t="n">
        <f aca="false">E30-B29</f>
        <v>23.7807116654836</v>
      </c>
      <c r="F31" s="22" t="s">
        <v>122</v>
      </c>
      <c r="G31" s="24" t="n">
        <f aca="false">((E31/1000)*(1+(B16/1000))+(B16/1000))*1000</f>
        <v>18.487765386173</v>
      </c>
      <c r="L31" s="0" t="n">
        <v>2009</v>
      </c>
      <c r="M31" s="2" t="n">
        <f aca="false">(N31-$N$29)/$N$28</f>
        <v>-2.34037519797061</v>
      </c>
      <c r="N31" s="8" t="n">
        <v>27.4</v>
      </c>
      <c r="O31" s="0" t="n">
        <v>2009</v>
      </c>
      <c r="P31" s="0" t="n">
        <v>-0.290357581425254</v>
      </c>
      <c r="Q31" s="0" t="n">
        <v>1.42180731768988</v>
      </c>
      <c r="R31" s="0" t="n">
        <v>-0.169366282094703</v>
      </c>
      <c r="S31" s="0" t="n">
        <v>84.4</v>
      </c>
      <c r="T31" s="9" t="n">
        <v>14.2666666666667</v>
      </c>
      <c r="U31" s="8" t="n">
        <v>1015.33333333333</v>
      </c>
      <c r="V31" s="8" t="n">
        <v>5.4</v>
      </c>
      <c r="AC31" s="0" t="n">
        <v>56</v>
      </c>
      <c r="AG31" s="0" t="s">
        <v>123</v>
      </c>
      <c r="AI31" s="0" t="s">
        <v>117</v>
      </c>
      <c r="AK31" s="0" t="n">
        <v>0.56</v>
      </c>
      <c r="AM31" s="0" t="s">
        <v>124</v>
      </c>
      <c r="AQ31" s="0" t="s">
        <v>125</v>
      </c>
    </row>
    <row collapsed="false" customFormat="false" customHeight="true" hidden="false" ht="12" outlineLevel="0" r="32">
      <c r="L32" s="0" t="n">
        <v>2008</v>
      </c>
      <c r="M32" s="2" t="n">
        <f aca="false">(N32-$N$29)/$N$28</f>
        <v>0.070446076193106</v>
      </c>
      <c r="N32" s="8" t="n">
        <v>28.5</v>
      </c>
      <c r="O32" s="0" t="n">
        <v>2008</v>
      </c>
      <c r="P32" s="0" t="n">
        <v>0.239226391218053</v>
      </c>
      <c r="Q32" s="0" t="n">
        <v>0.703994405438632</v>
      </c>
      <c r="R32" s="0" t="n">
        <v>-0.821791396811226</v>
      </c>
      <c r="S32" s="0" t="n">
        <v>79.8</v>
      </c>
      <c r="T32" s="9" t="n">
        <v>14.6333333333333</v>
      </c>
      <c r="U32" s="8" t="n">
        <v>1018.3</v>
      </c>
      <c r="V32" s="8" t="n">
        <v>5.3</v>
      </c>
      <c r="AC32" s="0" t="n">
        <v>57</v>
      </c>
    </row>
    <row collapsed="false" customFormat="false" customHeight="true" hidden="false" ht="12" outlineLevel="0" r="33">
      <c r="L33" s="0" t="n">
        <v>2007</v>
      </c>
      <c r="M33" s="2" t="n">
        <f aca="false">(N33-$N$29)/$N$28</f>
        <v>1.1662739280857</v>
      </c>
      <c r="N33" s="8" t="n">
        <v>29</v>
      </c>
      <c r="O33" s="0" t="n">
        <v>2007</v>
      </c>
      <c r="P33" s="0" t="n">
        <v>0.644525254642978</v>
      </c>
      <c r="Q33" s="0" t="n">
        <v>0.436674339778762</v>
      </c>
      <c r="R33" s="0" t="n">
        <v>-0.166307183198284</v>
      </c>
      <c r="S33" s="0" t="n">
        <v>78.4</v>
      </c>
      <c r="T33" s="9" t="n">
        <v>14.4333333333333</v>
      </c>
      <c r="U33" s="8" t="n">
        <v>1017.1</v>
      </c>
      <c r="V33" s="8" t="n">
        <v>4.93333333333333</v>
      </c>
      <c r="AC33" s="0" t="n">
        <v>58</v>
      </c>
    </row>
    <row collapsed="false" customFormat="false" customHeight="true" hidden="false" ht="12" outlineLevel="0" r="34">
      <c r="L34" s="0" t="n">
        <v>2006</v>
      </c>
      <c r="M34" s="2" t="n">
        <f aca="false">(N34-$N$29)/$N$28</f>
        <v>-0.806216205320969</v>
      </c>
      <c r="N34" s="8" t="n">
        <v>28.1</v>
      </c>
      <c r="O34" s="0" t="n">
        <v>2006</v>
      </c>
      <c r="P34" s="0" t="n">
        <v>-1.11602500457803</v>
      </c>
      <c r="Q34" s="0" t="n">
        <v>1.61019211419306</v>
      </c>
      <c r="R34" s="0" t="n">
        <v>-0.013842537895437</v>
      </c>
      <c r="S34" s="0" t="n">
        <v>81.25</v>
      </c>
      <c r="T34" s="9" t="n">
        <v>14.8</v>
      </c>
      <c r="U34" s="8" t="n">
        <v>1018.7</v>
      </c>
      <c r="V34" s="8" t="n">
        <v>5.36666666666667</v>
      </c>
    </row>
    <row collapsed="false" customFormat="false" customHeight="true" hidden="false" ht="12" outlineLevel="0" r="35">
      <c r="L35" s="0" t="n">
        <v>2005</v>
      </c>
      <c r="M35" s="2" t="n">
        <f aca="false">(N35-$N$29)/$N$28</f>
        <v>-0.587050634942454</v>
      </c>
      <c r="N35" s="8" t="n">
        <v>28.2</v>
      </c>
      <c r="O35" s="0" t="n">
        <v>2005</v>
      </c>
      <c r="P35" s="0" t="n">
        <v>-0.288800991974175</v>
      </c>
      <c r="Q35" s="0" t="n">
        <v>1.02319843461312</v>
      </c>
      <c r="R35" s="0" t="n">
        <v>-0.15409241471607</v>
      </c>
      <c r="S35" s="0" t="n">
        <v>81.3</v>
      </c>
      <c r="T35" s="9" t="n">
        <v>15.0666666666667</v>
      </c>
      <c r="U35" s="8" t="n">
        <v>1016.16666666667</v>
      </c>
      <c r="V35" s="8" t="n">
        <v>4.93333333333333</v>
      </c>
    </row>
    <row collapsed="false" customFormat="false" customHeight="true" hidden="false" ht="18" outlineLevel="0" r="36">
      <c r="C36" s="0" t="s">
        <v>126</v>
      </c>
      <c r="J36" s="27" t="n">
        <v>31</v>
      </c>
      <c r="L36" s="0" t="n">
        <v>2004</v>
      </c>
      <c r="M36" s="2" t="n">
        <f aca="false">(N36-$N$29)/$N$28</f>
        <v>0.289611646571629</v>
      </c>
      <c r="N36" s="8" t="n">
        <v>28.6</v>
      </c>
      <c r="O36" s="0" t="n">
        <v>2004</v>
      </c>
      <c r="P36" s="0" t="n">
        <v>0.195304801722278</v>
      </c>
      <c r="Q36" s="0" t="n">
        <v>0.592711238768982</v>
      </c>
      <c r="R36" s="0" t="n">
        <v>-0.149919636117161</v>
      </c>
      <c r="S36" s="0" t="n">
        <v>79.2</v>
      </c>
      <c r="T36" s="9" t="n">
        <v>14.3</v>
      </c>
      <c r="U36" s="8" t="n">
        <v>1017</v>
      </c>
      <c r="V36" s="8" t="n">
        <v>5.6</v>
      </c>
    </row>
    <row collapsed="false" customFormat="false" customHeight="true" hidden="false" ht="12" outlineLevel="0" r="37">
      <c r="C37" s="2" t="n">
        <f aca="false">3.86/1000</f>
        <v>0.00386</v>
      </c>
      <c r="E37" s="2" t="n">
        <f aca="false">C37*100</f>
        <v>0.386</v>
      </c>
      <c r="L37" s="0" t="n">
        <v>2003</v>
      </c>
      <c r="M37" s="2" t="n">
        <f aca="false">(N37-$N$29)/$N$28</f>
        <v>-0.587050634942454</v>
      </c>
      <c r="N37" s="8" t="n">
        <v>28.2</v>
      </c>
      <c r="O37" s="0" t="n">
        <v>2003</v>
      </c>
      <c r="P37" s="0" t="n">
        <v>-0.710341741153059</v>
      </c>
      <c r="Q37" s="0" t="n">
        <v>0.869130851208165</v>
      </c>
      <c r="R37" s="0" t="n">
        <v>-0.0165506311069828</v>
      </c>
      <c r="S37" s="0" t="n">
        <v>81</v>
      </c>
      <c r="T37" s="9" t="n">
        <v>14.4333333333333</v>
      </c>
      <c r="U37" s="8" t="n">
        <v>1012.96666666667</v>
      </c>
      <c r="V37" s="8" t="n">
        <v>5.63333333333333</v>
      </c>
    </row>
    <row collapsed="false" customFormat="false" customHeight="true" hidden="false" ht="12" outlineLevel="0" r="38">
      <c r="A38" s="0" t="s">
        <v>127</v>
      </c>
      <c r="B38" s="28" t="n">
        <f aca="false">-4.17*0.0020052</f>
        <v>-0.008361684</v>
      </c>
      <c r="L38" s="0" t="n">
        <v>2002</v>
      </c>
      <c r="M38" s="2" t="n">
        <f aca="false">(N38-$N$29)/$N$28</f>
        <v>2.2621017799783</v>
      </c>
      <c r="N38" s="8" t="n">
        <v>29.5</v>
      </c>
      <c r="O38" s="0" t="n">
        <v>2002</v>
      </c>
      <c r="P38" s="0" t="n">
        <v>0.504585523518288</v>
      </c>
      <c r="Q38" s="0" t="n">
        <v>0.498781367781517</v>
      </c>
      <c r="R38" s="0" t="n">
        <v>0.396067090973483</v>
      </c>
      <c r="S38" s="0" t="n">
        <v>75.7</v>
      </c>
      <c r="T38" s="9" t="n">
        <v>13.9</v>
      </c>
      <c r="U38" s="8" t="n">
        <v>1015.86666666667</v>
      </c>
      <c r="V38" s="8" t="n">
        <v>5.8</v>
      </c>
    </row>
    <row collapsed="false" customFormat="false" customHeight="true" hidden="false" ht="12" outlineLevel="0" r="39">
      <c r="A39" s="0" t="s">
        <v>128</v>
      </c>
      <c r="B39" s="28" t="n">
        <f aca="false">(D45+1)*B38</f>
        <v>0.0757410701992873</v>
      </c>
      <c r="L39" s="0" t="n">
        <v>2001</v>
      </c>
      <c r="M39" s="2" t="n">
        <f aca="false">(N39-$N$29)/$N$28</f>
        <v>0.289611646571629</v>
      </c>
      <c r="N39" s="8" t="n">
        <v>28.6</v>
      </c>
      <c r="O39" s="0" t="n">
        <v>2001</v>
      </c>
      <c r="P39" s="0" t="n">
        <v>-0.0374644219748053</v>
      </c>
      <c r="Q39" s="0" t="n">
        <v>0.878843296521323</v>
      </c>
      <c r="R39" s="0" t="n">
        <v>0.157404460731182</v>
      </c>
      <c r="S39" s="0" t="n">
        <v>79.7</v>
      </c>
      <c r="T39" s="9" t="n">
        <v>15.4</v>
      </c>
      <c r="U39" s="8" t="n">
        <v>1017.33333333333</v>
      </c>
      <c r="V39" s="8" t="n">
        <v>4.83333333333333</v>
      </c>
      <c r="AJ39" s="2" t="n">
        <f aca="false">26*2</f>
        <v>52</v>
      </c>
    </row>
    <row collapsed="false" customFormat="false" customHeight="true" hidden="false" ht="12" outlineLevel="0" r="40">
      <c r="A40" s="0" t="s">
        <v>129</v>
      </c>
      <c r="B40" s="28" t="n">
        <f aca="false">(B39/B38)-1</f>
        <v>-10.0581120022339</v>
      </c>
      <c r="L40" s="0" t="n">
        <v>2000</v>
      </c>
      <c r="M40" s="2" t="n">
        <f aca="false">(N40-$N$29)/$N$28</f>
        <v>0.947108357707181</v>
      </c>
      <c r="N40" s="8" t="n">
        <v>28.9</v>
      </c>
      <c r="O40" s="0" t="n">
        <v>2000</v>
      </c>
      <c r="P40" s="0" t="n">
        <v>0.774352237006285</v>
      </c>
      <c r="Q40" s="0" t="n">
        <v>0.557196327610986</v>
      </c>
      <c r="R40" s="0" t="n">
        <v>0.655280414565495</v>
      </c>
      <c r="S40" s="0" t="n">
        <v>78.35</v>
      </c>
      <c r="T40" s="9" t="n">
        <v>14.3333333333333</v>
      </c>
      <c r="U40" s="8" t="n">
        <v>1015.1</v>
      </c>
      <c r="V40" s="8" t="n">
        <v>5.53333333333333</v>
      </c>
    </row>
    <row collapsed="false" customFormat="false" customHeight="true" hidden="false" ht="12" outlineLevel="0" r="41">
      <c r="A41" s="2" t="n">
        <f aca="false">B6</f>
        <v>14.2666666666667</v>
      </c>
      <c r="G41" s="0" t="n">
        <v>-5.17</v>
      </c>
      <c r="H41" s="0" t="s">
        <v>130</v>
      </c>
      <c r="L41" s="0" t="n">
        <v>1999</v>
      </c>
      <c r="M41" s="2" t="n">
        <f aca="false">(N41-$N$29)/$N$28</f>
        <v>0.289611646571629</v>
      </c>
      <c r="N41" s="8" t="n">
        <v>28.6</v>
      </c>
      <c r="O41" s="0" t="n">
        <v>1999</v>
      </c>
      <c r="P41" s="0" t="n">
        <v>-0.0525622581600255</v>
      </c>
      <c r="Q41" s="0" t="n">
        <v>1.02928220604213</v>
      </c>
      <c r="R41" s="0" t="n">
        <v>0.494321492860573</v>
      </c>
      <c r="S41" s="0" t="n">
        <v>79.75</v>
      </c>
      <c r="T41" s="9" t="n">
        <v>15.0666666666667</v>
      </c>
      <c r="U41" s="8" t="n">
        <v>1019.6</v>
      </c>
      <c r="V41" s="8" t="n">
        <v>4.7</v>
      </c>
    </row>
    <row collapsed="false" customFormat="false" customHeight="true" hidden="false" ht="12" outlineLevel="0" r="42">
      <c r="L42" s="0" t="n">
        <v>1998</v>
      </c>
      <c r="M42" s="2" t="n">
        <f aca="false">(N42-$N$29)/$N$28</f>
        <v>-0.367885064563931</v>
      </c>
      <c r="N42" s="8" t="n">
        <v>28.3</v>
      </c>
      <c r="O42" s="0" t="n">
        <v>1998</v>
      </c>
      <c r="P42" s="0" t="n">
        <v>-0.273647195365403</v>
      </c>
      <c r="Q42" s="0" t="n">
        <v>0.866944274905824</v>
      </c>
      <c r="R42" s="0" t="n">
        <v>0.727194315662255</v>
      </c>
      <c r="S42" s="0" t="n">
        <v>80.15</v>
      </c>
      <c r="T42" s="9" t="n">
        <v>15.4666666666667</v>
      </c>
      <c r="U42" s="8" t="n">
        <v>1017.66666666667</v>
      </c>
      <c r="V42" s="8" t="n">
        <v>5.6</v>
      </c>
    </row>
    <row collapsed="false" customFormat="false" customHeight="true" hidden="false" ht="12" outlineLevel="0" r="43">
      <c r="L43" s="0" t="n">
        <v>1997</v>
      </c>
      <c r="M43" s="2" t="n">
        <f aca="false">(N43-$N$29)/$N$28</f>
        <v>-0.806216205320969</v>
      </c>
      <c r="N43" s="8" t="n">
        <v>28.1</v>
      </c>
      <c r="O43" s="0" t="n">
        <v>1997</v>
      </c>
      <c r="P43" s="0" t="n">
        <v>-0.457270555508932</v>
      </c>
      <c r="Q43" s="0" t="n">
        <v>1.01970792328459</v>
      </c>
      <c r="R43" s="0" t="n">
        <v>0.56564976863267</v>
      </c>
      <c r="S43" s="0" t="n">
        <v>81.45</v>
      </c>
      <c r="T43" s="9" t="n">
        <v>14.2333333333333</v>
      </c>
      <c r="U43" s="8" t="n">
        <v>1016.4</v>
      </c>
      <c r="V43" s="8" t="n">
        <v>5.83333333333333</v>
      </c>
    </row>
    <row collapsed="false" customFormat="false" customHeight="true" hidden="false" ht="12" outlineLevel="0" r="44">
      <c r="A44" s="2" t="n">
        <f aca="false">A41+273.16</f>
        <v>287.426666666667</v>
      </c>
      <c r="L44" s="0" t="n">
        <v>1996</v>
      </c>
      <c r="M44" s="2" t="n">
        <f aca="false">(N44-$N$29)/$N$28</f>
        <v>0.070446076193106</v>
      </c>
      <c r="N44" s="8" t="n">
        <v>28.5</v>
      </c>
      <c r="O44" s="0" t="n">
        <v>1996</v>
      </c>
      <c r="P44" s="0" t="n">
        <v>-0.141932344522551</v>
      </c>
      <c r="Q44" s="0" t="n">
        <v>1.65138448911485</v>
      </c>
      <c r="R44" s="0" t="n">
        <v>-0.0675953286003726</v>
      </c>
      <c r="S44" s="0" t="n">
        <v>79.7</v>
      </c>
      <c r="T44" s="9" t="n">
        <v>14.8666666666667</v>
      </c>
      <c r="U44" s="8" t="n">
        <v>1015.26666666667</v>
      </c>
      <c r="V44" s="8" t="n">
        <v>5.4</v>
      </c>
    </row>
    <row collapsed="false" customFormat="false" customHeight="true" hidden="false" ht="12" outlineLevel="0" r="45">
      <c r="A45" s="0" t="s">
        <v>131</v>
      </c>
      <c r="B45" s="2" t="n">
        <f aca="false">2.644-3.206*(1000/A44)+1.534*(1000000/(A44*A44))</f>
        <v>10.0581120022339</v>
      </c>
      <c r="C45" s="0" t="s">
        <v>132</v>
      </c>
      <c r="D45" s="2" t="n">
        <f aca="false">B45*-1</f>
        <v>-10.0581120022339</v>
      </c>
      <c r="G45" s="2" t="n">
        <f aca="false">(D45+1)*E47</f>
        <v>0.0757410701992873</v>
      </c>
      <c r="L45" s="0" t="n">
        <v>1995</v>
      </c>
      <c r="M45" s="2" t="n">
        <f aca="false">(N45-$N$29)/$N$28</f>
        <v>-0.148719494185417</v>
      </c>
      <c r="N45" s="8" t="n">
        <v>28.4</v>
      </c>
      <c r="O45" s="0" t="n">
        <v>1995</v>
      </c>
      <c r="P45" s="0" t="n">
        <v>-0.0675953286003726</v>
      </c>
      <c r="Q45" s="0" t="n">
        <v>0.571740030839171</v>
      </c>
      <c r="R45" s="0" t="n">
        <v>-0.141932344522551</v>
      </c>
      <c r="S45" s="0" t="n">
        <v>80.8</v>
      </c>
      <c r="T45" s="9" t="n">
        <v>14.2333333333333</v>
      </c>
      <c r="U45" s="8" t="n">
        <v>1017.63333333333</v>
      </c>
      <c r="V45" s="8" t="n">
        <v>4.93333333333333</v>
      </c>
    </row>
    <row collapsed="false" customFormat="false" customHeight="true" hidden="false" ht="12" outlineLevel="0" r="46">
      <c r="E46" s="0" t="s">
        <v>133</v>
      </c>
      <c r="L46" s="0" t="n">
        <v>1994</v>
      </c>
      <c r="M46" s="2" t="n">
        <f aca="false">(N46-$N$29)/$N$28</f>
        <v>-0.367885064563931</v>
      </c>
      <c r="N46" s="8" t="n">
        <v>28.3</v>
      </c>
      <c r="O46" s="0" t="n">
        <v>1994</v>
      </c>
      <c r="P46" s="0" t="n">
        <v>0.56564976863267</v>
      </c>
      <c r="Q46" s="0" t="n">
        <v>0.404196126195595</v>
      </c>
      <c r="R46" s="0" t="n">
        <v>-0.457270555508932</v>
      </c>
      <c r="S46" s="0" t="n">
        <v>80.35</v>
      </c>
      <c r="T46" s="9" t="n">
        <v>13.8333333333333</v>
      </c>
      <c r="U46" s="8" t="n">
        <v>1012.76666666667</v>
      </c>
      <c r="V46" s="8" t="n">
        <v>6.33333333333333</v>
      </c>
    </row>
    <row collapsed="false" customFormat="false" customHeight="true" hidden="false" ht="12" outlineLevel="0" r="47">
      <c r="A47" s="0" t="s">
        <v>134</v>
      </c>
      <c r="E47" s="2" t="n">
        <f aca="false">(B16+1)*0.0020052</f>
        <v>-0.008361684</v>
      </c>
      <c r="L47" s="0" t="n">
        <v>1993</v>
      </c>
      <c r="M47" s="2" t="n">
        <f aca="false">(N47-$N$29)/$N$28</f>
        <v>2.04293620959978</v>
      </c>
      <c r="N47" s="8" t="n">
        <v>29.4</v>
      </c>
      <c r="O47" s="0" t="n">
        <v>1993</v>
      </c>
      <c r="P47" s="0" t="n">
        <v>0.727194315662255</v>
      </c>
      <c r="Q47" s="0" t="n">
        <v>0.48450125623448</v>
      </c>
      <c r="R47" s="0" t="n">
        <v>-0.273647195365403</v>
      </c>
      <c r="S47" s="0" t="n">
        <v>76.05</v>
      </c>
      <c r="T47" s="29" t="n">
        <v>14.6</v>
      </c>
      <c r="U47" s="8" t="n">
        <v>1016.56666666667</v>
      </c>
      <c r="V47" s="8" t="n">
        <v>5.5</v>
      </c>
    </row>
    <row collapsed="false" customFormat="false" customHeight="true" hidden="false" ht="12" outlineLevel="0" r="48">
      <c r="A48" s="2" t="n">
        <f aca="false">(D45+1)</f>
        <v>-9.05811200223392</v>
      </c>
      <c r="L48" s="0" t="n">
        <v>1992</v>
      </c>
      <c r="M48" s="2" t="n">
        <f aca="false">(N48-$N$29)/$N$28</f>
        <v>-0.367885064563931</v>
      </c>
      <c r="N48" s="8" t="n">
        <v>28.3</v>
      </c>
      <c r="O48" s="0" t="n">
        <v>1992</v>
      </c>
      <c r="P48" s="0" t="n">
        <v>0.494321492860573</v>
      </c>
      <c r="Q48" s="0" t="n">
        <v>0.558237484995469</v>
      </c>
      <c r="R48" s="0" t="n">
        <v>-0.0525622581600255</v>
      </c>
      <c r="S48" s="0" t="n">
        <v>80.3</v>
      </c>
      <c r="T48" s="9" t="n">
        <v>14.1666666666667</v>
      </c>
      <c r="U48" s="8" t="n">
        <v>1012.5</v>
      </c>
      <c r="V48" s="8" t="n">
        <v>6.13333333333333</v>
      </c>
      <c r="AM48" s="0" t="n">
        <v>0.00386</v>
      </c>
      <c r="AN48" s="2" t="n">
        <f aca="false">AM48*100</f>
        <v>0.386</v>
      </c>
    </row>
    <row collapsed="false" customFormat="false" customHeight="true" hidden="false" ht="12" outlineLevel="0" r="49">
      <c r="A49" s="2" t="n">
        <f aca="false">A48*E47</f>
        <v>0.0757410701992873</v>
      </c>
      <c r="L49" s="0" t="n">
        <v>1991</v>
      </c>
      <c r="M49" s="2" t="n">
        <f aca="false">(N49-$N$29)/$N$28</f>
        <v>-0.148719494185417</v>
      </c>
      <c r="N49" s="8" t="n">
        <v>28.4</v>
      </c>
      <c r="O49" s="0" t="n">
        <v>1991</v>
      </c>
      <c r="P49" s="0" t="n">
        <v>0.655280414565495</v>
      </c>
      <c r="Q49" s="0" t="n">
        <v>0.393699956380447</v>
      </c>
      <c r="R49" s="0" t="n">
        <v>0.774352237006285</v>
      </c>
      <c r="S49" s="0" t="n">
        <v>78.7</v>
      </c>
      <c r="T49" s="9" t="n">
        <v>14.5</v>
      </c>
      <c r="U49" s="8" t="n">
        <v>1011.53333333333</v>
      </c>
      <c r="V49" s="8" t="n">
        <v>7.23333333333333</v>
      </c>
      <c r="AH49" s="0" t="s">
        <v>135</v>
      </c>
    </row>
    <row collapsed="false" customFormat="false" customHeight="true" hidden="false" ht="12" outlineLevel="0" r="50">
      <c r="B50" s="0" t="s">
        <v>136</v>
      </c>
      <c r="C50" s="0" t="s">
        <v>137</v>
      </c>
      <c r="L50" s="0" t="n">
        <v>1990</v>
      </c>
      <c r="M50" s="2" t="n">
        <f aca="false">(N50-$N$29)/$N$28</f>
        <v>0.727942787328666</v>
      </c>
      <c r="N50" s="8" t="n">
        <v>28.8</v>
      </c>
      <c r="O50" s="0" t="n">
        <v>1990</v>
      </c>
      <c r="P50" s="0" t="n">
        <v>0.157404460731182</v>
      </c>
      <c r="Q50" s="0" t="n">
        <v>1.1044258274053</v>
      </c>
      <c r="R50" s="0" t="n">
        <v>-0.0374644219748053</v>
      </c>
      <c r="S50" s="0" t="n">
        <v>78.9</v>
      </c>
      <c r="T50" s="9" t="n">
        <v>14.9666666666667</v>
      </c>
      <c r="U50" s="8" t="n">
        <v>1017</v>
      </c>
      <c r="V50" s="8" t="n">
        <v>5.06666666666667</v>
      </c>
    </row>
    <row collapsed="false" customFormat="false" customHeight="true" hidden="false" ht="12" outlineLevel="0" r="51">
      <c r="L51" s="0" t="n">
        <v>1989</v>
      </c>
      <c r="M51" s="2" t="n">
        <f aca="false">(N51-$N$29)/$N$28</f>
        <v>0.508777216950143</v>
      </c>
      <c r="N51" s="8" t="n">
        <v>28.7</v>
      </c>
      <c r="O51" s="0" t="n">
        <v>1989</v>
      </c>
      <c r="P51" s="0" t="n">
        <v>0.396067090973483</v>
      </c>
      <c r="Q51" s="0" t="n">
        <v>0.383222609840454</v>
      </c>
      <c r="R51" s="0" t="n">
        <v>0.504585523518288</v>
      </c>
      <c r="S51" s="0" t="n">
        <v>77.85</v>
      </c>
      <c r="T51" s="9" t="n">
        <v>15.8</v>
      </c>
      <c r="U51" s="8" t="n">
        <v>1014.53333333333</v>
      </c>
      <c r="V51" s="8" t="n">
        <v>6.2</v>
      </c>
    </row>
    <row collapsed="false" customFormat="false" customHeight="true" hidden="false" ht="12" outlineLevel="0" r="52">
      <c r="L52" s="0" t="n">
        <v>1988</v>
      </c>
      <c r="M52" s="2" t="n">
        <f aca="false">(N52-$N$29)/$N$28</f>
        <v>-0.367885064563931</v>
      </c>
      <c r="N52" s="8" t="n">
        <v>28.3</v>
      </c>
      <c r="O52" s="0" t="n">
        <v>1988</v>
      </c>
      <c r="P52" s="0" t="n">
        <v>-0.0165506311069828</v>
      </c>
      <c r="Q52" s="0" t="n">
        <v>0.89498866890509</v>
      </c>
      <c r="R52" s="0" t="n">
        <v>-0.710341741153059</v>
      </c>
      <c r="S52" s="0" t="n">
        <v>79.1</v>
      </c>
      <c r="T52" s="9" t="n">
        <v>15.2666666666667</v>
      </c>
      <c r="U52" s="8" t="n">
        <v>1016.4</v>
      </c>
      <c r="V52" s="8" t="n">
        <v>6.9</v>
      </c>
    </row>
    <row collapsed="false" customFormat="false" customHeight="true" hidden="false" ht="12" outlineLevel="0" r="53">
      <c r="L53" s="0" t="n">
        <v>1987</v>
      </c>
      <c r="M53" s="2" t="n">
        <f aca="false">(N53-$N$29)/$N$28</f>
        <v>-0.587050634942454</v>
      </c>
      <c r="N53" s="8" t="n">
        <v>28.2</v>
      </c>
      <c r="O53" s="0" t="n">
        <v>1987</v>
      </c>
      <c r="P53" s="0" t="n">
        <v>-0.149919636117161</v>
      </c>
      <c r="Q53" s="0" t="n">
        <v>0.824293727589522</v>
      </c>
      <c r="R53" s="0" t="n">
        <v>0.195304801722278</v>
      </c>
      <c r="S53" s="0" t="n">
        <v>80.1</v>
      </c>
      <c r="T53" s="9" t="n">
        <v>14.7</v>
      </c>
      <c r="U53" s="8" t="n">
        <v>1014.76666666667</v>
      </c>
      <c r="V53" s="8" t="n">
        <v>6.53333333333333</v>
      </c>
      <c r="AH53" s="0" t="s">
        <v>138</v>
      </c>
    </row>
    <row collapsed="false" customFormat="false" customHeight="true" hidden="false" ht="12" outlineLevel="0" r="54">
      <c r="L54" s="0" t="n">
        <v>1986</v>
      </c>
      <c r="M54" s="2" t="n">
        <f aca="false">(N54-$N$29)/$N$28</f>
        <v>0.070446076193106</v>
      </c>
      <c r="N54" s="8" t="n">
        <v>28.5</v>
      </c>
      <c r="O54" s="0" t="n">
        <v>1986</v>
      </c>
      <c r="P54" s="0" t="n">
        <v>-0.15409241471607</v>
      </c>
      <c r="Q54" s="0" t="n">
        <v>1.11353972756022</v>
      </c>
      <c r="R54" s="0" t="n">
        <v>-0.288800991974175</v>
      </c>
      <c r="S54" s="0" t="n">
        <v>79.4</v>
      </c>
      <c r="T54" s="9" t="n">
        <v>14.6</v>
      </c>
      <c r="U54" s="8" t="n">
        <v>1013.9</v>
      </c>
      <c r="V54" s="8" t="n">
        <v>5.96666666666667</v>
      </c>
      <c r="AP54" s="0" t="n">
        <v>0.56</v>
      </c>
      <c r="AQ54" s="0" t="s">
        <v>123</v>
      </c>
    </row>
    <row collapsed="false" customFormat="false" customHeight="true" hidden="false" ht="12" outlineLevel="0" r="55">
      <c r="A55" s="0" t="s">
        <v>139</v>
      </c>
      <c r="B55" s="0" t="s">
        <v>81</v>
      </c>
      <c r="L55" s="0" t="n">
        <v>1985</v>
      </c>
      <c r="M55" s="2" t="n">
        <f aca="false">(N55-$N$29)/$N$28</f>
        <v>0.070446076193106</v>
      </c>
      <c r="N55" s="8" t="n">
        <v>28.5</v>
      </c>
      <c r="O55" s="0" t="n">
        <v>1985</v>
      </c>
      <c r="P55" s="0" t="n">
        <v>-0.013842537895437</v>
      </c>
      <c r="Q55" s="0" t="n">
        <v>0.705328416830258</v>
      </c>
      <c r="R55" s="0" t="n">
        <v>-1.11602500457803</v>
      </c>
      <c r="S55" s="0" t="n">
        <v>79.3</v>
      </c>
      <c r="T55" s="9" t="n">
        <v>14.2</v>
      </c>
      <c r="U55" s="8" t="n">
        <v>1018.6</v>
      </c>
      <c r="V55" s="8" t="n">
        <v>6.36666666666667</v>
      </c>
      <c r="AH55" s="0" t="n">
        <v>0.1</v>
      </c>
      <c r="AI55" s="0" t="s">
        <v>140</v>
      </c>
      <c r="AK55" s="0" t="s">
        <v>141</v>
      </c>
      <c r="AP55" s="0" t="n">
        <v>0.45</v>
      </c>
      <c r="AQ55" s="0" t="s">
        <v>116</v>
      </c>
    </row>
    <row collapsed="false" customFormat="false" customHeight="true" hidden="false" ht="12" outlineLevel="0" r="56">
      <c r="L56" s="0" t="n">
        <v>1984</v>
      </c>
      <c r="M56" s="2" t="n">
        <f aca="false">(N56-$N$29)/$N$28</f>
        <v>1.1662739280857</v>
      </c>
      <c r="N56" s="8" t="n">
        <v>29</v>
      </c>
      <c r="O56" s="0" t="n">
        <v>1984</v>
      </c>
      <c r="P56" s="0" t="n">
        <v>-0.166307183198284</v>
      </c>
      <c r="Q56" s="0" t="n">
        <v>1.22935219571054</v>
      </c>
      <c r="R56" s="0" t="n">
        <v>0.644525254642978</v>
      </c>
      <c r="S56" s="0" t="n">
        <v>80.15</v>
      </c>
      <c r="T56" s="9" t="n">
        <v>14.4666666666667</v>
      </c>
      <c r="U56" s="8" t="n">
        <v>1017.7</v>
      </c>
      <c r="V56" s="8" t="n">
        <v>3.6</v>
      </c>
      <c r="AH56" s="0" t="n">
        <v>0.063</v>
      </c>
      <c r="AI56" s="0" t="s">
        <v>142</v>
      </c>
      <c r="AK56" s="0" t="s">
        <v>143</v>
      </c>
    </row>
    <row collapsed="false" customFormat="false" customHeight="true" hidden="false" ht="12" outlineLevel="0" r="57">
      <c r="C57" s="2" t="n">
        <f aca="false">2500*0.6</f>
        <v>1500</v>
      </c>
      <c r="L57" s="0" t="n">
        <v>1983</v>
      </c>
      <c r="M57" s="2" t="n">
        <f aca="false">(N57-$N$29)/$N$28</f>
        <v>-2.12120962759209</v>
      </c>
      <c r="N57" s="8" t="n">
        <v>27.5</v>
      </c>
      <c r="O57" s="0" t="n">
        <v>1983</v>
      </c>
      <c r="P57" s="0" t="n">
        <v>-0.821791396811226</v>
      </c>
      <c r="Q57" s="0" t="n">
        <v>1.09164865842842</v>
      </c>
      <c r="R57" s="0" t="n">
        <v>0.239226391218053</v>
      </c>
      <c r="S57" s="0" t="n">
        <v>83.7</v>
      </c>
      <c r="T57" s="9" t="n">
        <v>14.6666666666667</v>
      </c>
      <c r="U57" s="8" t="n">
        <v>1017.4</v>
      </c>
      <c r="V57" s="8" t="n">
        <v>5.5</v>
      </c>
      <c r="AH57" s="0" t="n">
        <v>0.19</v>
      </c>
      <c r="AI57" s="0" t="s">
        <v>144</v>
      </c>
      <c r="AK57" s="0" t="s">
        <v>145</v>
      </c>
      <c r="AP57" s="2" t="n">
        <f aca="false">AP54*AP55</f>
        <v>0.252</v>
      </c>
    </row>
    <row collapsed="false" customFormat="false" customHeight="true" hidden="false" ht="12" outlineLevel="0" r="58">
      <c r="K58" s="2" t="n">
        <f aca="false">COUNT(L31:L57)</f>
        <v>27</v>
      </c>
      <c r="L58" s="0" t="n">
        <v>1982</v>
      </c>
      <c r="M58" s="2" t="n">
        <f aca="false">(N58-$N$29)/$N$28</f>
        <v>-0.367885064563931</v>
      </c>
      <c r="N58" s="8" t="n">
        <v>28.3</v>
      </c>
      <c r="O58" s="0" t="n">
        <v>1982</v>
      </c>
      <c r="P58" s="0" t="n">
        <v>-0.169366282094703</v>
      </c>
      <c r="Q58" s="0" t="n">
        <v>0.673223315136034</v>
      </c>
      <c r="R58" s="0" t="n">
        <v>-0.290357581425254</v>
      </c>
      <c r="S58" s="0" t="n">
        <v>81.25</v>
      </c>
      <c r="T58" s="9" t="n">
        <v>13.9666666666667</v>
      </c>
      <c r="U58" s="8" t="n">
        <v>1016.13333333333</v>
      </c>
      <c r="V58" s="8" t="n">
        <v>5.3</v>
      </c>
    </row>
    <row collapsed="false" customFormat="false" customHeight="true" hidden="false" ht="12" outlineLevel="0" r="59">
      <c r="A59" s="0" t="s">
        <v>146</v>
      </c>
    </row>
    <row collapsed="false" customFormat="false" customHeight="true" hidden="false" ht="12" outlineLevel="0" r="60">
      <c r="S60" s="9" t="n">
        <f aca="false">AVERAGE(S31:S58)</f>
        <v>79.8607142857143</v>
      </c>
      <c r="T60" s="9" t="n">
        <f aca="false">AVERAGE(T31:T58)</f>
        <v>14.6130952380952</v>
      </c>
      <c r="U60" s="9" t="n">
        <f aca="false">AVERAGE(U31:U58)</f>
        <v>1016.07976190476</v>
      </c>
      <c r="V60" s="9" t="n">
        <f aca="false">AVERAGE(V31:V58)</f>
        <v>5.58690476190476</v>
      </c>
    </row>
    <row collapsed="false" customFormat="false" customHeight="true" hidden="false" ht="12" outlineLevel="0" r="61">
      <c r="N61" s="2" t="n">
        <f aca="false">CORREL(M31:M58,P31:P58)</f>
        <v>0.649589297238204</v>
      </c>
      <c r="Z61" s="0" t="n">
        <v>-15.61</v>
      </c>
      <c r="AA61" s="0" t="n">
        <v>-15.61</v>
      </c>
      <c r="AB61" s="0" t="n">
        <v>-15.61</v>
      </c>
      <c r="AC61" s="0" t="n">
        <v>-15.61</v>
      </c>
      <c r="AE61" s="0" t="s">
        <v>147</v>
      </c>
    </row>
    <row collapsed="false" customFormat="false" customHeight="true" hidden="false" ht="12" outlineLevel="0" r="63">
      <c r="J63" s="0" t="s">
        <v>148</v>
      </c>
      <c r="K63" s="0" t="n">
        <v>29.45</v>
      </c>
      <c r="L63" s="0" t="n">
        <v>29.57</v>
      </c>
      <c r="M63" s="0" t="n">
        <v>29.71</v>
      </c>
      <c r="N63" s="0" t="n">
        <v>31.33</v>
      </c>
      <c r="O63" s="0" t="n">
        <v>33.47</v>
      </c>
      <c r="P63" s="0" t="n">
        <v>28.35</v>
      </c>
      <c r="Q63" s="30" t="n">
        <v>28.44</v>
      </c>
      <c r="R63" s="0" t="n">
        <v>28.54</v>
      </c>
      <c r="S63" s="0" t="n">
        <v>29.77</v>
      </c>
      <c r="U63" s="0" t="n">
        <v>29.87</v>
      </c>
      <c r="V63" s="0" t="n">
        <v>31.6</v>
      </c>
      <c r="W63" s="0" t="n">
        <v>30.65</v>
      </c>
      <c r="X63" s="0" t="n">
        <v>30.65</v>
      </c>
      <c r="Z63" s="0" t="n">
        <v>29.25</v>
      </c>
      <c r="AA63" s="0" t="n">
        <v>27.89</v>
      </c>
      <c r="AB63" s="0" t="n">
        <v>29.25</v>
      </c>
      <c r="AC63" s="0" t="n">
        <v>28.84</v>
      </c>
      <c r="AE63" s="0" t="n">
        <v>28.47</v>
      </c>
    </row>
    <row collapsed="false" customFormat="false" customHeight="true" hidden="false" ht="12" outlineLevel="0" r="64">
      <c r="J64" s="0" t="s">
        <v>114</v>
      </c>
      <c r="K64" s="0" t="n">
        <v>0.31</v>
      </c>
      <c r="L64" s="0" t="n">
        <v>0.3</v>
      </c>
      <c r="M64" s="0" t="n">
        <v>0.31</v>
      </c>
      <c r="N64" s="0" t="n">
        <v>0.3</v>
      </c>
      <c r="O64" s="0" t="n">
        <v>0.3</v>
      </c>
      <c r="P64" s="0" t="n">
        <v>0.25</v>
      </c>
      <c r="Q64" s="30" t="n">
        <v>0.25</v>
      </c>
      <c r="R64" s="0" t="n">
        <v>0.25</v>
      </c>
      <c r="S64" s="0" t="n">
        <v>0.23</v>
      </c>
      <c r="U64" s="0" t="n">
        <v>0.38</v>
      </c>
      <c r="V64" s="0" t="n">
        <v>0.44</v>
      </c>
      <c r="W64" s="0" t="n">
        <v>0.4</v>
      </c>
      <c r="X64" s="0" t="n">
        <v>0.41</v>
      </c>
      <c r="Z64" s="0" t="n">
        <v>0.52</v>
      </c>
      <c r="AA64" s="0" t="n">
        <v>0.47</v>
      </c>
      <c r="AB64" s="0" t="n">
        <v>0.52</v>
      </c>
      <c r="AC64" s="0" t="n">
        <v>0.51</v>
      </c>
      <c r="AE64" s="0" t="n">
        <v>0.47</v>
      </c>
    </row>
    <row collapsed="false" customFormat="false" customHeight="true" hidden="false" ht="12" outlineLevel="0" r="65">
      <c r="J65" s="31" t="s">
        <v>149</v>
      </c>
      <c r="K65" s="0" t="n">
        <v>0.1</v>
      </c>
      <c r="L65" s="0" t="n">
        <v>0.1</v>
      </c>
      <c r="M65" s="0" t="n">
        <v>0.1</v>
      </c>
      <c r="N65" s="0" t="n">
        <v>0.1</v>
      </c>
      <c r="O65" s="0" t="n">
        <v>0.1</v>
      </c>
      <c r="P65" s="0" t="n">
        <v>0.25</v>
      </c>
      <c r="Q65" s="30" t="n">
        <v>0.25</v>
      </c>
      <c r="R65" s="0" t="n">
        <v>0.25</v>
      </c>
      <c r="S65" s="0" t="n">
        <v>0.25</v>
      </c>
      <c r="U65" s="0" t="n">
        <v>0.1</v>
      </c>
      <c r="V65" s="0" t="n">
        <v>0.1</v>
      </c>
      <c r="W65" s="0" t="n">
        <v>0.25</v>
      </c>
      <c r="X65" s="0" t="n">
        <v>0.25</v>
      </c>
      <c r="Z65" s="0" t="n">
        <v>0.25</v>
      </c>
      <c r="AA65" s="0" t="n">
        <v>0.25</v>
      </c>
      <c r="AB65" s="0" t="n">
        <v>0.1</v>
      </c>
      <c r="AC65" s="0" t="n">
        <v>0.1</v>
      </c>
      <c r="AE65" s="0" t="n">
        <v>0.25</v>
      </c>
    </row>
    <row collapsed="false" customFormat="false" customHeight="true" hidden="false" ht="12" outlineLevel="0" r="66">
      <c r="C66" s="0" t="s">
        <v>150</v>
      </c>
      <c r="F66" s="0" t="n">
        <v>2009</v>
      </c>
      <c r="G66" s="0" t="n">
        <v>-2.51262843024526</v>
      </c>
      <c r="J66" s="0" t="s">
        <v>151</v>
      </c>
      <c r="K66" s="0" t="n">
        <v>0.58</v>
      </c>
      <c r="L66" s="0" t="n">
        <v>0.56</v>
      </c>
      <c r="M66" s="0" t="n">
        <v>0.58</v>
      </c>
      <c r="N66" s="32" t="n">
        <v>0.4</v>
      </c>
      <c r="O66" s="0" t="n">
        <v>0.25</v>
      </c>
      <c r="P66" s="0" t="n">
        <v>0.62</v>
      </c>
      <c r="Q66" s="30" t="n">
        <v>0.6</v>
      </c>
      <c r="R66" s="0" t="n">
        <v>0.59</v>
      </c>
      <c r="S66" s="0" t="n">
        <v>0.49</v>
      </c>
      <c r="U66" s="0" t="n">
        <v>0.62</v>
      </c>
      <c r="V66" s="0" t="n">
        <v>0.62</v>
      </c>
      <c r="W66" s="0" t="n">
        <v>0.65</v>
      </c>
      <c r="X66" s="0" t="n">
        <v>0.65</v>
      </c>
      <c r="Z66" s="0" t="n">
        <v>0.65</v>
      </c>
      <c r="AA66" s="0" t="n">
        <v>0.65</v>
      </c>
      <c r="AB66" s="0" t="n">
        <v>0.61</v>
      </c>
      <c r="AC66" s="0" t="n">
        <v>0.63</v>
      </c>
      <c r="AE66" s="0" t="n">
        <v>0.65</v>
      </c>
      <c r="AI66" s="32"/>
    </row>
    <row collapsed="false" customFormat="false" customHeight="true" hidden="false" ht="15" outlineLevel="0" r="67">
      <c r="F67" s="0" t="n">
        <v>2008</v>
      </c>
      <c r="G67" s="0" t="n">
        <v>0.00848860956162984</v>
      </c>
      <c r="J67" s="31" t="s">
        <v>152</v>
      </c>
      <c r="N67" s="32"/>
      <c r="Q67" s="33"/>
      <c r="U67" s="0" t="n">
        <v>0.38</v>
      </c>
      <c r="V67" s="0" t="n">
        <v>0.25</v>
      </c>
      <c r="W67" s="0" t="n">
        <v>0.25</v>
      </c>
      <c r="X67" s="0" t="n">
        <v>0.25</v>
      </c>
      <c r="Z67" s="0" t="n">
        <v>0.25</v>
      </c>
      <c r="AA67" s="0" t="n">
        <v>0.25</v>
      </c>
      <c r="AB67" s="0" t="n">
        <v>0.25</v>
      </c>
      <c r="AC67" s="0" t="n">
        <v>0.25</v>
      </c>
      <c r="AE67" s="0" t="n">
        <v>0.25</v>
      </c>
    </row>
    <row collapsed="false" customFormat="false" customHeight="true" hidden="false" ht="12" outlineLevel="0" r="68">
      <c r="A68" s="2" t="n">
        <f aca="false">13.5/3600</f>
        <v>0.00375</v>
      </c>
      <c r="B68" s="0" t="s">
        <v>153</v>
      </c>
      <c r="F68" s="0" t="n">
        <v>2007</v>
      </c>
      <c r="G68" s="0" t="n">
        <v>0.925258442218687</v>
      </c>
      <c r="J68" s="31" t="s">
        <v>81</v>
      </c>
      <c r="K68" s="0" t="n">
        <v>840</v>
      </c>
      <c r="L68" s="0" t="n">
        <v>880</v>
      </c>
      <c r="M68" s="0" t="n">
        <v>925</v>
      </c>
      <c r="N68" s="32" t="n">
        <v>1500</v>
      </c>
      <c r="O68" s="0" t="n">
        <v>2500</v>
      </c>
      <c r="P68" s="0" t="n">
        <v>840</v>
      </c>
      <c r="Q68" s="30" t="n">
        <v>880</v>
      </c>
      <c r="R68" s="0" t="n">
        <v>925</v>
      </c>
      <c r="S68" s="32" t="n">
        <v>1500</v>
      </c>
      <c r="U68" s="0" t="n">
        <v>840</v>
      </c>
      <c r="V68" s="0" t="n">
        <v>840</v>
      </c>
      <c r="W68" s="0" t="n">
        <v>840</v>
      </c>
      <c r="X68" s="32" t="n">
        <v>840</v>
      </c>
      <c r="Z68" s="0" t="n">
        <v>925</v>
      </c>
      <c r="AA68" s="0" t="n">
        <v>840</v>
      </c>
      <c r="AB68" s="0" t="n">
        <v>925</v>
      </c>
      <c r="AC68" s="32" t="n">
        <v>840</v>
      </c>
      <c r="AE68" s="0" t="n">
        <v>925</v>
      </c>
    </row>
    <row collapsed="false" customFormat="false" customHeight="true" hidden="false" ht="15" outlineLevel="0" r="69">
      <c r="C69" s="0" t="s">
        <v>154</v>
      </c>
      <c r="F69" s="0" t="n">
        <v>2006</v>
      </c>
      <c r="G69" s="0" t="n">
        <v>-0.679088764931153</v>
      </c>
      <c r="N69" s="32"/>
      <c r="Q69" s="33"/>
    </row>
    <row collapsed="false" customFormat="false" customHeight="true" hidden="false" ht="15" outlineLevel="0" r="70">
      <c r="C70" s="0" t="s">
        <v>155</v>
      </c>
      <c r="F70" s="0" t="n">
        <v>2005</v>
      </c>
      <c r="G70" s="0" t="n">
        <v>-0.679088764931153</v>
      </c>
      <c r="J70" s="0" t="s">
        <v>110</v>
      </c>
      <c r="K70" s="0" t="s">
        <v>111</v>
      </c>
      <c r="Q70" s="33"/>
    </row>
    <row collapsed="false" customFormat="false" customHeight="true" hidden="false" ht="12" outlineLevel="0" r="71">
      <c r="A71" s="2" t="n">
        <f aca="false">A68*1000000</f>
        <v>3750</v>
      </c>
      <c r="B71" s="0" t="s">
        <v>156</v>
      </c>
      <c r="F71" s="0" t="n">
        <v>2004</v>
      </c>
      <c r="G71" s="0" t="n">
        <v>0.466873525890162</v>
      </c>
      <c r="J71" s="0" t="n">
        <v>2009</v>
      </c>
      <c r="K71" s="34" t="n">
        <v>-2.39014955168773</v>
      </c>
      <c r="L71" s="34" t="n">
        <v>-2.24124491506852</v>
      </c>
      <c r="M71" s="34" t="n">
        <v>-2.33150516276565</v>
      </c>
      <c r="N71" s="35" t="n">
        <v>-1.80101768934924</v>
      </c>
      <c r="O71" s="34" t="n">
        <v>-1.25994333408462</v>
      </c>
      <c r="P71" s="34" t="n">
        <v>-2.21840289820061</v>
      </c>
      <c r="Q71" s="30" t="n">
        <v>-2.19</v>
      </c>
      <c r="R71" s="34" t="n">
        <v>-2.19097025230936</v>
      </c>
      <c r="S71" s="34" t="n">
        <v>-2.03440922076671</v>
      </c>
      <c r="T71" s="34"/>
      <c r="U71" s="34" t="n">
        <v>-2.29962899281154</v>
      </c>
      <c r="V71" s="34" t="n">
        <v>-2.25706438158983</v>
      </c>
      <c r="W71" s="34" t="n">
        <v>-2.35957292229223</v>
      </c>
      <c r="X71" s="34" t="n">
        <v>-2.32612641658402</v>
      </c>
      <c r="Y71" s="34"/>
      <c r="Z71" s="34" t="n">
        <v>-2.3318429274791</v>
      </c>
      <c r="AA71" s="0" t="n">
        <v>-2.31857612714662</v>
      </c>
      <c r="AB71" s="34" t="n">
        <v>-2.21621819969646</v>
      </c>
      <c r="AC71" s="34" t="n">
        <v>-2.23300642208921</v>
      </c>
      <c r="AD71" s="34"/>
      <c r="AE71" s="34" t="n">
        <v>-2.34037519797061</v>
      </c>
    </row>
    <row collapsed="false" customFormat="false" customHeight="true" hidden="false" ht="12" outlineLevel="0" r="72">
      <c r="F72" s="0" t="n">
        <v>2003</v>
      </c>
      <c r="G72" s="0" t="n">
        <v>-0.679088764931153</v>
      </c>
      <c r="J72" s="0" t="n">
        <v>2008</v>
      </c>
      <c r="K72" s="34" t="n">
        <v>0.1656539293249</v>
      </c>
      <c r="L72" s="34" t="n">
        <v>0.418694105012802</v>
      </c>
      <c r="M72" s="34" t="n">
        <v>0.273715547819932</v>
      </c>
      <c r="N72" s="35" t="n">
        <v>0.225127211168668</v>
      </c>
      <c r="O72" s="34" t="n">
        <v>0.424139340186904</v>
      </c>
      <c r="P72" s="34" t="n">
        <v>0.209848922802771</v>
      </c>
      <c r="Q72" s="30" t="n">
        <v>0.223</v>
      </c>
      <c r="R72" s="34" t="n">
        <v>0.207253942786014</v>
      </c>
      <c r="S72" s="34" t="n">
        <v>0.111256754260708</v>
      </c>
      <c r="T72" s="34"/>
      <c r="U72" s="34" t="n">
        <v>0.0753976718954602</v>
      </c>
      <c r="V72" s="34" t="n">
        <v>0.225706438158987</v>
      </c>
      <c r="W72" s="34" t="n">
        <v>0.114885572995491</v>
      </c>
      <c r="X72" s="34" t="n">
        <v>0.131667533014186</v>
      </c>
      <c r="Y72" s="34"/>
      <c r="Z72" s="34" t="n">
        <v>0.086364552869613</v>
      </c>
      <c r="AA72" s="0" t="n">
        <v>0.227311385014375</v>
      </c>
      <c r="AB72" s="34" t="n">
        <v>0.0963573130302679</v>
      </c>
      <c r="AC72" s="34" t="n">
        <v>0.126396589929576</v>
      </c>
      <c r="AD72" s="34"/>
      <c r="AE72" s="34" t="n">
        <v>0.070446076193106</v>
      </c>
    </row>
    <row collapsed="false" customFormat="false" customHeight="true" hidden="false" ht="12" outlineLevel="0" r="73">
      <c r="A73" s="2" t="n">
        <f aca="false">A71*4.6</f>
        <v>17250</v>
      </c>
      <c r="B73" s="0" t="s">
        <v>157</v>
      </c>
      <c r="F73" s="0" t="n">
        <v>2002</v>
      </c>
      <c r="G73" s="0" t="n">
        <v>2.52960564936853</v>
      </c>
      <c r="J73" s="0" t="n">
        <v>2007</v>
      </c>
      <c r="K73" s="34" t="n">
        <v>1.44355566983121</v>
      </c>
      <c r="L73" s="34" t="n">
        <v>1.4161712375433</v>
      </c>
      <c r="M73" s="34" t="n">
        <v>1.25067331428953</v>
      </c>
      <c r="N73" s="35" t="n">
        <v>1.23819966142763</v>
      </c>
      <c r="O73" s="34" t="n">
        <v>1.43458894474981</v>
      </c>
      <c r="P73" s="34" t="n">
        <v>1.42397483330447</v>
      </c>
      <c r="Q73" s="30" t="n">
        <v>1.43</v>
      </c>
      <c r="R73" s="34" t="n">
        <v>1.40636604033369</v>
      </c>
      <c r="S73" s="34" t="n">
        <v>1.39865633927716</v>
      </c>
      <c r="T73" s="34"/>
      <c r="U73" s="34" t="n">
        <v>1.13096507843191</v>
      </c>
      <c r="V73" s="34" t="n">
        <v>1.12853219079493</v>
      </c>
      <c r="W73" s="34" t="n">
        <v>1.10466897111059</v>
      </c>
      <c r="X73" s="34" t="n">
        <v>1.11478511285348</v>
      </c>
      <c r="Y73" s="34"/>
      <c r="Z73" s="34" t="n">
        <v>1.18554977120993</v>
      </c>
      <c r="AA73" s="0" t="n">
        <v>1.0759405557347</v>
      </c>
      <c r="AB73" s="34" t="n">
        <v>1.25264506939363</v>
      </c>
      <c r="AC73" s="34" t="n">
        <v>1.10948117827074</v>
      </c>
      <c r="AD73" s="34"/>
      <c r="AE73" s="34" t="n">
        <v>1.1662739280857</v>
      </c>
    </row>
    <row collapsed="false" customFormat="false" customHeight="true" hidden="false" ht="12" outlineLevel="0" r="74">
      <c r="F74" s="0" t="n">
        <v>2001</v>
      </c>
      <c r="G74" s="0" t="n">
        <v>0.237681067725896</v>
      </c>
      <c r="J74" s="0" t="n">
        <v>2006</v>
      </c>
      <c r="K74" s="34" t="n">
        <v>-0.792772376054839</v>
      </c>
      <c r="L74" s="34" t="n">
        <v>-0.578783027517694</v>
      </c>
      <c r="M74" s="34" t="n">
        <v>-0.703242218649664</v>
      </c>
      <c r="N74" s="35" t="n">
        <v>-0.4502544223373</v>
      </c>
      <c r="O74" s="34" t="n">
        <v>-0.249493729521714</v>
      </c>
      <c r="P74" s="34" t="n">
        <v>-0.599568350865022</v>
      </c>
      <c r="Q74" s="30" t="n">
        <v>-0.581</v>
      </c>
      <c r="R74" s="34" t="n">
        <v>-0.592154122245787</v>
      </c>
      <c r="S74" s="34" t="n">
        <v>-0.747009635750255</v>
      </c>
      <c r="T74" s="34"/>
      <c r="U74" s="34" t="n">
        <v>-0.716277883006867</v>
      </c>
      <c r="V74" s="34" t="n">
        <v>-0.677119314476944</v>
      </c>
      <c r="W74" s="34" t="n">
        <v>-0.627451975590828</v>
      </c>
      <c r="X74" s="34" t="n">
        <v>-0.851450046825095</v>
      </c>
      <c r="Y74" s="34"/>
      <c r="Z74" s="34" t="n">
        <v>-0.792983621802649</v>
      </c>
      <c r="AA74" s="0" t="n">
        <v>-0.621317785705952</v>
      </c>
      <c r="AB74" s="34" t="n">
        <v>-0.674501191211978</v>
      </c>
      <c r="AC74" s="34" t="n">
        <v>-0.660071080743352</v>
      </c>
      <c r="AD74" s="34"/>
      <c r="AE74" s="34" t="n">
        <v>-0.806216205320969</v>
      </c>
    </row>
    <row collapsed="false" customFormat="false" customHeight="true" hidden="false" ht="12" outlineLevel="0" r="75">
      <c r="F75" s="0" t="n">
        <v>2000</v>
      </c>
      <c r="G75" s="0" t="n">
        <v>0.925258442218687</v>
      </c>
      <c r="J75" s="0" t="n">
        <v>2005</v>
      </c>
      <c r="K75" s="34" t="n">
        <v>-0.473296940928255</v>
      </c>
      <c r="L75" s="34" t="n">
        <v>-0.578783027517694</v>
      </c>
      <c r="M75" s="34" t="n">
        <v>-0.431063148700271</v>
      </c>
      <c r="N75" s="35" t="n">
        <v>-0.11256360558431</v>
      </c>
      <c r="O75" s="34" t="n">
        <v>0.087322805332595</v>
      </c>
      <c r="P75" s="34" t="n">
        <v>-0.599568350865022</v>
      </c>
      <c r="Q75" s="30" t="n">
        <v>-0.581</v>
      </c>
      <c r="R75" s="34" t="n">
        <v>-0.592154122245787</v>
      </c>
      <c r="S75" s="34" t="n">
        <v>-0.317876440744781</v>
      </c>
      <c r="T75" s="34"/>
      <c r="U75" s="34" t="n">
        <v>-0.452386031372761</v>
      </c>
      <c r="V75" s="34" t="n">
        <v>-0.451412876317965</v>
      </c>
      <c r="W75" s="34" t="n">
        <v>-0.627451975590828</v>
      </c>
      <c r="X75" s="34" t="n">
        <v>-0.605670651865279</v>
      </c>
      <c r="Y75" s="34"/>
      <c r="Z75" s="34" t="n">
        <v>-0.573146578134582</v>
      </c>
      <c r="AA75" s="0" t="n">
        <v>-0.621317785705952</v>
      </c>
      <c r="AB75" s="34" t="n">
        <v>-0.481786565151415</v>
      </c>
      <c r="AC75" s="34" t="n">
        <v>-0.463454163075116</v>
      </c>
      <c r="AD75" s="34"/>
      <c r="AE75" s="34" t="n">
        <v>-0.587050634942454</v>
      </c>
    </row>
    <row collapsed="false" customFormat="false" customHeight="true" hidden="false" ht="12" outlineLevel="0" r="76">
      <c r="F76" s="0" t="n">
        <v>1999</v>
      </c>
      <c r="G76" s="0" t="n">
        <v>0.237681067725896</v>
      </c>
      <c r="J76" s="0" t="n">
        <v>2004</v>
      </c>
      <c r="K76" s="34" t="n">
        <v>0.485129364451483</v>
      </c>
      <c r="L76" s="34" t="n">
        <v>0.418694105012802</v>
      </c>
      <c r="M76" s="34" t="n">
        <v>0.49219907539184</v>
      </c>
      <c r="N76" s="35" t="n">
        <v>0.562818027921658</v>
      </c>
      <c r="O76" s="34" t="n">
        <v>0.424139340186904</v>
      </c>
      <c r="P76" s="34" t="n">
        <v>0.614557559636675</v>
      </c>
      <c r="Q76" s="30" t="n">
        <v>0.626</v>
      </c>
      <c r="R76" s="34" t="n">
        <v>0.6069579753019</v>
      </c>
      <c r="S76" s="34" t="n">
        <v>0.540389949266183</v>
      </c>
      <c r="T76" s="34"/>
      <c r="U76" s="34" t="n">
        <v>0.339289523529575</v>
      </c>
      <c r="V76" s="34" t="n">
        <v>0.451412876317973</v>
      </c>
      <c r="W76" s="34" t="n">
        <v>0.362331422524267</v>
      </c>
      <c r="X76" s="34" t="n">
        <v>0.377446927974011</v>
      </c>
      <c r="Y76" s="34"/>
      <c r="Z76" s="34" t="n">
        <v>0.52603864020574</v>
      </c>
      <c r="AA76" s="0" t="n">
        <v>0.439468677694461</v>
      </c>
      <c r="AB76" s="34" t="n">
        <v>0.481786565151387</v>
      </c>
      <c r="AC76" s="34" t="n">
        <v>0.323013507597811</v>
      </c>
      <c r="AD76" s="34"/>
      <c r="AE76" s="34" t="n">
        <v>0.289611646571629</v>
      </c>
    </row>
    <row collapsed="false" customFormat="false" customHeight="true" hidden="false" ht="12" outlineLevel="0" r="77">
      <c r="F77" s="0" t="n">
        <v>1998</v>
      </c>
      <c r="G77" s="0" t="n">
        <v>-0.220703848602628</v>
      </c>
      <c r="J77" s="0" t="n">
        <v>2003</v>
      </c>
      <c r="K77" s="34" t="n">
        <v>-0.473296940928255</v>
      </c>
      <c r="L77" s="34" t="n">
        <v>-0.578783027517694</v>
      </c>
      <c r="M77" s="34" t="n">
        <v>-0.582555032920036</v>
      </c>
      <c r="N77" s="35" t="n">
        <v>-0.4502544223373</v>
      </c>
      <c r="O77" s="34" t="n">
        <v>-0.249493729521714</v>
      </c>
      <c r="P77" s="34" t="n">
        <v>-0.599568350865022</v>
      </c>
      <c r="Q77" s="30" t="n">
        <v>-0.581</v>
      </c>
      <c r="R77" s="34" t="n">
        <v>-0.592154122245787</v>
      </c>
      <c r="S77" s="34" t="n">
        <v>-0.317876440744781</v>
      </c>
      <c r="T77" s="34"/>
      <c r="U77" s="34" t="n">
        <v>-0.716277883006867</v>
      </c>
      <c r="V77" s="34" t="n">
        <v>-0.677119314476944</v>
      </c>
      <c r="W77" s="34" t="n">
        <v>-0.627451975590828</v>
      </c>
      <c r="X77" s="34" t="n">
        <v>-0.605670651865279</v>
      </c>
      <c r="Y77" s="34"/>
      <c r="Z77" s="34" t="n">
        <v>-0.573146578134582</v>
      </c>
      <c r="AA77" s="0" t="n">
        <v>-0.621317785705952</v>
      </c>
      <c r="AB77" s="34" t="n">
        <v>-0.674501191211978</v>
      </c>
      <c r="AC77" s="34" t="n">
        <v>-0.660071080743352</v>
      </c>
      <c r="AD77" s="34"/>
      <c r="AE77" s="34" t="n">
        <v>-0.587050634942454</v>
      </c>
      <c r="AK77" s="0" t="s">
        <v>158</v>
      </c>
    </row>
    <row collapsed="false" customFormat="false" customHeight="true" hidden="false" ht="12" outlineLevel="0" r="78">
      <c r="F78" s="0" t="n">
        <v>1997</v>
      </c>
      <c r="G78" s="0" t="n">
        <v>-0.908281223095419</v>
      </c>
      <c r="J78" s="0" t="n">
        <v>2002</v>
      </c>
      <c r="K78" s="34" t="n">
        <v>2.40198197521095</v>
      </c>
      <c r="L78" s="34" t="n">
        <v>2.41364837007379</v>
      </c>
      <c r="M78" s="34" t="n">
        <v>2.45673527698798</v>
      </c>
      <c r="N78" s="35" t="n">
        <v>2.25127211168658</v>
      </c>
      <c r="O78" s="34" t="n">
        <v>1.77140547960411</v>
      </c>
      <c r="P78" s="34" t="n">
        <v>2.63810074380616</v>
      </c>
      <c r="Q78" s="30" t="n">
        <v>2.637</v>
      </c>
      <c r="R78" s="34" t="n">
        <v>2.60547813788137</v>
      </c>
      <c r="S78" s="34" t="n">
        <v>2.25692272928812</v>
      </c>
      <c r="T78" s="34"/>
      <c r="U78" s="34" t="n">
        <v>2.18653248496835</v>
      </c>
      <c r="V78" s="34" t="n">
        <v>2.25706438158984</v>
      </c>
      <c r="W78" s="34" t="n">
        <v>2.34189821875445</v>
      </c>
      <c r="X78" s="34" t="n">
        <v>2.34368208765258</v>
      </c>
      <c r="Y78" s="34"/>
      <c r="Z78" s="34" t="n">
        <v>2.28473498955026</v>
      </c>
      <c r="AA78" s="0" t="n">
        <v>2.3488843118152</v>
      </c>
      <c r="AB78" s="34" t="n">
        <v>2.21621819969643</v>
      </c>
      <c r="AC78" s="34" t="n">
        <v>2.28918268428014</v>
      </c>
      <c r="AD78" s="34"/>
      <c r="AE78" s="34" t="n">
        <v>2.2621017799783</v>
      </c>
      <c r="AK78" s="0" t="s">
        <v>159</v>
      </c>
      <c r="AL78" s="0" t="s">
        <v>160</v>
      </c>
    </row>
    <row collapsed="false" customFormat="false" customHeight="true" hidden="false" ht="12" outlineLevel="0" r="79">
      <c r="A79" s="0" t="s">
        <v>161</v>
      </c>
      <c r="F79" s="0" t="n">
        <v>1996</v>
      </c>
      <c r="G79" s="0" t="n">
        <v>0.237681067725896</v>
      </c>
      <c r="J79" s="0" t="n">
        <v>2001</v>
      </c>
      <c r="K79" s="34" t="n">
        <v>0.485129364451483</v>
      </c>
      <c r="L79" s="34" t="n">
        <v>0.418694105012802</v>
      </c>
      <c r="M79" s="34" t="n">
        <v>0.431304987954831</v>
      </c>
      <c r="N79" s="35" t="n">
        <v>0.562818027921658</v>
      </c>
      <c r="O79" s="34" t="n">
        <v>0.424139340186904</v>
      </c>
      <c r="P79" s="34" t="n">
        <v>0.209848922802771</v>
      </c>
      <c r="Q79" s="30" t="n">
        <v>0.223</v>
      </c>
      <c r="R79" s="34" t="n">
        <v>0.207253942786014</v>
      </c>
      <c r="S79" s="34" t="n">
        <v>0.111256754260708</v>
      </c>
      <c r="T79" s="34"/>
      <c r="U79" s="34" t="n">
        <v>0.339289523529575</v>
      </c>
      <c r="V79" s="34" t="n">
        <v>0.225706438158987</v>
      </c>
      <c r="W79" s="34" t="n">
        <v>0.114885572995491</v>
      </c>
      <c r="X79" s="34" t="n">
        <v>0.131667533014186</v>
      </c>
      <c r="Y79" s="34"/>
      <c r="Z79" s="34" t="n">
        <v>0.086364552869613</v>
      </c>
      <c r="AA79" s="0" t="n">
        <v>0.227311385014375</v>
      </c>
      <c r="AB79" s="34" t="n">
        <v>0.289071939090824</v>
      </c>
      <c r="AC79" s="34" t="n">
        <v>0.323013507597811</v>
      </c>
      <c r="AD79" s="34"/>
      <c r="AE79" s="34" t="n">
        <v>0.289611646571629</v>
      </c>
      <c r="AK79" s="0" t="s">
        <v>162</v>
      </c>
    </row>
    <row collapsed="false" customFormat="false" customHeight="true" hidden="false" ht="12" outlineLevel="0" r="80">
      <c r="A80" s="0" t="s">
        <v>163</v>
      </c>
      <c r="F80" s="0" t="n">
        <v>1995</v>
      </c>
      <c r="G80" s="0" t="n">
        <v>-0.449896306766895</v>
      </c>
      <c r="J80" s="0" t="n">
        <v>2000</v>
      </c>
      <c r="K80" s="34" t="n">
        <v>1.12408023470464</v>
      </c>
      <c r="L80" s="34" t="n">
        <v>1.08367886003313</v>
      </c>
      <c r="M80" s="34" t="n">
        <v>1.0036248241159</v>
      </c>
      <c r="N80" s="35" t="n">
        <v>0.900508844674648</v>
      </c>
      <c r="O80" s="34" t="n">
        <v>0.760955875041212</v>
      </c>
      <c r="P80" s="34" t="n">
        <v>1.01926619647058</v>
      </c>
      <c r="Q80" s="30" t="n">
        <v>1.028</v>
      </c>
      <c r="R80" s="34" t="n">
        <v>1.0066620078178</v>
      </c>
      <c r="S80" s="34" t="n">
        <v>0.969523144271672</v>
      </c>
      <c r="T80" s="34"/>
      <c r="U80" s="34" t="n">
        <v>0.867073226797796</v>
      </c>
      <c r="V80" s="34" t="n">
        <v>0.902825752635939</v>
      </c>
      <c r="W80" s="34" t="n">
        <v>0.85722312158181</v>
      </c>
      <c r="X80" s="34" t="n">
        <v>0.869005717893651</v>
      </c>
      <c r="Y80" s="34"/>
      <c r="Z80" s="34" t="n">
        <v>0.965712727541867</v>
      </c>
      <c r="AA80" s="0" t="n">
        <v>0.863783263054625</v>
      </c>
      <c r="AB80" s="34" t="n">
        <v>0.867215817272507</v>
      </c>
      <c r="AC80" s="34" t="n">
        <v>0.912864260602511</v>
      </c>
      <c r="AD80" s="34"/>
      <c r="AE80" s="34" t="n">
        <v>0.947108357707181</v>
      </c>
    </row>
    <row collapsed="false" customFormat="false" customHeight="true" hidden="false" ht="12" outlineLevel="0" r="81">
      <c r="A81" s="0" t="n">
        <v>17.48</v>
      </c>
      <c r="B81" s="0" t="s">
        <v>164</v>
      </c>
      <c r="C81" s="0" t="s">
        <v>165</v>
      </c>
      <c r="F81" s="0" t="n">
        <v>1994</v>
      </c>
      <c r="G81" s="0" t="n">
        <v>-0.220703848602628</v>
      </c>
      <c r="J81" s="0" t="n">
        <v>1999</v>
      </c>
      <c r="K81" s="34" t="n">
        <v>0.485129364451483</v>
      </c>
      <c r="L81" s="34" t="n">
        <v>0.751186482522972</v>
      </c>
      <c r="M81" s="34" t="n">
        <v>0.599368136643123</v>
      </c>
      <c r="N81" s="35" t="n">
        <v>0.900508844674648</v>
      </c>
      <c r="O81" s="34" t="n">
        <v>0.760955875041212</v>
      </c>
      <c r="P81" s="34" t="n">
        <v>0.209848922802771</v>
      </c>
      <c r="Q81" s="30" t="n">
        <v>0.223</v>
      </c>
      <c r="R81" s="34" t="n">
        <v>0.6069579753019</v>
      </c>
      <c r="S81" s="34" t="n">
        <v>0.540389949266183</v>
      </c>
      <c r="T81" s="34"/>
      <c r="U81" s="34" t="n">
        <v>0.603181375163691</v>
      </c>
      <c r="V81" s="34" t="n">
        <v>0.451412876317973</v>
      </c>
      <c r="W81" s="34" t="n">
        <v>0.362331422524267</v>
      </c>
      <c r="X81" s="34" t="n">
        <v>0.377446927974011</v>
      </c>
      <c r="Y81" s="34"/>
      <c r="Z81" s="34" t="n">
        <v>0.306201596537673</v>
      </c>
      <c r="AA81" s="0" t="n">
        <v>0.227311385014375</v>
      </c>
      <c r="AB81" s="34" t="n">
        <v>0.481786565151387</v>
      </c>
      <c r="AC81" s="34" t="n">
        <v>0.519630425266047</v>
      </c>
      <c r="AD81" s="34"/>
      <c r="AE81" s="34" t="n">
        <v>0.289611646571629</v>
      </c>
    </row>
    <row collapsed="false" customFormat="false" customHeight="true" hidden="false" ht="12" outlineLevel="0" r="82">
      <c r="D82" s="0" t="s">
        <v>166</v>
      </c>
      <c r="F82" s="0" t="n">
        <v>1993</v>
      </c>
      <c r="J82" s="0" t="n">
        <v>1998</v>
      </c>
      <c r="K82" s="34" t="n">
        <v>-0.473296940928255</v>
      </c>
      <c r="L82" s="34" t="n">
        <v>-0.246290650007525</v>
      </c>
      <c r="M82" s="34" t="n">
        <v>-0.377589629826462</v>
      </c>
      <c r="N82" s="35" t="n">
        <v>-0.4502544223373</v>
      </c>
      <c r="O82" s="34" t="n">
        <v>-0.586310264376022</v>
      </c>
      <c r="P82" s="34" t="n">
        <v>-0.599568350865022</v>
      </c>
      <c r="Q82" s="30" t="n">
        <v>-0.581</v>
      </c>
      <c r="R82" s="34" t="n">
        <v>-0.592154122245787</v>
      </c>
      <c r="S82" s="34" t="n">
        <v>-0.747009635750255</v>
      </c>
      <c r="T82" s="34"/>
      <c r="U82" s="34" t="n">
        <v>-0.452386031372761</v>
      </c>
      <c r="V82" s="34" t="n">
        <v>-0.451412876317965</v>
      </c>
      <c r="W82" s="34" t="n">
        <v>-0.380006126062052</v>
      </c>
      <c r="X82" s="34" t="n">
        <v>-0.359891256905454</v>
      </c>
      <c r="Y82" s="34"/>
      <c r="Z82" s="34" t="n">
        <v>-0.573146578134582</v>
      </c>
      <c r="AA82" s="0" t="n">
        <v>-0.409160493025874</v>
      </c>
      <c r="AB82" s="34" t="n">
        <v>-0.481786565151415</v>
      </c>
      <c r="AC82" s="34" t="n">
        <v>-0.463454163075116</v>
      </c>
      <c r="AD82" s="34"/>
      <c r="AE82" s="34" t="n">
        <v>-0.367885064563931</v>
      </c>
    </row>
    <row collapsed="false" customFormat="false" customHeight="true" hidden="false" ht="12" outlineLevel="0" r="83">
      <c r="F83" s="0" t="n">
        <v>1992</v>
      </c>
      <c r="G83" s="0" t="n">
        <v>-0.220703848602628</v>
      </c>
      <c r="J83" s="0" t="n">
        <v>1997</v>
      </c>
      <c r="K83" s="34" t="n">
        <v>-0.792772376054839</v>
      </c>
      <c r="L83" s="34" t="n">
        <v>-0.911275405027851</v>
      </c>
      <c r="M83" s="34" t="n">
        <v>-1.02889480747287</v>
      </c>
      <c r="N83" s="35" t="n">
        <v>-0.787945239090278</v>
      </c>
      <c r="O83" s="34" t="n">
        <v>-0.586310264376022</v>
      </c>
      <c r="P83" s="34" t="n">
        <v>-1.00427698769891</v>
      </c>
      <c r="Q83" s="30" t="n">
        <v>-0.983</v>
      </c>
      <c r="R83" s="34" t="n">
        <v>-0.991858154761673</v>
      </c>
      <c r="S83" s="34" t="n">
        <v>-0.747009635750255</v>
      </c>
      <c r="T83" s="34"/>
      <c r="U83" s="34" t="n">
        <v>-0.980169734640982</v>
      </c>
      <c r="V83" s="34" t="n">
        <v>-0.902825752635931</v>
      </c>
      <c r="W83" s="34" t="n">
        <v>-0.874897825119595</v>
      </c>
      <c r="X83" s="34" t="n">
        <v>-0.851450046825095</v>
      </c>
      <c r="Y83" s="34"/>
      <c r="Z83" s="34" t="n">
        <v>-0.792983621802649</v>
      </c>
      <c r="AA83" s="0" t="n">
        <v>-0.833475078386038</v>
      </c>
      <c r="AB83" s="34" t="n">
        <v>-0.867215817272535</v>
      </c>
      <c r="AC83" s="34" t="n">
        <v>-0.856687998411587</v>
      </c>
      <c r="AD83" s="34"/>
      <c r="AE83" s="34" t="n">
        <v>-0.806216205320969</v>
      </c>
    </row>
    <row collapsed="false" customFormat="false" customHeight="true" hidden="false" ht="12" outlineLevel="0" r="84">
      <c r="A84" s="2" t="n">
        <f aca="false">A81/G99</f>
        <v>0.000202314814814815</v>
      </c>
      <c r="B84" s="0" t="s">
        <v>167</v>
      </c>
      <c r="F84" s="0" t="n">
        <v>1991</v>
      </c>
      <c r="G84" s="0" t="n">
        <v>0.696065984054421</v>
      </c>
      <c r="J84" s="0" t="n">
        <v>1996</v>
      </c>
      <c r="K84" s="34" t="n">
        <v>0.1656539293249</v>
      </c>
      <c r="L84" s="34" t="n">
        <v>0.0862017275026448</v>
      </c>
      <c r="M84" s="34" t="n">
        <v>0.273715547819932</v>
      </c>
      <c r="N84" s="35" t="n">
        <v>0.225127211168668</v>
      </c>
      <c r="O84" s="34" t="n">
        <v>0.087322805332595</v>
      </c>
      <c r="P84" s="34" t="n">
        <v>0.209848922802771</v>
      </c>
      <c r="Q84" s="30" t="n">
        <v>0.223</v>
      </c>
      <c r="R84" s="34" t="n">
        <v>0.207253942786014</v>
      </c>
      <c r="S84" s="34" t="n">
        <v>0.111256754260708</v>
      </c>
      <c r="T84" s="34"/>
      <c r="U84" s="34" t="n">
        <v>0.0753976718954602</v>
      </c>
      <c r="V84" s="34" t="n">
        <v>8.0187035024076E-015</v>
      </c>
      <c r="W84" s="34" t="n">
        <v>0.114885572995491</v>
      </c>
      <c r="X84" s="34" t="n">
        <v>0.131667533014186</v>
      </c>
      <c r="Y84" s="34"/>
      <c r="Z84" s="34" t="n">
        <v>0.086364552869613</v>
      </c>
      <c r="AA84" s="0" t="n">
        <v>0.0151540923342897</v>
      </c>
      <c r="AB84" s="34" t="n">
        <v>0.0963573130302679</v>
      </c>
      <c r="AC84" s="34" t="n">
        <v>0.126396589929576</v>
      </c>
      <c r="AD84" s="34"/>
      <c r="AE84" s="34" t="n">
        <v>0.070446076193106</v>
      </c>
    </row>
    <row collapsed="false" customFormat="false" customHeight="true" hidden="false" ht="12" outlineLevel="0" r="85">
      <c r="F85" s="0" t="n">
        <v>1990</v>
      </c>
      <c r="G85" s="0" t="n">
        <v>0.696065984054421</v>
      </c>
      <c r="J85" s="0" t="n">
        <v>1995</v>
      </c>
      <c r="K85" s="34" t="n">
        <v>0.1656539293249</v>
      </c>
      <c r="L85" s="34" t="n">
        <v>0.0862017275026448</v>
      </c>
      <c r="M85" s="34" t="n">
        <v>-0.0519370410032707</v>
      </c>
      <c r="N85" s="35" t="n">
        <v>0.225127211168668</v>
      </c>
      <c r="O85" s="34" t="n">
        <v>0.760955875041212</v>
      </c>
      <c r="P85" s="34" t="n">
        <v>-0.194859714031119</v>
      </c>
      <c r="Q85" s="30" t="n">
        <v>0.223</v>
      </c>
      <c r="R85" s="34" t="n">
        <v>0.207253942786014</v>
      </c>
      <c r="S85" s="34" t="n">
        <v>0.540389949266183</v>
      </c>
      <c r="T85" s="34"/>
      <c r="U85" s="34" t="n">
        <v>0.0753976718954602</v>
      </c>
      <c r="V85" s="34" t="n">
        <v>8.0187035024076E-015</v>
      </c>
      <c r="W85" s="34" t="n">
        <v>-0.132560276533276</v>
      </c>
      <c r="X85" s="34" t="n">
        <v>-0.11411186194563</v>
      </c>
      <c r="Y85" s="34"/>
      <c r="Z85" s="34" t="n">
        <v>0.086364552869613</v>
      </c>
      <c r="AA85" s="0" t="n">
        <v>0.0151540923342897</v>
      </c>
      <c r="AB85" s="34" t="n">
        <v>0.0963573130302679</v>
      </c>
      <c r="AC85" s="34" t="n">
        <v>-0.0702203277386525</v>
      </c>
      <c r="AD85" s="34"/>
      <c r="AE85" s="34" t="n">
        <v>-0.148719494185417</v>
      </c>
    </row>
    <row collapsed="false" customFormat="false" customHeight="true" hidden="false" ht="12" outlineLevel="0" r="86">
      <c r="A86" s="2" t="n">
        <f aca="false">A84*1000000</f>
        <v>202.314814814815</v>
      </c>
      <c r="B86" s="0" t="s">
        <v>168</v>
      </c>
      <c r="F86" s="0" t="n">
        <v>1989</v>
      </c>
      <c r="G86" s="0" t="n">
        <v>1.15445090038294</v>
      </c>
      <c r="J86" s="0" t="n">
        <v>1994</v>
      </c>
      <c r="K86" s="34" t="n">
        <v>-0.473296940928255</v>
      </c>
      <c r="L86" s="34" t="n">
        <v>-0.578783027517694</v>
      </c>
      <c r="M86" s="34" t="n">
        <v>-0.377589629826462</v>
      </c>
      <c r="N86" s="35" t="n">
        <v>-0.787945239090278</v>
      </c>
      <c r="O86" s="34" t="n">
        <v>-0.586310264376022</v>
      </c>
      <c r="P86" s="34" t="n">
        <v>-0.194859714031119</v>
      </c>
      <c r="Q86" s="30" t="n">
        <v>-0.179</v>
      </c>
      <c r="R86" s="34" t="n">
        <v>-0.192450089729886</v>
      </c>
      <c r="S86" s="34" t="n">
        <v>-0.317876440744781</v>
      </c>
      <c r="T86" s="34"/>
      <c r="U86" s="34" t="n">
        <v>-0.452386031372761</v>
      </c>
      <c r="V86" s="34" t="n">
        <v>-0.451412876317965</v>
      </c>
      <c r="W86" s="34" t="n">
        <v>-0.380006126062052</v>
      </c>
      <c r="X86" s="34" t="n">
        <v>-0.359891256905454</v>
      </c>
      <c r="Y86" s="34"/>
      <c r="Z86" s="34" t="n">
        <v>-0.353309534466514</v>
      </c>
      <c r="AA86" s="0" t="n">
        <v>-0.409160493025874</v>
      </c>
      <c r="AB86" s="34" t="n">
        <v>-0.481786565151415</v>
      </c>
      <c r="AC86" s="34" t="n">
        <v>-0.463454163075116</v>
      </c>
      <c r="AD86" s="34"/>
      <c r="AE86" s="34" t="n">
        <v>-0.367885064563931</v>
      </c>
    </row>
    <row collapsed="false" customFormat="false" customHeight="true" hidden="false" ht="15" outlineLevel="0" r="87">
      <c r="F87" s="0" t="n">
        <v>1988</v>
      </c>
      <c r="G87" s="0" t="n">
        <v>0.466873525890162</v>
      </c>
      <c r="J87" s="0" t="n">
        <v>1993</v>
      </c>
      <c r="K87" s="34"/>
      <c r="L87" s="34"/>
      <c r="M87" s="34"/>
      <c r="N87" s="35"/>
      <c r="O87" s="34"/>
      <c r="P87" s="34"/>
      <c r="Q87" s="33"/>
      <c r="R87" s="34"/>
      <c r="S87" s="34"/>
      <c r="T87" s="34"/>
      <c r="U87" s="34" t="n">
        <v>1.92264063333425</v>
      </c>
      <c r="V87" s="34" t="n">
        <v>2.03135794343086</v>
      </c>
      <c r="W87" s="34" t="n">
        <v>2.09445236922567</v>
      </c>
      <c r="X87" s="34" t="n">
        <v>2.09790269269276</v>
      </c>
      <c r="Y87" s="34"/>
      <c r="Z87" s="34" t="n">
        <v>2.06489794588219</v>
      </c>
      <c r="AA87" s="0" t="n">
        <v>2.13672701913512</v>
      </c>
      <c r="AB87" s="34" t="n">
        <v>2.02350357363587</v>
      </c>
      <c r="AC87" s="34" t="n">
        <v>2.0925657666119</v>
      </c>
      <c r="AD87" s="34"/>
      <c r="AE87" s="34" t="n">
        <v>2.04293620959978</v>
      </c>
    </row>
    <row collapsed="false" customFormat="false" customHeight="true" hidden="false" ht="12" outlineLevel="0" r="88">
      <c r="A88" s="2" t="n">
        <f aca="false">A86*4.6</f>
        <v>930.648148148148</v>
      </c>
      <c r="B88" s="0" t="s">
        <v>169</v>
      </c>
      <c r="F88" s="0" t="n">
        <v>1987</v>
      </c>
      <c r="G88" s="0" t="n">
        <v>0.00848860956162984</v>
      </c>
      <c r="J88" s="0" t="n">
        <v>1992</v>
      </c>
      <c r="K88" s="34" t="n">
        <v>-0.473296940928255</v>
      </c>
      <c r="L88" s="34" t="n">
        <v>-0.578783027517694</v>
      </c>
      <c r="M88" s="34" t="n">
        <v>-0.377589629826462</v>
      </c>
      <c r="N88" s="35" t="n">
        <v>-0.4502544223373</v>
      </c>
      <c r="O88" s="34" t="n">
        <v>-0.586310264376022</v>
      </c>
      <c r="P88" s="34" t="n">
        <v>-0.194859714031119</v>
      </c>
      <c r="Q88" s="30" t="n">
        <v>-0.179</v>
      </c>
      <c r="R88" s="34" t="n">
        <v>-0.192450089729886</v>
      </c>
      <c r="S88" s="34" t="n">
        <v>-0.317876440744781</v>
      </c>
      <c r="T88" s="34"/>
      <c r="U88" s="34" t="n">
        <v>-0.452386031372761</v>
      </c>
      <c r="V88" s="34" t="n">
        <v>-0.451412876317965</v>
      </c>
      <c r="W88" s="34" t="n">
        <v>-0.380006126062052</v>
      </c>
      <c r="X88" s="34" t="n">
        <v>-0.359891256905454</v>
      </c>
      <c r="Y88" s="34"/>
      <c r="Z88" s="34" t="n">
        <v>-0.353309534466514</v>
      </c>
      <c r="AA88" s="0" t="n">
        <v>-0.409160493025874</v>
      </c>
      <c r="AB88" s="34" t="n">
        <v>-0.481786565151415</v>
      </c>
      <c r="AC88" s="34" t="n">
        <v>-0.463454163075116</v>
      </c>
      <c r="AD88" s="34"/>
      <c r="AE88" s="34" t="n">
        <v>-0.367885064563931</v>
      </c>
    </row>
    <row collapsed="false" customFormat="false" customHeight="true" hidden="false" ht="12" outlineLevel="0" r="89">
      <c r="F89" s="0" t="n">
        <v>1986</v>
      </c>
      <c r="G89" s="0" t="n">
        <v>0.466873525890162</v>
      </c>
      <c r="J89" s="0" t="n">
        <v>1991</v>
      </c>
      <c r="K89" s="34" t="n">
        <v>-0.153821505801684</v>
      </c>
      <c r="L89" s="34" t="n">
        <v>-0.246290650007525</v>
      </c>
      <c r="M89" s="34" t="n">
        <v>-0.0519370410032707</v>
      </c>
      <c r="N89" s="35" t="n">
        <v>-0.787945239090278</v>
      </c>
      <c r="O89" s="34" t="n">
        <v>-1.25994333408462</v>
      </c>
      <c r="P89" s="34" t="n">
        <v>0.209848922802771</v>
      </c>
      <c r="Q89" s="30" t="n">
        <v>-0.179</v>
      </c>
      <c r="R89" s="34" t="n">
        <v>-0.192450089729886</v>
      </c>
      <c r="S89" s="34" t="n">
        <v>-0.317876440744781</v>
      </c>
      <c r="T89" s="34"/>
      <c r="U89" s="34" t="n">
        <v>-0.188494179738646</v>
      </c>
      <c r="V89" s="34" t="n">
        <v>-0.225706438158979</v>
      </c>
      <c r="W89" s="34" t="n">
        <v>0.114885572995491</v>
      </c>
      <c r="X89" s="34" t="n">
        <v>-0.11411186194563</v>
      </c>
      <c r="Y89" s="34"/>
      <c r="Z89" s="34" t="n">
        <v>-0.133472490798455</v>
      </c>
      <c r="AA89" s="0" t="n">
        <v>0.0151540923342897</v>
      </c>
      <c r="AB89" s="34" t="n">
        <v>-0.289071939090852</v>
      </c>
      <c r="AC89" s="34" t="n">
        <v>-0.0702203277386525</v>
      </c>
      <c r="AD89" s="34"/>
      <c r="AE89" s="34" t="n">
        <v>-0.148719494185417</v>
      </c>
    </row>
    <row collapsed="false" customFormat="false" customHeight="true" hidden="false" ht="12" outlineLevel="0" r="90">
      <c r="F90" s="0" t="n">
        <v>1985</v>
      </c>
      <c r="G90" s="0" t="n">
        <v>0.466873525890162</v>
      </c>
      <c r="J90" s="0" t="n">
        <v>1990</v>
      </c>
      <c r="K90" s="34" t="n">
        <v>0.804604799578055</v>
      </c>
      <c r="L90" s="34" t="n">
        <v>0.751186482522972</v>
      </c>
      <c r="M90" s="34" t="n">
        <v>0.925020725466325</v>
      </c>
      <c r="N90" s="35" t="n">
        <v>0.900508844674648</v>
      </c>
      <c r="O90" s="34" t="n">
        <v>0.760955875041212</v>
      </c>
      <c r="P90" s="34" t="n">
        <v>0.614557559636675</v>
      </c>
      <c r="Q90" s="30" t="n">
        <v>0.626</v>
      </c>
      <c r="R90" s="34" t="n">
        <v>0.6069579753019</v>
      </c>
      <c r="S90" s="34" t="n">
        <v>0.540389949266183</v>
      </c>
      <c r="T90" s="34"/>
      <c r="U90" s="34" t="n">
        <v>0.603181375163691</v>
      </c>
      <c r="V90" s="34" t="n">
        <v>0.677119314476952</v>
      </c>
      <c r="W90" s="34" t="n">
        <v>0.609777272053034</v>
      </c>
      <c r="X90" s="34" t="n">
        <v>0.623226322933826</v>
      </c>
      <c r="Y90" s="34"/>
      <c r="Z90" s="34" t="n">
        <v>0.52603864020574</v>
      </c>
      <c r="AA90" s="0" t="n">
        <v>0.651625970374539</v>
      </c>
      <c r="AB90" s="34" t="n">
        <v>0.674501191211951</v>
      </c>
      <c r="AC90" s="34" t="n">
        <v>0.716247342934275</v>
      </c>
      <c r="AD90" s="34"/>
      <c r="AE90" s="34" t="n">
        <v>0.727942787328666</v>
      </c>
      <c r="AI90" s="0" t="s">
        <v>110</v>
      </c>
      <c r="AJ90" s="0" t="s">
        <v>170</v>
      </c>
      <c r="AK90" s="0" t="s">
        <v>171</v>
      </c>
      <c r="AL90" s="0" t="s">
        <v>172</v>
      </c>
    </row>
    <row collapsed="false" customFormat="false" customHeight="true" hidden="false" ht="12" outlineLevel="0" r="91">
      <c r="F91" s="0" t="n">
        <v>1984</v>
      </c>
      <c r="G91" s="0" t="n">
        <v>0.00848860956162984</v>
      </c>
      <c r="J91" s="0" t="n">
        <v>1989</v>
      </c>
      <c r="K91" s="34" t="n">
        <v>0.485129364451483</v>
      </c>
      <c r="L91" s="34" t="n">
        <v>0.418694105012802</v>
      </c>
      <c r="M91" s="34" t="n">
        <v>0.599368136643123</v>
      </c>
      <c r="N91" s="35" t="n">
        <v>-0.11256360558431</v>
      </c>
      <c r="O91" s="34" t="n">
        <v>-0.586310264376022</v>
      </c>
      <c r="P91" s="34" t="n">
        <v>0.209848922802771</v>
      </c>
      <c r="Q91" s="30" t="n">
        <v>0.223</v>
      </c>
      <c r="R91" s="34" t="n">
        <v>0.207253942786014</v>
      </c>
      <c r="S91" s="34" t="n">
        <v>-0.317876440744781</v>
      </c>
      <c r="T91" s="34"/>
      <c r="U91" s="34" t="n">
        <v>0.603181375163691</v>
      </c>
      <c r="V91" s="34" t="n">
        <v>0.451412876317973</v>
      </c>
      <c r="W91" s="34" t="n">
        <v>0.362331422524267</v>
      </c>
      <c r="X91" s="34" t="n">
        <v>0.377446927974011</v>
      </c>
      <c r="Y91" s="34"/>
      <c r="Z91" s="34" t="n">
        <v>0.306201596537673</v>
      </c>
      <c r="AA91" s="0" t="n">
        <v>0.439468677694461</v>
      </c>
      <c r="AB91" s="34" t="n">
        <v>0.289071939090824</v>
      </c>
      <c r="AC91" s="34" t="n">
        <v>0.323013507597811</v>
      </c>
      <c r="AD91" s="34"/>
      <c r="AE91" s="34" t="n">
        <v>0.508777216950143</v>
      </c>
      <c r="AI91" s="0" t="n">
        <v>2009</v>
      </c>
      <c r="AJ91" s="0" t="n">
        <v>-0.290357581425254</v>
      </c>
      <c r="AK91" s="34" t="n">
        <v>-2.3318429274791</v>
      </c>
      <c r="AL91" s="0" t="n">
        <v>1.42180731768988</v>
      </c>
    </row>
    <row collapsed="false" customFormat="false" customHeight="true" hidden="false" ht="12" outlineLevel="0" r="92">
      <c r="F92" s="0" t="n">
        <v>1983</v>
      </c>
      <c r="G92" s="0" t="n">
        <v>-2.283435972081</v>
      </c>
      <c r="J92" s="0" t="n">
        <v>1988</v>
      </c>
      <c r="K92" s="34" t="n">
        <v>-0.473296940928255</v>
      </c>
      <c r="L92" s="34" t="n">
        <v>-0.246290650007525</v>
      </c>
      <c r="M92" s="34" t="n">
        <v>-0.377589629826462</v>
      </c>
      <c r="N92" s="35" t="n">
        <v>-0.787945239090278</v>
      </c>
      <c r="O92" s="34" t="n">
        <v>-1.25994333408462</v>
      </c>
      <c r="P92" s="34" t="n">
        <v>-0.194859714031119</v>
      </c>
      <c r="Q92" s="30" t="n">
        <v>-0.581</v>
      </c>
      <c r="R92" s="34" t="n">
        <v>-0.592154122245787</v>
      </c>
      <c r="S92" s="34" t="n">
        <v>-0.747009635750255</v>
      </c>
      <c r="T92" s="34"/>
      <c r="U92" s="34" t="n">
        <v>-0.452386031372761</v>
      </c>
      <c r="V92" s="34" t="n">
        <v>-0.451412876317965</v>
      </c>
      <c r="W92" s="34" t="n">
        <v>-0.380006126062052</v>
      </c>
      <c r="X92" s="34" t="n">
        <v>-0.359891256905454</v>
      </c>
      <c r="Y92" s="34"/>
      <c r="Z92" s="34" t="n">
        <v>-0.353309534466514</v>
      </c>
      <c r="AA92" s="0" t="n">
        <v>-0.409160493025874</v>
      </c>
      <c r="AB92" s="34" t="n">
        <v>-0.481786565151415</v>
      </c>
      <c r="AC92" s="34" t="n">
        <v>-0.463454163075116</v>
      </c>
      <c r="AD92" s="34"/>
      <c r="AE92" s="34" t="n">
        <v>-0.367885064563931</v>
      </c>
      <c r="AI92" s="0" t="n">
        <v>2008</v>
      </c>
      <c r="AJ92" s="0" t="n">
        <v>0.239226391218053</v>
      </c>
      <c r="AK92" s="34" t="n">
        <v>0.086364552869613</v>
      </c>
      <c r="AL92" s="0" t="n">
        <v>0.703994405438632</v>
      </c>
    </row>
    <row collapsed="false" customFormat="false" customHeight="true" hidden="false" ht="12" outlineLevel="0" r="93">
      <c r="F93" s="0" t="n">
        <v>1982</v>
      </c>
      <c r="G93" s="0" t="n">
        <v>-0.679088764931153</v>
      </c>
      <c r="J93" s="0" t="n">
        <v>1987</v>
      </c>
      <c r="K93" s="34" t="n">
        <v>-0.473296940928255</v>
      </c>
      <c r="L93" s="34" t="n">
        <v>-0.578783027517694</v>
      </c>
      <c r="M93" s="34" t="n">
        <v>-0.703242218649664</v>
      </c>
      <c r="N93" s="35" t="n">
        <v>-1.12563605584327</v>
      </c>
      <c r="O93" s="34" t="n">
        <v>-1.25994333408462</v>
      </c>
      <c r="P93" s="34" t="n">
        <v>-0.599568350865022</v>
      </c>
      <c r="Q93" s="30" t="n">
        <v>-0.581</v>
      </c>
      <c r="R93" s="34" t="n">
        <v>-0.592154122245787</v>
      </c>
      <c r="S93" s="34" t="n">
        <v>-0.747009635750255</v>
      </c>
      <c r="T93" s="34"/>
      <c r="U93" s="34" t="n">
        <v>-0.716277883006867</v>
      </c>
      <c r="V93" s="34" t="n">
        <v>-0.677119314476944</v>
      </c>
      <c r="W93" s="34" t="n">
        <v>-0.627451975590828</v>
      </c>
      <c r="X93" s="34" t="n">
        <v>-0.605670651865279</v>
      </c>
      <c r="Y93" s="34"/>
      <c r="Z93" s="34" t="n">
        <v>-0.573146578134582</v>
      </c>
      <c r="AA93" s="0" t="n">
        <v>-0.621317785705952</v>
      </c>
      <c r="AB93" s="34" t="n">
        <v>-0.674501191211978</v>
      </c>
      <c r="AC93" s="34" t="n">
        <v>-0.660071080743352</v>
      </c>
      <c r="AD93" s="34"/>
      <c r="AE93" s="34" t="n">
        <v>-0.587050634942454</v>
      </c>
      <c r="AI93" s="0" t="n">
        <v>2007</v>
      </c>
      <c r="AJ93" s="0" t="n">
        <v>0.644525254642978</v>
      </c>
      <c r="AK93" s="34" t="n">
        <v>1.18554977120993</v>
      </c>
      <c r="AL93" s="0" t="n">
        <v>0.436674339778762</v>
      </c>
    </row>
    <row collapsed="false" customFormat="false" customHeight="true" hidden="false" ht="12" outlineLevel="0" r="94">
      <c r="J94" s="0" t="n">
        <v>1986</v>
      </c>
      <c r="K94" s="34" t="n">
        <v>0.1656539293249</v>
      </c>
      <c r="L94" s="34" t="n">
        <v>0.0862017275026448</v>
      </c>
      <c r="M94" s="34" t="n">
        <v>-0.0519370410032707</v>
      </c>
      <c r="N94" s="34" t="n">
        <v>-0.11256360558431</v>
      </c>
      <c r="O94" s="34" t="n">
        <v>-0.249493729521714</v>
      </c>
      <c r="P94" s="34" t="n">
        <v>0.209848922802771</v>
      </c>
      <c r="Q94" s="30" t="n">
        <v>0.223</v>
      </c>
      <c r="R94" s="34" t="n">
        <v>0.207253942786014</v>
      </c>
      <c r="S94" s="34" t="n">
        <v>0.111256754260708</v>
      </c>
      <c r="T94" s="34"/>
      <c r="U94" s="34" t="n">
        <v>0.0753976718954602</v>
      </c>
      <c r="V94" s="34" t="n">
        <v>8.0187035024076E-015</v>
      </c>
      <c r="W94" s="34" t="n">
        <v>0.114885572995491</v>
      </c>
      <c r="X94" s="34" t="n">
        <v>0.131667533014186</v>
      </c>
      <c r="Y94" s="34"/>
      <c r="Z94" s="34" t="n">
        <v>0.086364552869613</v>
      </c>
      <c r="AA94" s="0" t="n">
        <v>0.0151540923342897</v>
      </c>
      <c r="AB94" s="34" t="n">
        <v>-0.0963573130302953</v>
      </c>
      <c r="AC94" s="34" t="n">
        <v>-0.0702203277386525</v>
      </c>
      <c r="AD94" s="34"/>
      <c r="AE94" s="34" t="n">
        <v>0.070446076193106</v>
      </c>
      <c r="AI94" s="0" t="n">
        <v>2006</v>
      </c>
      <c r="AJ94" s="0" t="n">
        <v>-1.11602500457803</v>
      </c>
      <c r="AK94" s="34" t="n">
        <v>-0.792983621802649</v>
      </c>
      <c r="AL94" s="0" t="n">
        <v>1.61019211419306</v>
      </c>
    </row>
    <row collapsed="false" customFormat="false" customHeight="true" hidden="false" ht="12" outlineLevel="0" r="95">
      <c r="J95" s="0" t="n">
        <v>1985</v>
      </c>
      <c r="K95" s="34" t="n">
        <v>0.1656539293249</v>
      </c>
      <c r="L95" s="34" t="n">
        <v>0.0862017275026448</v>
      </c>
      <c r="M95" s="34" t="n">
        <v>-0.0519370410032707</v>
      </c>
      <c r="N95" s="34" t="n">
        <v>-0.11256360558431</v>
      </c>
      <c r="O95" s="34" t="n">
        <v>-0.586310264376022</v>
      </c>
      <c r="P95" s="34" t="n">
        <v>0.209848922802771</v>
      </c>
      <c r="Q95" s="30" t="n">
        <v>0.223</v>
      </c>
      <c r="R95" s="34" t="n">
        <v>0.207253942786014</v>
      </c>
      <c r="S95" s="34" t="n">
        <v>0.111256754260708</v>
      </c>
      <c r="T95" s="34"/>
      <c r="U95" s="34" t="n">
        <v>0.0753976718954602</v>
      </c>
      <c r="V95" s="34" t="n">
        <v>8.0187035024076E-015</v>
      </c>
      <c r="W95" s="34" t="n">
        <v>0.114885572995491</v>
      </c>
      <c r="X95" s="34" t="n">
        <v>0.131667533014186</v>
      </c>
      <c r="Y95" s="34"/>
      <c r="Z95" s="34" t="n">
        <v>0.086364552869613</v>
      </c>
      <c r="AA95" s="0" t="n">
        <v>0.0151540923342897</v>
      </c>
      <c r="AB95" s="34" t="n">
        <v>-0.0963573130302953</v>
      </c>
      <c r="AC95" s="34" t="n">
        <v>-0.0702203277386525</v>
      </c>
      <c r="AD95" s="34"/>
      <c r="AE95" s="34" t="n">
        <v>0.070446076193106</v>
      </c>
      <c r="AI95" s="0" t="n">
        <v>2005</v>
      </c>
      <c r="AJ95" s="0" t="n">
        <v>-0.288800991974175</v>
      </c>
      <c r="AK95" s="34" t="n">
        <v>-0.573146578134582</v>
      </c>
      <c r="AL95" s="0" t="n">
        <v>1.02319843461312</v>
      </c>
    </row>
    <row collapsed="false" customFormat="false" customHeight="true" hidden="false" ht="12" outlineLevel="0" r="96">
      <c r="J96" s="0" t="n">
        <v>1984</v>
      </c>
      <c r="K96" s="34" t="n">
        <v>1.44355566983121</v>
      </c>
      <c r="L96" s="34" t="n">
        <v>1.4161712375433</v>
      </c>
      <c r="M96" s="34" t="n">
        <v>1.57632590311272</v>
      </c>
      <c r="N96" s="34" t="n">
        <v>2.25127211168658</v>
      </c>
      <c r="O96" s="34" t="n">
        <v>2.78185508416702</v>
      </c>
      <c r="P96" s="34" t="n">
        <v>1.42397483330447</v>
      </c>
      <c r="Q96" s="30" t="n">
        <v>1.43</v>
      </c>
      <c r="R96" s="34" t="n">
        <v>1.40636604033369</v>
      </c>
      <c r="S96" s="34" t="n">
        <v>2.25692272928812</v>
      </c>
      <c r="T96" s="34"/>
      <c r="U96" s="34" t="n">
        <v>1.39485693006602</v>
      </c>
      <c r="V96" s="34" t="n">
        <v>1.35423862895391</v>
      </c>
      <c r="W96" s="34" t="n">
        <v>1.10466897111059</v>
      </c>
      <c r="X96" s="34" t="n">
        <v>1.11478511285348</v>
      </c>
      <c r="Y96" s="34"/>
      <c r="Z96" s="34" t="n">
        <v>1.18554977120993</v>
      </c>
      <c r="AA96" s="0" t="n">
        <v>1.0759405557347</v>
      </c>
      <c r="AB96" s="34" t="n">
        <v>1.44535969545419</v>
      </c>
      <c r="AC96" s="34" t="n">
        <v>1.30609809593897</v>
      </c>
      <c r="AD96" s="34"/>
      <c r="AE96" s="34" t="n">
        <v>1.1662739280857</v>
      </c>
      <c r="AI96" s="0" t="n">
        <v>2004</v>
      </c>
      <c r="AJ96" s="0" t="n">
        <v>0.195304801722278</v>
      </c>
      <c r="AK96" s="34" t="n">
        <v>0.52603864020574</v>
      </c>
      <c r="AL96" s="0" t="n">
        <v>0.592711238768982</v>
      </c>
    </row>
    <row collapsed="false" customFormat="false" customHeight="true" hidden="false" ht="12" outlineLevel="0" r="97">
      <c r="J97" s="0" t="n">
        <v>1983</v>
      </c>
      <c r="K97" s="34" t="n">
        <v>-2.07067411656115</v>
      </c>
      <c r="L97" s="34" t="n">
        <v>-2.24124491506852</v>
      </c>
      <c r="M97" s="34" t="n">
        <v>-2.00585257394245</v>
      </c>
      <c r="N97" s="34" t="n">
        <v>-1.80101768934924</v>
      </c>
      <c r="O97" s="34" t="n">
        <v>-1.25994333408462</v>
      </c>
      <c r="P97" s="34" t="n">
        <v>-2.21840289820061</v>
      </c>
      <c r="Q97" s="30" t="n">
        <v>-2.19</v>
      </c>
      <c r="R97" s="34" t="n">
        <v>-2.19097025230936</v>
      </c>
      <c r="S97" s="34" t="n">
        <v>-2.03440922076671</v>
      </c>
      <c r="T97" s="34"/>
      <c r="U97" s="34" t="n">
        <v>-2.03573714117742</v>
      </c>
      <c r="V97" s="34" t="n">
        <v>-2.03135794343085</v>
      </c>
      <c r="W97" s="34" t="n">
        <v>-2.11212707276346</v>
      </c>
      <c r="X97" s="34" t="n">
        <v>-2.0803470216242</v>
      </c>
      <c r="Y97" s="34"/>
      <c r="Z97" s="34" t="n">
        <v>-2.11200588381103</v>
      </c>
      <c r="AA97" s="0" t="n">
        <v>-2.10641883446654</v>
      </c>
      <c r="AB97" s="34" t="n">
        <v>-2.0235035736359</v>
      </c>
      <c r="AC97" s="34" t="n">
        <v>-2.03638950442098</v>
      </c>
      <c r="AD97" s="34"/>
      <c r="AE97" s="34" t="n">
        <v>-2.12120962759209</v>
      </c>
      <c r="AI97" s="0" t="n">
        <v>2003</v>
      </c>
      <c r="AJ97" s="0" t="n">
        <v>-0.710341741153059</v>
      </c>
      <c r="AK97" s="34" t="n">
        <v>-0.573146578134582</v>
      </c>
      <c r="AL97" s="0" t="n">
        <v>0.869130851208165</v>
      </c>
    </row>
    <row collapsed="false" customFormat="false" customHeight="true" hidden="false" ht="12" outlineLevel="0" r="98">
      <c r="J98" s="0" t="n">
        <v>1982</v>
      </c>
      <c r="K98" s="34" t="n">
        <v>-0.473296940928255</v>
      </c>
      <c r="L98" s="34" t="n">
        <v>-0.246290650007525</v>
      </c>
      <c r="M98" s="34" t="n">
        <v>-0.377589629826462</v>
      </c>
      <c r="N98" s="34" t="n">
        <v>-0.11256360558431</v>
      </c>
      <c r="O98" s="34" t="n">
        <v>0.087322805332595</v>
      </c>
      <c r="P98" s="34" t="n">
        <v>-0.194859714031119</v>
      </c>
      <c r="Q98" s="30" t="n">
        <v>-0.179</v>
      </c>
      <c r="R98" s="34" t="n">
        <v>-0.192450089729886</v>
      </c>
      <c r="S98" s="34" t="n">
        <v>0.111256754260708</v>
      </c>
      <c r="T98" s="34"/>
      <c r="U98" s="34" t="n">
        <v>-0.452386031372761</v>
      </c>
      <c r="V98" s="34" t="n">
        <v>-0.451412876317965</v>
      </c>
      <c r="W98" s="34" t="n">
        <v>-0.380006126062052</v>
      </c>
      <c r="X98" s="34" t="n">
        <v>-0.359891256905454</v>
      </c>
      <c r="Y98" s="34"/>
      <c r="Z98" s="34" t="n">
        <v>-0.353309534466514</v>
      </c>
      <c r="AA98" s="0" t="n">
        <v>-0.409160493025874</v>
      </c>
      <c r="AB98" s="34" t="n">
        <v>-0.289071939090852</v>
      </c>
      <c r="AC98" s="34" t="n">
        <v>-0.463454163075116</v>
      </c>
      <c r="AD98" s="34"/>
      <c r="AE98" s="34" t="n">
        <v>-0.367885064563931</v>
      </c>
      <c r="AI98" s="0" t="n">
        <v>2002</v>
      </c>
      <c r="AJ98" s="0" t="n">
        <v>0.504585523518288</v>
      </c>
      <c r="AK98" s="34" t="n">
        <v>2.28473498955026</v>
      </c>
      <c r="AL98" s="0" t="n">
        <v>0.498781367781517</v>
      </c>
    </row>
    <row collapsed="false" customFormat="false" customHeight="true" hidden="false" ht="12" outlineLevel="0" r="99">
      <c r="A99" s="2" t="n">
        <f aca="false">A81*2.07</f>
        <v>36.1836</v>
      </c>
      <c r="B99" s="0" t="s">
        <v>173</v>
      </c>
      <c r="G99" s="2" t="n">
        <f aca="false">24*60*60</f>
        <v>86400</v>
      </c>
      <c r="AI99" s="0" t="n">
        <v>2001</v>
      </c>
      <c r="AJ99" s="0" t="n">
        <v>-0.0374644219748053</v>
      </c>
      <c r="AK99" s="34" t="n">
        <v>0.086364552869613</v>
      </c>
      <c r="AL99" s="0" t="n">
        <v>0.878843296521323</v>
      </c>
    </row>
    <row collapsed="false" customFormat="false" customHeight="true" hidden="false" ht="12" outlineLevel="0" r="100">
      <c r="AI100" s="0" t="n">
        <v>2000</v>
      </c>
      <c r="AJ100" s="0" t="n">
        <v>0.774352237006285</v>
      </c>
      <c r="AK100" s="34" t="n">
        <v>0.965712727541867</v>
      </c>
      <c r="AL100" s="0" t="n">
        <v>0.557196327610986</v>
      </c>
    </row>
    <row collapsed="false" customFormat="false" customHeight="true" hidden="false" ht="12" outlineLevel="0" r="101">
      <c r="AI101" s="0" t="n">
        <v>1999</v>
      </c>
      <c r="AJ101" s="0" t="n">
        <v>-0.0525622581600255</v>
      </c>
      <c r="AK101" s="34" t="n">
        <v>0.306201596537673</v>
      </c>
      <c r="AL101" s="0" t="n">
        <v>1.02928220604213</v>
      </c>
    </row>
    <row collapsed="false" customFormat="false" customHeight="true" hidden="false" ht="12" outlineLevel="0" r="102">
      <c r="AI102" s="0" t="n">
        <v>1998</v>
      </c>
      <c r="AJ102" s="0" t="n">
        <v>-0.273647195365403</v>
      </c>
      <c r="AK102" s="34" t="n">
        <v>-0.573146578134582</v>
      </c>
      <c r="AL102" s="0" t="n">
        <v>0.866944274905824</v>
      </c>
    </row>
    <row collapsed="false" customFormat="false" customHeight="true" hidden="false" ht="12" outlineLevel="0" r="103">
      <c r="AI103" s="0" t="n">
        <v>1997</v>
      </c>
      <c r="AJ103" s="0" t="n">
        <v>-0.457270555508932</v>
      </c>
      <c r="AK103" s="34" t="n">
        <v>-0.792983621802649</v>
      </c>
      <c r="AL103" s="0" t="n">
        <v>1.01970792328459</v>
      </c>
    </row>
    <row collapsed="false" customFormat="false" customHeight="true" hidden="false" ht="12" outlineLevel="0" r="104">
      <c r="G104" s="0" t="n">
        <v>17.48</v>
      </c>
      <c r="H104" s="0" t="s">
        <v>174</v>
      </c>
      <c r="AI104" s="0" t="n">
        <v>1996</v>
      </c>
      <c r="AJ104" s="0" t="n">
        <v>-0.141932344522551</v>
      </c>
      <c r="AK104" s="34" t="n">
        <v>0.086364552869613</v>
      </c>
      <c r="AL104" s="0" t="n">
        <v>1.65138448911485</v>
      </c>
    </row>
    <row collapsed="false" customFormat="false" customHeight="true" hidden="false" ht="12" outlineLevel="0" r="105">
      <c r="G105" s="0" t="s">
        <v>175</v>
      </c>
      <c r="AI105" s="0" t="n">
        <v>1995</v>
      </c>
      <c r="AJ105" s="0" t="n">
        <v>-0.0675953286003726</v>
      </c>
      <c r="AK105" s="34" t="n">
        <v>0.086364552869613</v>
      </c>
      <c r="AL105" s="0" t="n">
        <v>0.571740030839171</v>
      </c>
    </row>
    <row collapsed="false" customFormat="false" customHeight="true" hidden="false" ht="12" outlineLevel="0" r="106">
      <c r="AI106" s="0" t="n">
        <v>1994</v>
      </c>
      <c r="AJ106" s="0" t="n">
        <v>0.56564976863267</v>
      </c>
      <c r="AK106" s="34" t="n">
        <v>-0.353309534466514</v>
      </c>
      <c r="AL106" s="0" t="n">
        <v>0.404196126195595</v>
      </c>
    </row>
    <row collapsed="false" customFormat="false" customHeight="true" hidden="false" ht="12" outlineLevel="0" r="107">
      <c r="AI107" s="0" t="n">
        <v>1993</v>
      </c>
      <c r="AJ107" s="0" t="n">
        <v>0.727194315662255</v>
      </c>
      <c r="AK107" s="34" t="n">
        <v>2.06489794588219</v>
      </c>
      <c r="AL107" s="0" t="n">
        <v>0.48450125623448</v>
      </c>
    </row>
    <row collapsed="false" customFormat="false" customHeight="true" hidden="false" ht="12" outlineLevel="0" r="108">
      <c r="B108" s="0" t="s">
        <v>164</v>
      </c>
      <c r="AI108" s="0" t="n">
        <v>1992</v>
      </c>
      <c r="AJ108" s="0" t="n">
        <v>0.494321492860573</v>
      </c>
      <c r="AK108" s="34" t="n">
        <v>-0.353309534466514</v>
      </c>
      <c r="AL108" s="0" t="n">
        <v>0.558237484995469</v>
      </c>
    </row>
    <row collapsed="false" customFormat="false" customHeight="true" hidden="false" ht="12" outlineLevel="0" r="109">
      <c r="AI109" s="0" t="n">
        <v>1991</v>
      </c>
      <c r="AJ109" s="0" t="n">
        <v>0.655280414565495</v>
      </c>
      <c r="AK109" s="34" t="n">
        <v>-0.133472490798455</v>
      </c>
      <c r="AL109" s="0" t="n">
        <v>0.393699956380447</v>
      </c>
    </row>
    <row collapsed="false" customFormat="false" customHeight="true" hidden="false" ht="12" outlineLevel="0" r="110">
      <c r="AI110" s="0" t="n">
        <v>1990</v>
      </c>
      <c r="AJ110" s="0" t="n">
        <v>0.157404460731182</v>
      </c>
      <c r="AK110" s="34" t="n">
        <v>0.52603864020574</v>
      </c>
      <c r="AL110" s="0" t="n">
        <v>1.1044258274053</v>
      </c>
    </row>
    <row collapsed="false" customFormat="false" customHeight="true" hidden="false" ht="12" outlineLevel="0" r="111">
      <c r="B111" s="0" t="s">
        <v>176</v>
      </c>
      <c r="H111" s="0" t="s">
        <v>177</v>
      </c>
      <c r="AI111" s="0" t="n">
        <v>1989</v>
      </c>
      <c r="AJ111" s="0" t="n">
        <v>0.396067090973483</v>
      </c>
      <c r="AK111" s="34" t="n">
        <v>0.306201596537673</v>
      </c>
      <c r="AL111" s="0" t="n">
        <v>0.383222609840454</v>
      </c>
    </row>
    <row collapsed="false" customFormat="false" customHeight="true" hidden="false" ht="12" outlineLevel="0" r="112">
      <c r="AI112" s="0" t="n">
        <v>1988</v>
      </c>
      <c r="AJ112" s="0" t="n">
        <v>-0.0165506311069828</v>
      </c>
      <c r="AK112" s="34" t="n">
        <v>-0.353309534466514</v>
      </c>
      <c r="AL112" s="0" t="n">
        <v>0.89498866890509</v>
      </c>
    </row>
    <row collapsed="false" customFormat="false" customHeight="true" hidden="false" ht="12" outlineLevel="0" r="113">
      <c r="G113" s="0" t="s">
        <v>178</v>
      </c>
      <c r="AI113" s="0" t="n">
        <v>1987</v>
      </c>
      <c r="AJ113" s="0" t="n">
        <v>-0.149919636117161</v>
      </c>
      <c r="AK113" s="34" t="n">
        <v>-0.573146578134582</v>
      </c>
      <c r="AL113" s="0" t="n">
        <v>0.824293727589522</v>
      </c>
    </row>
    <row collapsed="false" customFormat="false" customHeight="true" hidden="false" ht="12" outlineLevel="0" r="114">
      <c r="B114" s="0" t="n">
        <v>17480000</v>
      </c>
      <c r="C114" s="0" t="s">
        <v>179</v>
      </c>
      <c r="AI114" s="0" t="n">
        <v>1986</v>
      </c>
      <c r="AJ114" s="0" t="n">
        <v>-0.15409241471607</v>
      </c>
      <c r="AK114" s="34" t="n">
        <v>0.086364552869613</v>
      </c>
      <c r="AL114" s="0" t="n">
        <v>1.11353972756022</v>
      </c>
    </row>
    <row collapsed="false" customFormat="false" customHeight="true" hidden="false" ht="12" outlineLevel="0" r="115">
      <c r="AI115" s="0" t="n">
        <v>1985</v>
      </c>
      <c r="AJ115" s="0" t="n">
        <v>-0.013842537895437</v>
      </c>
      <c r="AK115" s="34" t="n">
        <v>0.086364552869613</v>
      </c>
      <c r="AL115" s="0" t="n">
        <v>0.705328416830258</v>
      </c>
    </row>
    <row collapsed="false" customFormat="false" customHeight="true" hidden="false" ht="12" outlineLevel="0" r="116">
      <c r="C116" s="0" t="s">
        <v>180</v>
      </c>
      <c r="AI116" s="0" t="n">
        <v>1984</v>
      </c>
      <c r="AJ116" s="0" t="n">
        <v>-0.166307183198284</v>
      </c>
      <c r="AK116" s="34" t="n">
        <v>1.18554977120993</v>
      </c>
      <c r="AL116" s="0" t="n">
        <v>1.22935219571054</v>
      </c>
    </row>
    <row collapsed="false" customFormat="false" customHeight="true" hidden="false" ht="12" outlineLevel="0" r="117">
      <c r="AI117" s="0" t="n">
        <v>1983</v>
      </c>
      <c r="AJ117" s="0" t="n">
        <v>-0.821791396811226</v>
      </c>
      <c r="AK117" s="34" t="n">
        <v>-2.11200588381103</v>
      </c>
      <c r="AL117" s="0" t="n">
        <v>1.09164865842842</v>
      </c>
    </row>
    <row collapsed="false" customFormat="false" customHeight="true" hidden="false" ht="12" outlineLevel="0" r="118">
      <c r="AI118" s="0" t="n">
        <v>1982</v>
      </c>
      <c r="AJ118" s="0" t="n">
        <v>-0.169366282094703</v>
      </c>
      <c r="AK118" s="34" t="n">
        <v>-0.353309534466514</v>
      </c>
      <c r="AL118" s="0" t="n">
        <v>0.673223315136034</v>
      </c>
    </row>
    <row collapsed="false" customFormat="false" customHeight="true" hidden="false" ht="12" outlineLevel="0" r="122">
      <c r="B122" s="2" t="n">
        <f aca="false">20*1000000</f>
        <v>20000000</v>
      </c>
    </row>
    <row collapsed="false" customFormat="false" customHeight="true" hidden="false" ht="12" outlineLevel="0" r="123">
      <c r="B123" s="2" t="n">
        <f aca="false">B122/G99</f>
        <v>231.481481481481</v>
      </c>
    </row>
    <row collapsed="false" customFormat="false" customHeight="true" hidden="false" ht="12" outlineLevel="0" r="126">
      <c r="F126" s="0" t="s">
        <v>181</v>
      </c>
      <c r="H126" s="0" t="s">
        <v>182</v>
      </c>
      <c r="I126" s="0" t="s">
        <v>183</v>
      </c>
      <c r="J126" s="0" t="s">
        <v>184</v>
      </c>
      <c r="L126" s="0" t="s">
        <v>185</v>
      </c>
    </row>
    <row collapsed="false" customFormat="false" customHeight="true" hidden="false" ht="12" outlineLevel="0" r="127">
      <c r="F127" s="0" t="s">
        <v>186</v>
      </c>
      <c r="H127" s="0" t="s">
        <v>187</v>
      </c>
      <c r="J127" s="0" t="s">
        <v>188</v>
      </c>
      <c r="L127" s="0" t="s">
        <v>189</v>
      </c>
    </row>
    <row collapsed="false" customFormat="false" customHeight="true" hidden="false" ht="12" outlineLevel="0" r="128">
      <c r="F128" s="0" t="s">
        <v>190</v>
      </c>
      <c r="H128" s="0" t="s">
        <v>170</v>
      </c>
      <c r="I128" s="0" t="s">
        <v>191</v>
      </c>
      <c r="J128" s="0" t="s">
        <v>192</v>
      </c>
      <c r="L128" s="0" t="s">
        <v>193</v>
      </c>
      <c r="P128" s="2" t="n">
        <f aca="false">2500*0.6</f>
        <v>1500</v>
      </c>
    </row>
    <row collapsed="false" customFormat="false" customHeight="true" hidden="false" ht="12" outlineLevel="0" r="129">
      <c r="H129" s="0" t="s">
        <v>161</v>
      </c>
      <c r="I129" s="0" t="s">
        <v>194</v>
      </c>
      <c r="J129" s="0" t="s">
        <v>195</v>
      </c>
      <c r="L129" s="0" t="s">
        <v>193</v>
      </c>
    </row>
  </sheetData>
  <hyperlinks>
    <hyperlink display="www.niwa.co.nz" ref="AQ18" r:id="rId2"/>
    <hyperlink display="www.niwa.co.nz" ref="AQ19" r:id="rId3"/>
    <hyperlink display="www.niwa.co.nz" ref="AQ20" r:id="rId4"/>
    <hyperlink display="http://wateriso.utah.edu/waterisotopes/pages/data_access/oipc.html" ref="AQ21" r:id="rId5"/>
    <hyperlink display="www.niwa.co.nz" ref="AQ23" r:id="rId6"/>
    <hyperlink display="www.niwa.co.nz" ref="AQ24" r:id="rId7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3" activeCellId="0" pane="topLeft" sqref="J63"/>
    </sheetView>
  </sheetViews>
  <cols>
    <col collapsed="false" hidden="false" max="1025" min="1" style="0" width="10.7254901960784"/>
  </cols>
  <sheetData>
    <row collapsed="false" customFormat="false" customHeight="true" hidden="false" ht="12" outlineLevel="0" r="1">
      <c r="D1" s="0" t="s">
        <v>196</v>
      </c>
    </row>
    <row collapsed="false" customFormat="false" customHeight="true" hidden="false" ht="12" outlineLevel="0" r="2">
      <c r="A2" s="0" t="s">
        <v>197</v>
      </c>
      <c r="B2" s="0" t="n">
        <v>-50.2</v>
      </c>
      <c r="C2" s="0" t="n">
        <v>149.8</v>
      </c>
      <c r="D2" s="0" t="n">
        <v>0</v>
      </c>
      <c r="E2" s="0" t="n">
        <v>0</v>
      </c>
      <c r="F2" s="0" t="n">
        <v>0</v>
      </c>
    </row>
    <row collapsed="false" customFormat="false" customHeight="true" hidden="false" ht="12" outlineLevel="0" r="3">
      <c r="A3" s="0" t="s">
        <v>198</v>
      </c>
      <c r="B3" s="0" t="n">
        <v>-42.5</v>
      </c>
      <c r="C3" s="0" t="n">
        <v>131.1</v>
      </c>
      <c r="D3" s="0" t="n">
        <v>0</v>
      </c>
      <c r="E3" s="0" t="n">
        <v>0</v>
      </c>
      <c r="F3" s="0" t="n">
        <v>0</v>
      </c>
    </row>
    <row collapsed="false" customFormat="false" customHeight="true" hidden="false" ht="12" outlineLevel="0" r="4">
      <c r="A4" s="0" t="s">
        <v>199</v>
      </c>
      <c r="B4" s="0" t="n">
        <v>-32.5</v>
      </c>
      <c r="C4" s="0" t="n">
        <v>116.9</v>
      </c>
      <c r="D4" s="0" t="n">
        <v>0</v>
      </c>
      <c r="E4" s="0" t="n">
        <v>0</v>
      </c>
      <c r="F4" s="0" t="n">
        <v>0</v>
      </c>
    </row>
    <row collapsed="false" customFormat="false" customHeight="true" hidden="false" ht="12" outlineLevel="0" r="5">
      <c r="A5" s="0" t="s">
        <v>200</v>
      </c>
      <c r="B5" s="0" t="n">
        <v>-21.3</v>
      </c>
      <c r="C5" s="0" t="n">
        <v>105.6</v>
      </c>
      <c r="D5" s="0" t="n">
        <v>0</v>
      </c>
      <c r="E5" s="0" t="n">
        <v>0</v>
      </c>
      <c r="F5" s="0" t="n">
        <v>0</v>
      </c>
    </row>
    <row collapsed="false" customFormat="false" customHeight="true" hidden="false" ht="12" outlineLevel="0" r="6">
      <c r="A6" s="0" t="s">
        <v>201</v>
      </c>
      <c r="B6" s="0" t="n">
        <v>-9.6</v>
      </c>
      <c r="C6" s="0" t="n">
        <v>96</v>
      </c>
      <c r="D6" s="0" t="n">
        <v>0</v>
      </c>
      <c r="E6" s="0" t="n">
        <v>0</v>
      </c>
      <c r="F6" s="0" t="n">
        <v>0</v>
      </c>
    </row>
    <row collapsed="false" customFormat="false" customHeight="true" hidden="false" ht="12" outlineLevel="0" r="7">
      <c r="A7" s="0" t="s">
        <v>202</v>
      </c>
      <c r="B7" s="0" t="n">
        <v>2.4</v>
      </c>
      <c r="C7" s="0" t="n">
        <v>87</v>
      </c>
      <c r="D7" s="0" t="n">
        <v>16</v>
      </c>
      <c r="E7" s="0" t="n">
        <v>0.02</v>
      </c>
      <c r="F7" s="0" t="n">
        <v>15</v>
      </c>
    </row>
    <row collapsed="false" customFormat="false" customHeight="true" hidden="false" ht="12" outlineLevel="0" r="8">
      <c r="A8" s="0" t="s">
        <v>203</v>
      </c>
      <c r="B8" s="0" t="n">
        <v>14.3</v>
      </c>
      <c r="C8" s="0" t="n">
        <v>77.7</v>
      </c>
      <c r="D8" s="0" t="n">
        <v>128</v>
      </c>
      <c r="E8" s="0" t="n">
        <v>0.14</v>
      </c>
      <c r="F8" s="0" t="n">
        <v>260</v>
      </c>
    </row>
    <row collapsed="false" customFormat="false" customHeight="true" hidden="false" ht="12" outlineLevel="0" r="9">
      <c r="A9" s="0" t="s">
        <v>204</v>
      </c>
      <c r="B9" s="0" t="n">
        <v>25.8</v>
      </c>
      <c r="C9" s="0" t="n">
        <v>67.4</v>
      </c>
      <c r="D9" s="0" t="n">
        <v>268</v>
      </c>
      <c r="E9" s="0" t="n">
        <v>0.41</v>
      </c>
      <c r="F9" s="0" t="n">
        <v>521</v>
      </c>
    </row>
    <row collapsed="false" customFormat="false" customHeight="true" hidden="false" ht="12" outlineLevel="0" r="10">
      <c r="A10" s="0" t="s">
        <v>205</v>
      </c>
      <c r="B10" s="0" t="n">
        <v>36.3</v>
      </c>
      <c r="C10" s="0" t="n">
        <v>54.8</v>
      </c>
      <c r="D10" s="0" t="n">
        <v>396</v>
      </c>
      <c r="E10" s="0" t="n">
        <v>0.81</v>
      </c>
      <c r="F10" s="0" t="n">
        <v>758</v>
      </c>
    </row>
    <row collapsed="false" customFormat="false" customHeight="true" hidden="false" ht="12" outlineLevel="0" r="11">
      <c r="A11" s="0" t="s">
        <v>206</v>
      </c>
      <c r="B11" s="0" t="n">
        <v>45.1</v>
      </c>
      <c r="C11" s="0" t="n">
        <v>38.7</v>
      </c>
      <c r="D11" s="0" t="n">
        <v>492</v>
      </c>
      <c r="E11" s="0" t="n">
        <v>1.3</v>
      </c>
      <c r="F11" s="0" t="n">
        <v>942</v>
      </c>
    </row>
    <row collapsed="false" customFormat="false" customHeight="true" hidden="false" ht="12" outlineLevel="0" r="12">
      <c r="A12" s="0" t="s">
        <v>207</v>
      </c>
      <c r="B12" s="0" t="n">
        <v>50.8</v>
      </c>
      <c r="C12" s="0" t="n">
        <v>17.9</v>
      </c>
      <c r="D12" s="0" t="n">
        <v>545</v>
      </c>
      <c r="E12" s="0" t="n">
        <v>1.84</v>
      </c>
      <c r="F12" s="0" t="n">
        <v>1052</v>
      </c>
    </row>
    <row collapsed="false" customFormat="false" customHeight="true" hidden="false" ht="12" outlineLevel="0" r="13">
      <c r="A13" s="0" t="s">
        <v>208</v>
      </c>
      <c r="B13" s="0" t="n">
        <v>52.1</v>
      </c>
      <c r="C13" s="0" t="n">
        <v>-6.2</v>
      </c>
      <c r="D13" s="0" t="n">
        <v>565</v>
      </c>
      <c r="E13" s="0" t="n">
        <v>2.41</v>
      </c>
      <c r="F13" s="0" t="n">
        <v>1074</v>
      </c>
    </row>
    <row collapsed="false" customFormat="false" customHeight="true" hidden="false" ht="12" outlineLevel="0" r="14">
      <c r="A14" s="0" t="s">
        <v>209</v>
      </c>
      <c r="B14" s="0" t="n">
        <v>48.4</v>
      </c>
      <c r="C14" s="0" t="n">
        <v>-29.1</v>
      </c>
      <c r="D14" s="0" t="n">
        <v>535</v>
      </c>
      <c r="E14" s="0" t="n">
        <v>2.94</v>
      </c>
      <c r="F14" s="0" t="n">
        <v>1007</v>
      </c>
    </row>
    <row collapsed="false" customFormat="false" customHeight="true" hidden="false" ht="12" outlineLevel="0" r="15">
      <c r="A15" s="0" t="s">
        <v>210</v>
      </c>
      <c r="B15" s="0" t="n">
        <v>41</v>
      </c>
      <c r="C15" s="0" t="n">
        <v>-47.5</v>
      </c>
      <c r="D15" s="0" t="n">
        <v>458</v>
      </c>
      <c r="E15" s="0" t="n">
        <v>3.4</v>
      </c>
      <c r="F15" s="0" t="n">
        <v>858</v>
      </c>
    </row>
    <row collapsed="false" customFormat="false" customHeight="true" hidden="false" ht="12" outlineLevel="0" r="16">
      <c r="A16" s="0" t="s">
        <v>211</v>
      </c>
      <c r="B16" s="0" t="n">
        <v>31.2</v>
      </c>
      <c r="C16" s="0" t="n">
        <v>-61.6</v>
      </c>
      <c r="D16" s="0" t="n">
        <v>335</v>
      </c>
      <c r="E16" s="0" t="n">
        <v>3.74</v>
      </c>
      <c r="F16" s="0" t="n">
        <v>643</v>
      </c>
    </row>
    <row collapsed="false" customFormat="false" customHeight="true" hidden="false" ht="12" outlineLevel="0" r="17">
      <c r="A17" s="0" t="s">
        <v>212</v>
      </c>
      <c r="B17" s="0" t="n">
        <v>20.2</v>
      </c>
      <c r="C17" s="0" t="n">
        <v>-72.9</v>
      </c>
      <c r="D17" s="0" t="n">
        <v>201</v>
      </c>
      <c r="E17" s="0" t="n">
        <v>3.94</v>
      </c>
      <c r="F17" s="0" t="n">
        <v>390</v>
      </c>
    </row>
    <row collapsed="false" customFormat="false" customHeight="true" hidden="false" ht="12" outlineLevel="0" r="18">
      <c r="A18" s="0" t="s">
        <v>213</v>
      </c>
      <c r="B18" s="0" t="n">
        <v>8.4</v>
      </c>
      <c r="C18" s="0" t="n">
        <v>-82.6</v>
      </c>
      <c r="D18" s="0" t="n">
        <v>63</v>
      </c>
      <c r="E18" s="0" t="n">
        <v>4</v>
      </c>
      <c r="F18" s="0" t="n">
        <v>134</v>
      </c>
    </row>
    <row collapsed="false" customFormat="false" customHeight="true" hidden="false" ht="12" outlineLevel="0" r="19">
      <c r="A19" s="0" t="s">
        <v>214</v>
      </c>
      <c r="B19" s="0" t="n">
        <v>-3.5</v>
      </c>
      <c r="C19" s="0" t="n">
        <v>-91.7</v>
      </c>
      <c r="D19" s="0" t="n">
        <v>4</v>
      </c>
      <c r="E19" s="0" t="n">
        <v>4.01</v>
      </c>
      <c r="F19" s="0" t="n">
        <v>0</v>
      </c>
    </row>
    <row collapsed="false" customFormat="false" customHeight="true" hidden="false" ht="12" outlineLevel="0" r="20">
      <c r="A20" s="0" t="s">
        <v>215</v>
      </c>
      <c r="B20" s="0" t="n">
        <v>-15.4</v>
      </c>
      <c r="C20" s="0" t="n">
        <v>-100.9</v>
      </c>
      <c r="D20" s="0" t="n">
        <v>0</v>
      </c>
      <c r="E20" s="0" t="n">
        <v>4.01</v>
      </c>
      <c r="F20" s="0" t="n">
        <v>0</v>
      </c>
    </row>
    <row collapsed="false" customFormat="false" customHeight="true" hidden="false" ht="12" outlineLevel="0" r="21">
      <c r="A21" s="0" t="s">
        <v>216</v>
      </c>
      <c r="B21" s="0" t="n">
        <v>-27</v>
      </c>
      <c r="C21" s="0" t="n">
        <v>-111.3</v>
      </c>
      <c r="D21" s="0" t="n">
        <v>0</v>
      </c>
      <c r="E21" s="0" t="n">
        <v>4.01</v>
      </c>
      <c r="F21" s="0" t="n">
        <v>0</v>
      </c>
    </row>
    <row collapsed="false" customFormat="false" customHeight="true" hidden="false" ht="12" outlineLevel="0" r="22">
      <c r="A22" s="0" t="s">
        <v>217</v>
      </c>
      <c r="B22" s="0" t="n">
        <v>-37.6</v>
      </c>
      <c r="C22" s="0" t="n">
        <v>-123.9</v>
      </c>
      <c r="D22" s="0" t="n">
        <v>0</v>
      </c>
      <c r="E22" s="0" t="n">
        <v>4.01</v>
      </c>
      <c r="F22" s="0" t="n">
        <v>0</v>
      </c>
    </row>
    <row collapsed="false" customFormat="false" customHeight="true" hidden="false" ht="12" outlineLevel="0" r="23">
      <c r="A23" s="0" t="s">
        <v>218</v>
      </c>
      <c r="B23" s="0" t="n">
        <v>-46.5</v>
      </c>
      <c r="C23" s="0" t="n">
        <v>-140.2</v>
      </c>
      <c r="D23" s="0" t="n">
        <v>0</v>
      </c>
      <c r="E23" s="0" t="n">
        <v>4.01</v>
      </c>
      <c r="F23" s="0" t="n">
        <v>0</v>
      </c>
    </row>
    <row collapsed="false" customFormat="false" customHeight="true" hidden="false" ht="12" outlineLevel="0" r="24">
      <c r="A24" s="0" t="s">
        <v>219</v>
      </c>
      <c r="B24" s="0" t="n">
        <v>-52.4</v>
      </c>
      <c r="C24" s="0" t="n">
        <v>-161.5</v>
      </c>
      <c r="D24" s="0" t="n">
        <v>0</v>
      </c>
      <c r="E24" s="0" t="n">
        <v>4.01</v>
      </c>
      <c r="F24" s="0" t="n">
        <v>0</v>
      </c>
    </row>
    <row collapsed="false" customFormat="false" customHeight="true" hidden="false" ht="12" outlineLevel="0" r="25">
      <c r="A25" s="0" t="s">
        <v>220</v>
      </c>
      <c r="B25" s="0" t="n">
        <v>-42.4</v>
      </c>
      <c r="C25" s="0" t="n">
        <v>172.1</v>
      </c>
      <c r="D25" s="0" t="n">
        <v>0</v>
      </c>
      <c r="E25" s="0" t="n">
        <v>0</v>
      </c>
      <c r="F25" s="0" t="n">
        <v>0</v>
      </c>
    </row>
    <row collapsed="false" customFormat="false" customHeight="true" hidden="false" ht="12" outlineLevel="0" r="26">
      <c r="A26" s="0" t="s">
        <v>221</v>
      </c>
      <c r="B26" s="0" t="n">
        <v>-38.8</v>
      </c>
      <c r="C26" s="0" t="n">
        <v>153.2</v>
      </c>
      <c r="D26" s="0" t="n">
        <v>0</v>
      </c>
      <c r="E26" s="0" t="n">
        <v>0</v>
      </c>
      <c r="F26" s="0" t="n">
        <v>0</v>
      </c>
    </row>
    <row collapsed="false" customFormat="false" customHeight="true" hidden="false" ht="12" outlineLevel="0" r="27">
      <c r="A27" s="0" t="s">
        <v>222</v>
      </c>
      <c r="B27" s="0" t="n">
        <v>-31.9</v>
      </c>
      <c r="C27" s="0" t="n">
        <v>137.2</v>
      </c>
      <c r="D27" s="0" t="n">
        <v>0</v>
      </c>
      <c r="E27" s="0" t="n">
        <v>0</v>
      </c>
      <c r="F27" s="0" t="n">
        <v>0</v>
      </c>
    </row>
    <row collapsed="false" customFormat="false" customHeight="true" hidden="false" ht="12" outlineLevel="0" r="28">
      <c r="A28" s="0" t="s">
        <v>223</v>
      </c>
      <c r="B28" s="0" t="n">
        <v>-22.8</v>
      </c>
      <c r="C28" s="0" t="n">
        <v>124.1</v>
      </c>
      <c r="D28" s="0" t="n">
        <v>0</v>
      </c>
      <c r="E28" s="0" t="n">
        <v>0</v>
      </c>
      <c r="F28" s="0" t="n">
        <v>0</v>
      </c>
    </row>
    <row collapsed="false" customFormat="false" customHeight="true" hidden="false" ht="12" outlineLevel="0" r="29">
      <c r="A29" s="0" t="s">
        <v>224</v>
      </c>
      <c r="B29" s="0" t="n">
        <v>-12.3</v>
      </c>
      <c r="C29" s="0" t="n">
        <v>113.2</v>
      </c>
      <c r="D29" s="0" t="n">
        <v>0</v>
      </c>
      <c r="E29" s="0" t="n">
        <v>0</v>
      </c>
      <c r="F29" s="0" t="n">
        <v>0</v>
      </c>
    </row>
    <row collapsed="false" customFormat="false" customHeight="true" hidden="false" ht="12" outlineLevel="0" r="30">
      <c r="A30" s="0" t="s">
        <v>225</v>
      </c>
      <c r="B30" s="0" t="n">
        <v>-0.9</v>
      </c>
      <c r="C30" s="0" t="n">
        <v>103.8</v>
      </c>
      <c r="D30" s="0" t="n">
        <v>8</v>
      </c>
      <c r="E30" s="0" t="n">
        <v>0.01</v>
      </c>
      <c r="F30" s="0" t="n">
        <v>0</v>
      </c>
    </row>
    <row collapsed="false" customFormat="false" customHeight="true" hidden="false" ht="12" outlineLevel="0" r="31">
      <c r="A31" s="0" t="s">
        <v>226</v>
      </c>
      <c r="B31" s="0" t="n">
        <v>11</v>
      </c>
      <c r="C31" s="0" t="n">
        <v>94.9</v>
      </c>
      <c r="D31" s="0" t="n">
        <v>53</v>
      </c>
      <c r="E31" s="0" t="n">
        <v>0.06</v>
      </c>
      <c r="F31" s="0" t="n">
        <v>96</v>
      </c>
    </row>
    <row collapsed="false" customFormat="false" customHeight="true" hidden="false" ht="12" outlineLevel="0" r="32">
      <c r="A32" s="0" t="s">
        <v>227</v>
      </c>
      <c r="B32" s="0" t="n">
        <v>23</v>
      </c>
      <c r="C32" s="0" t="n">
        <v>85.9</v>
      </c>
      <c r="D32" s="0" t="n">
        <v>151</v>
      </c>
      <c r="E32" s="0" t="n">
        <v>0.21</v>
      </c>
      <c r="F32" s="0" t="n">
        <v>333</v>
      </c>
    </row>
    <row collapsed="false" customFormat="false" customHeight="true" hidden="false" ht="12" outlineLevel="0" r="33">
      <c r="A33" s="0" t="s">
        <v>228</v>
      </c>
      <c r="B33" s="0" t="n">
        <v>34.8</v>
      </c>
      <c r="C33" s="0" t="n">
        <v>75.9</v>
      </c>
      <c r="D33" s="0" t="n">
        <v>324</v>
      </c>
      <c r="E33" s="0" t="n">
        <v>0.54</v>
      </c>
      <c r="F33" s="0" t="n">
        <v>587</v>
      </c>
    </row>
    <row collapsed="false" customFormat="false" customHeight="true" hidden="false" ht="12" outlineLevel="0" r="34">
      <c r="A34" s="0" t="s">
        <v>229</v>
      </c>
      <c r="B34" s="0" t="n">
        <v>46.1</v>
      </c>
      <c r="C34" s="0" t="n">
        <v>63.3</v>
      </c>
      <c r="D34" s="0" t="n">
        <v>442</v>
      </c>
      <c r="E34" s="0" t="n">
        <v>0.98</v>
      </c>
      <c r="F34" s="0" t="n">
        <v>815</v>
      </c>
    </row>
    <row collapsed="false" customFormat="false" customHeight="true" hidden="false" ht="12" outlineLevel="0" r="35">
      <c r="A35" s="0" t="s">
        <v>230</v>
      </c>
      <c r="B35" s="0" t="n">
        <v>55.9</v>
      </c>
      <c r="C35" s="0" t="n">
        <v>45.6</v>
      </c>
      <c r="D35" s="0" t="n">
        <v>542</v>
      </c>
      <c r="E35" s="0" t="n">
        <v>1.52</v>
      </c>
      <c r="F35" s="0" t="n">
        <v>986</v>
      </c>
    </row>
    <row collapsed="false" customFormat="false" customHeight="true" hidden="false" ht="12" outlineLevel="0" r="36">
      <c r="A36" s="0" t="s">
        <v>231</v>
      </c>
      <c r="B36" s="0" t="n">
        <v>62.4</v>
      </c>
      <c r="C36" s="0" t="n">
        <v>19.5</v>
      </c>
      <c r="D36" s="0" t="n">
        <v>606</v>
      </c>
      <c r="E36" s="0" t="n">
        <v>2.13</v>
      </c>
      <c r="F36" s="0" t="n">
        <v>1081</v>
      </c>
    </row>
    <row collapsed="false" customFormat="false" customHeight="true" hidden="false" ht="12" outlineLevel="0" r="37">
      <c r="A37" s="0" t="s">
        <v>232</v>
      </c>
      <c r="B37" s="0" t="n">
        <v>63.1</v>
      </c>
      <c r="C37" s="0" t="n">
        <v>-13</v>
      </c>
      <c r="D37" s="0" t="n">
        <v>589</v>
      </c>
      <c r="E37" s="0" t="n">
        <v>2.72</v>
      </c>
      <c r="F37" s="0" t="n">
        <v>1091</v>
      </c>
    </row>
    <row collapsed="false" customFormat="false" customHeight="true" hidden="false" ht="12" outlineLevel="0" r="38">
      <c r="A38" s="0" t="s">
        <v>233</v>
      </c>
      <c r="B38" s="0" t="n">
        <v>57.6</v>
      </c>
      <c r="C38" s="0" t="n">
        <v>-41</v>
      </c>
      <c r="D38" s="0" t="n">
        <v>549</v>
      </c>
      <c r="E38" s="0" t="n">
        <v>3.27</v>
      </c>
      <c r="F38" s="0" t="n">
        <v>1012</v>
      </c>
    </row>
    <row collapsed="false" customFormat="false" customHeight="true" hidden="false" ht="12" outlineLevel="0" r="39">
      <c r="A39" s="0" t="s">
        <v>234</v>
      </c>
      <c r="B39" s="0" t="n">
        <v>48.3</v>
      </c>
      <c r="C39" s="0" t="n">
        <v>-60.2</v>
      </c>
      <c r="D39" s="0" t="n">
        <v>476</v>
      </c>
      <c r="E39" s="0" t="n">
        <v>3.74</v>
      </c>
      <c r="F39" s="0" t="n">
        <v>856</v>
      </c>
    </row>
    <row collapsed="false" customFormat="false" customHeight="true" hidden="false" ht="12" outlineLevel="0" r="40">
      <c r="A40" s="0" t="s">
        <v>235</v>
      </c>
      <c r="B40" s="0" t="n">
        <v>37.3</v>
      </c>
      <c r="C40" s="0" t="n">
        <v>-73.6</v>
      </c>
      <c r="D40" s="0" t="n">
        <v>347</v>
      </c>
      <c r="E40" s="0" t="n">
        <v>4.09</v>
      </c>
      <c r="F40" s="0" t="n">
        <v>638</v>
      </c>
    </row>
    <row collapsed="false" customFormat="false" customHeight="true" hidden="false" ht="12" outlineLevel="0" r="41">
      <c r="A41" s="0" t="s">
        <v>236</v>
      </c>
      <c r="B41" s="0" t="n">
        <v>25.5</v>
      </c>
      <c r="C41" s="0" t="n">
        <v>-84.1</v>
      </c>
      <c r="D41" s="0" t="n">
        <v>215</v>
      </c>
      <c r="E41" s="0" t="n">
        <v>4.3</v>
      </c>
      <c r="F41" s="0" t="n">
        <v>387</v>
      </c>
    </row>
    <row collapsed="false" customFormat="false" customHeight="true" hidden="false" ht="12" outlineLevel="0" r="42">
      <c r="A42" s="0" t="s">
        <v>237</v>
      </c>
      <c r="B42" s="0" t="n">
        <v>13.5</v>
      </c>
      <c r="C42" s="0" t="n">
        <v>-93.2</v>
      </c>
      <c r="D42" s="0" t="n">
        <v>84</v>
      </c>
      <c r="E42" s="0" t="n">
        <v>4.39</v>
      </c>
      <c r="F42" s="0" t="n">
        <v>141</v>
      </c>
    </row>
    <row collapsed="false" customFormat="false" customHeight="true" hidden="false" ht="12" outlineLevel="0" r="43">
      <c r="A43" s="0" t="s">
        <v>238</v>
      </c>
      <c r="B43" s="0" t="n">
        <v>1.7</v>
      </c>
      <c r="C43" s="0" t="n">
        <v>-102.1</v>
      </c>
      <c r="D43" s="0" t="n">
        <v>13</v>
      </c>
      <c r="E43" s="0" t="n">
        <v>4.4</v>
      </c>
      <c r="F43" s="0" t="n">
        <v>11</v>
      </c>
    </row>
    <row collapsed="false" customFormat="false" customHeight="true" hidden="false" ht="12" outlineLevel="0" r="44">
      <c r="A44" s="0" t="s">
        <v>239</v>
      </c>
      <c r="B44" s="0" t="n">
        <v>-9.8</v>
      </c>
      <c r="C44" s="0" t="n">
        <v>-111.3</v>
      </c>
      <c r="D44" s="0" t="n">
        <v>1</v>
      </c>
      <c r="E44" s="0" t="n">
        <v>4.4</v>
      </c>
      <c r="F44" s="0" t="n">
        <v>0</v>
      </c>
    </row>
    <row collapsed="false" customFormat="false" customHeight="true" hidden="false" ht="12" outlineLevel="0" r="45">
      <c r="A45" s="0" t="s">
        <v>240</v>
      </c>
      <c r="B45" s="0" t="n">
        <v>-20.5</v>
      </c>
      <c r="C45" s="0" t="n">
        <v>-121.9</v>
      </c>
      <c r="D45" s="0" t="n">
        <v>0</v>
      </c>
      <c r="E45" s="0" t="n">
        <v>4.4</v>
      </c>
      <c r="F45" s="0" t="n">
        <v>0</v>
      </c>
    </row>
    <row collapsed="false" customFormat="false" customHeight="true" hidden="false" ht="12" outlineLevel="0" r="46">
      <c r="A46" s="0" t="s">
        <v>241</v>
      </c>
      <c r="B46" s="0" t="n">
        <v>-30</v>
      </c>
      <c r="C46" s="0" t="n">
        <v>-134.4</v>
      </c>
      <c r="D46" s="0" t="n">
        <v>0</v>
      </c>
      <c r="E46" s="0" t="n">
        <v>4.4</v>
      </c>
      <c r="F46" s="0" t="n">
        <v>0</v>
      </c>
    </row>
    <row collapsed="false" customFormat="false" customHeight="true" hidden="false" ht="12" outlineLevel="0" r="47">
      <c r="A47" s="0" t="s">
        <v>242</v>
      </c>
      <c r="B47" s="0" t="n">
        <v>-37.4</v>
      </c>
      <c r="C47" s="0" t="n">
        <v>-149.8</v>
      </c>
      <c r="D47" s="0" t="n">
        <v>0</v>
      </c>
      <c r="E47" s="0" t="n">
        <v>4.4</v>
      </c>
      <c r="F47" s="0" t="n">
        <v>0</v>
      </c>
    </row>
    <row collapsed="false" customFormat="false" customHeight="true" hidden="false" ht="12" outlineLevel="0" r="48">
      <c r="A48" s="0" t="s">
        <v>243</v>
      </c>
      <c r="B48" s="0" t="n">
        <v>-41.7</v>
      </c>
      <c r="C48" s="0" t="n">
        <v>-168.1</v>
      </c>
      <c r="D48" s="0" t="n">
        <v>0</v>
      </c>
      <c r="E48" s="0" t="n">
        <v>4.4</v>
      </c>
      <c r="F48" s="0" t="n">
        <v>0</v>
      </c>
    </row>
    <row collapsed="false" customFormat="false" customHeight="true" hidden="false" ht="12" outlineLevel="0" r="49">
      <c r="A49" s="0" t="s">
        <v>244</v>
      </c>
      <c r="B49" s="0" t="n">
        <v>-33.2</v>
      </c>
      <c r="C49" s="0" t="n">
        <v>173.6</v>
      </c>
      <c r="D49" s="0" t="n">
        <v>0</v>
      </c>
      <c r="E49" s="0" t="n">
        <v>0</v>
      </c>
      <c r="F49" s="0" t="n">
        <v>0</v>
      </c>
    </row>
    <row collapsed="false" customFormat="false" customHeight="true" hidden="false" ht="12" outlineLevel="0" r="50">
      <c r="A50" s="0" t="s">
        <v>245</v>
      </c>
      <c r="B50" s="0" t="n">
        <v>-30.1</v>
      </c>
      <c r="C50" s="0" t="n">
        <v>157.3</v>
      </c>
      <c r="D50" s="0" t="n">
        <v>0</v>
      </c>
      <c r="E50" s="0" t="n">
        <v>0</v>
      </c>
      <c r="F50" s="0" t="n">
        <v>0</v>
      </c>
    </row>
    <row collapsed="false" customFormat="false" customHeight="true" hidden="false" ht="12" outlineLevel="0" r="51">
      <c r="A51" s="0" t="s">
        <v>246</v>
      </c>
      <c r="B51" s="0" t="n">
        <v>-24.1</v>
      </c>
      <c r="C51" s="0" t="n">
        <v>143</v>
      </c>
      <c r="D51" s="0" t="n">
        <v>0</v>
      </c>
      <c r="E51" s="0" t="n">
        <v>0</v>
      </c>
      <c r="F51" s="0" t="n">
        <v>0</v>
      </c>
    </row>
    <row collapsed="false" customFormat="false" customHeight="true" hidden="false" ht="12" outlineLevel="0" r="52">
      <c r="A52" s="0" t="s">
        <v>247</v>
      </c>
      <c r="B52" s="0" t="n">
        <v>-15.9</v>
      </c>
      <c r="C52" s="0" t="n">
        <v>130.7</v>
      </c>
      <c r="D52" s="0" t="n">
        <v>0</v>
      </c>
      <c r="E52" s="0" t="n">
        <v>0</v>
      </c>
      <c r="F52" s="0" t="n">
        <v>0</v>
      </c>
    </row>
    <row collapsed="false" customFormat="false" customHeight="true" hidden="false" ht="12" outlineLevel="0" r="53">
      <c r="A53" s="0" t="s">
        <v>248</v>
      </c>
      <c r="B53" s="0" t="n">
        <v>-6.1</v>
      </c>
      <c r="C53" s="0" t="n">
        <v>120.4</v>
      </c>
      <c r="D53" s="0" t="n">
        <v>0</v>
      </c>
      <c r="E53" s="0" t="n">
        <v>0</v>
      </c>
      <c r="F53" s="0" t="n">
        <v>0</v>
      </c>
    </row>
    <row collapsed="false" customFormat="false" customHeight="true" hidden="false" ht="12" outlineLevel="0" r="54">
      <c r="A54" s="0" t="s">
        <v>249</v>
      </c>
      <c r="B54" s="0" t="n">
        <v>4.7</v>
      </c>
      <c r="C54" s="0" t="n">
        <v>111.3</v>
      </c>
      <c r="D54" s="0" t="n">
        <v>20</v>
      </c>
      <c r="E54" s="0" t="n">
        <v>0.02</v>
      </c>
      <c r="F54" s="0" t="n">
        <v>23</v>
      </c>
    </row>
    <row collapsed="false" customFormat="false" customHeight="true" hidden="false" ht="12" outlineLevel="0" r="55">
      <c r="A55" s="0" t="s">
        <v>250</v>
      </c>
      <c r="B55" s="0" t="n">
        <v>16.1</v>
      </c>
      <c r="C55" s="0" t="n">
        <v>102.9</v>
      </c>
      <c r="D55" s="0" t="n">
        <v>86</v>
      </c>
      <c r="E55" s="0" t="n">
        <v>0.11</v>
      </c>
      <c r="F55" s="0" t="n">
        <v>107</v>
      </c>
    </row>
    <row collapsed="false" customFormat="false" customHeight="true" hidden="false" ht="12" outlineLevel="0" r="56">
      <c r="A56" s="0" t="s">
        <v>251</v>
      </c>
      <c r="B56" s="0" t="n">
        <v>28</v>
      </c>
      <c r="C56" s="0" t="n">
        <v>94.6</v>
      </c>
      <c r="D56" s="0" t="n">
        <v>164</v>
      </c>
      <c r="E56" s="0" t="n">
        <v>0.27</v>
      </c>
      <c r="F56" s="0" t="n">
        <v>339</v>
      </c>
    </row>
    <row collapsed="false" customFormat="false" customHeight="true" hidden="false" ht="12" outlineLevel="0" r="57">
      <c r="A57" s="0" t="s">
        <v>252</v>
      </c>
      <c r="B57" s="0" t="n">
        <v>40</v>
      </c>
      <c r="C57" s="0" t="n">
        <v>85.6</v>
      </c>
      <c r="D57" s="0" t="n">
        <v>289</v>
      </c>
      <c r="E57" s="0" t="n">
        <v>0.56</v>
      </c>
      <c r="F57" s="0" t="n">
        <v>582</v>
      </c>
    </row>
    <row collapsed="false" customFormat="false" customHeight="true" hidden="false" ht="12" outlineLevel="0" r="58">
      <c r="A58" s="0" t="s">
        <v>253</v>
      </c>
      <c r="B58" s="0" t="n">
        <v>51.8</v>
      </c>
      <c r="C58" s="0" t="n">
        <v>74.4</v>
      </c>
      <c r="D58" s="0" t="n">
        <v>458</v>
      </c>
      <c r="E58" s="0" t="n">
        <v>1.02</v>
      </c>
      <c r="F58" s="0" t="n">
        <v>800</v>
      </c>
    </row>
    <row collapsed="false" customFormat="false" customHeight="true" hidden="false" ht="12" outlineLevel="0" r="59">
      <c r="A59" s="0" t="s">
        <v>254</v>
      </c>
      <c r="B59" s="0" t="n">
        <v>62.8</v>
      </c>
      <c r="C59" s="0" t="n">
        <v>57.8</v>
      </c>
      <c r="D59" s="0" t="n">
        <v>548</v>
      </c>
      <c r="E59" s="0" t="n">
        <v>1.57</v>
      </c>
      <c r="F59" s="0" t="n">
        <v>964</v>
      </c>
      <c r="J59" s="2" t="n">
        <f aca="false">-10*-0.016723368</f>
        <v>0.16723368</v>
      </c>
    </row>
    <row collapsed="false" customFormat="false" customHeight="true" hidden="false" ht="12" outlineLevel="0" r="60">
      <c r="A60" s="0" t="s">
        <v>255</v>
      </c>
      <c r="B60" s="0" t="n">
        <v>71.1</v>
      </c>
      <c r="C60" s="0" t="n">
        <v>28</v>
      </c>
      <c r="D60" s="0" t="n">
        <v>618</v>
      </c>
      <c r="E60" s="0" t="n">
        <v>2.18</v>
      </c>
      <c r="F60" s="0" t="n">
        <v>1056</v>
      </c>
      <c r="J60" s="2" t="n">
        <f aca="false">-9*-0.016723368</f>
        <v>0.150510312</v>
      </c>
    </row>
    <row collapsed="false" customFormat="false" customHeight="true" hidden="false" ht="12" outlineLevel="0" r="61">
      <c r="A61" s="0" t="s">
        <v>256</v>
      </c>
      <c r="B61" s="0" t="n">
        <v>72.2</v>
      </c>
      <c r="C61" s="0" t="n">
        <v>-17.8</v>
      </c>
      <c r="D61" s="0" t="n">
        <v>618</v>
      </c>
      <c r="E61" s="0" t="n">
        <v>2.8</v>
      </c>
      <c r="F61" s="0" t="n">
        <v>1066</v>
      </c>
      <c r="J61" s="2" t="n">
        <f aca="false">J60*0.0020052</f>
        <v>0.0003018032776224</v>
      </c>
    </row>
    <row collapsed="false" customFormat="false" customHeight="true" hidden="false" ht="12" outlineLevel="0" r="62">
      <c r="A62" s="0" t="s">
        <v>257</v>
      </c>
      <c r="B62" s="0" t="n">
        <v>65.2</v>
      </c>
      <c r="C62" s="0" t="n">
        <v>-52.3</v>
      </c>
      <c r="D62" s="0" t="n">
        <v>575</v>
      </c>
      <c r="E62" s="0" t="n">
        <v>3.38</v>
      </c>
      <c r="F62" s="0" t="n">
        <v>993</v>
      </c>
      <c r="J62" s="2" t="n">
        <f aca="false">J61-1</f>
        <v>-0.999698196722378</v>
      </c>
    </row>
    <row collapsed="false" customFormat="false" customHeight="true" hidden="false" ht="12" outlineLevel="0" r="63">
      <c r="A63" s="0" t="s">
        <v>258</v>
      </c>
      <c r="B63" s="0" t="n">
        <v>54.6</v>
      </c>
      <c r="C63" s="0" t="n">
        <v>-71.2</v>
      </c>
      <c r="D63" s="0" t="n">
        <v>504</v>
      </c>
      <c r="E63" s="0" t="n">
        <v>3.88</v>
      </c>
      <c r="F63" s="0" t="n">
        <v>844</v>
      </c>
    </row>
    <row collapsed="false" customFormat="false" customHeight="true" hidden="false" ht="12" outlineLevel="0" r="64">
      <c r="A64" s="0" t="s">
        <v>259</v>
      </c>
      <c r="B64" s="0" t="n">
        <v>42.9</v>
      </c>
      <c r="C64" s="0" t="n">
        <v>-83.3</v>
      </c>
      <c r="D64" s="0" t="n">
        <v>388</v>
      </c>
      <c r="E64" s="0" t="n">
        <v>4.27</v>
      </c>
      <c r="F64" s="0" t="n">
        <v>638</v>
      </c>
    </row>
    <row collapsed="false" customFormat="false" customHeight="true" hidden="false" ht="12" outlineLevel="0" r="65">
      <c r="A65" s="0" t="s">
        <v>260</v>
      </c>
      <c r="B65" s="0" t="n">
        <v>30.9</v>
      </c>
      <c r="C65" s="0" t="n">
        <v>-92.6</v>
      </c>
      <c r="D65" s="0" t="n">
        <v>254</v>
      </c>
      <c r="E65" s="0" t="n">
        <v>4.52</v>
      </c>
      <c r="F65" s="0" t="n">
        <v>398</v>
      </c>
    </row>
    <row collapsed="false" customFormat="false" customHeight="true" hidden="false" ht="12" outlineLevel="0" r="66">
      <c r="A66" s="0" t="s">
        <v>261</v>
      </c>
      <c r="B66" s="0" t="n">
        <v>19</v>
      </c>
      <c r="C66" s="0" t="n">
        <v>-101</v>
      </c>
      <c r="D66" s="0" t="n">
        <v>118</v>
      </c>
      <c r="E66" s="0" t="n">
        <v>4.64</v>
      </c>
      <c r="F66" s="0" t="n">
        <v>159</v>
      </c>
    </row>
    <row collapsed="false" customFormat="false" customHeight="true" hidden="false" ht="12" outlineLevel="0" r="67">
      <c r="A67" s="0" t="s">
        <v>262</v>
      </c>
      <c r="B67" s="0" t="n">
        <v>7.4</v>
      </c>
      <c r="C67" s="0" t="n">
        <v>-109.3</v>
      </c>
      <c r="D67" s="0" t="n">
        <v>30</v>
      </c>
      <c r="E67" s="0" t="n">
        <v>4.67</v>
      </c>
      <c r="F67" s="0" t="n">
        <v>29</v>
      </c>
    </row>
    <row collapsed="false" customFormat="false" customHeight="true" hidden="false" ht="12" outlineLevel="0" r="68">
      <c r="A68" s="0" t="s">
        <v>263</v>
      </c>
      <c r="B68" s="0" t="n">
        <v>-3.5</v>
      </c>
      <c r="C68" s="0" t="n">
        <v>-118.2</v>
      </c>
      <c r="D68" s="0" t="n">
        <v>4</v>
      </c>
      <c r="E68" s="0" t="n">
        <v>4.67</v>
      </c>
      <c r="F68" s="0" t="n">
        <v>0</v>
      </c>
    </row>
    <row collapsed="false" customFormat="false" customHeight="true" hidden="false" ht="12" outlineLevel="0" r="69">
      <c r="A69" s="0" t="s">
        <v>264</v>
      </c>
      <c r="B69" s="0" t="n">
        <v>-13.6</v>
      </c>
      <c r="C69" s="0" t="n">
        <v>-128.2</v>
      </c>
      <c r="D69" s="0" t="n">
        <v>0</v>
      </c>
      <c r="E69" s="0" t="n">
        <v>4.67</v>
      </c>
      <c r="F69" s="0" t="n">
        <v>0</v>
      </c>
    </row>
    <row collapsed="false" customFormat="false" customHeight="true" hidden="false" ht="12" outlineLevel="0" r="70">
      <c r="A70" s="0" t="s">
        <v>265</v>
      </c>
      <c r="B70" s="0" t="n">
        <v>-22.2</v>
      </c>
      <c r="C70" s="0" t="n">
        <v>-139.9</v>
      </c>
      <c r="D70" s="0" t="n">
        <v>0</v>
      </c>
      <c r="E70" s="0" t="n">
        <v>4.67</v>
      </c>
      <c r="F70" s="0" t="n">
        <v>0</v>
      </c>
    </row>
    <row collapsed="false" customFormat="false" customHeight="true" hidden="false" ht="12" outlineLevel="0" r="71">
      <c r="A71" s="0" t="s">
        <v>266</v>
      </c>
      <c r="B71" s="0" t="n">
        <v>-28.8</v>
      </c>
      <c r="C71" s="0" t="n">
        <v>-153.8</v>
      </c>
      <c r="D71" s="0" t="n">
        <v>0</v>
      </c>
      <c r="E71" s="0" t="n">
        <v>4.67</v>
      </c>
      <c r="F71" s="0" t="n">
        <v>0</v>
      </c>
    </row>
    <row collapsed="false" customFormat="false" customHeight="true" hidden="false" ht="12" outlineLevel="0" r="72">
      <c r="A72" s="0" t="s">
        <v>267</v>
      </c>
      <c r="B72" s="0" t="n">
        <v>-32.5</v>
      </c>
      <c r="C72" s="0" t="n">
        <v>-169.6</v>
      </c>
      <c r="D72" s="0" t="n">
        <v>0</v>
      </c>
      <c r="E72" s="0" t="n">
        <v>4.67</v>
      </c>
      <c r="F72" s="0" t="n">
        <v>0</v>
      </c>
    </row>
    <row collapsed="false" customFormat="false" customHeight="true" hidden="false" ht="12" outlineLevel="0" r="74">
      <c r="D74" s="2" t="n">
        <f aca="false">AVERAGE(D2:D72)</f>
        <v>184.225352112676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7" activeCellId="0" pane="topLeft" sqref="B37"/>
    </sheetView>
  </sheetViews>
  <cols>
    <col collapsed="false" hidden="false" max="1025" min="1" style="0" width="10.7254901960784"/>
  </cols>
  <sheetData>
    <row collapsed="false" customFormat="false" customHeight="true" hidden="false" ht="12" outlineLevel="0" r="1">
      <c r="A1" s="0" t="s">
        <v>71</v>
      </c>
      <c r="B1" s="0" t="s">
        <v>76</v>
      </c>
    </row>
    <row collapsed="false" customFormat="false" customHeight="true" hidden="false" ht="12" outlineLevel="0" r="2">
      <c r="A2" s="0" t="n">
        <v>-17.2</v>
      </c>
      <c r="B2" s="0" t="n">
        <v>-26.9</v>
      </c>
      <c r="C2" s="0" t="s">
        <v>268</v>
      </c>
    </row>
    <row collapsed="false" customFormat="false" customHeight="true" hidden="false" ht="12" outlineLevel="0" r="3">
      <c r="A3" s="0" t="n">
        <v>-4.5</v>
      </c>
      <c r="B3" s="0" t="n">
        <v>-13.8</v>
      </c>
      <c r="C3" s="0" t="s">
        <v>268</v>
      </c>
    </row>
    <row collapsed="false" customFormat="false" customHeight="true" hidden="false" ht="12" outlineLevel="0" r="4">
      <c r="A4" s="0" t="n">
        <v>-17.2</v>
      </c>
      <c r="B4" s="0" t="n">
        <v>-27.5</v>
      </c>
      <c r="C4" s="0" t="s">
        <v>268</v>
      </c>
    </row>
    <row collapsed="false" customFormat="false" customHeight="true" hidden="false" ht="12" outlineLevel="0" r="5">
      <c r="A5" s="0" t="n">
        <v>-17.2</v>
      </c>
      <c r="B5" s="0" t="n">
        <v>-27.3</v>
      </c>
      <c r="C5" s="0" t="s">
        <v>268</v>
      </c>
    </row>
    <row collapsed="false" customFormat="false" customHeight="true" hidden="false" ht="12" outlineLevel="0" r="6">
      <c r="A6" s="0" t="n">
        <v>-9.4</v>
      </c>
      <c r="B6" s="0" t="n">
        <v>-20.7</v>
      </c>
      <c r="C6" s="0" t="s">
        <v>269</v>
      </c>
    </row>
    <row collapsed="false" customFormat="false" customHeight="true" hidden="false" ht="12" outlineLevel="0" r="7">
      <c r="A7" s="0" t="n">
        <v>-14.3</v>
      </c>
      <c r="B7" s="0" t="n">
        <v>-26.3</v>
      </c>
      <c r="C7" s="0" t="s">
        <v>269</v>
      </c>
    </row>
    <row collapsed="false" customFormat="false" customHeight="true" hidden="false" ht="12" outlineLevel="0" r="8">
      <c r="A8" s="0" t="n">
        <v>-6.6</v>
      </c>
      <c r="B8" s="0" t="n">
        <v>-18.2</v>
      </c>
      <c r="C8" s="0" t="s">
        <v>269</v>
      </c>
    </row>
    <row collapsed="false" customFormat="false" customHeight="true" hidden="false" ht="12" outlineLevel="0" r="9">
      <c r="A9" s="0" t="n">
        <v>-9</v>
      </c>
      <c r="B9" s="0" t="n">
        <v>-20.1</v>
      </c>
      <c r="C9" s="0" t="s">
        <v>269</v>
      </c>
    </row>
    <row collapsed="false" customFormat="false" customHeight="true" hidden="false" ht="12" outlineLevel="0" r="10">
      <c r="A10" s="0" t="n">
        <v>-7.8</v>
      </c>
      <c r="B10" s="0" t="n">
        <v>-18.4</v>
      </c>
      <c r="C10" s="0" t="s">
        <v>269</v>
      </c>
    </row>
    <row collapsed="false" customFormat="false" customHeight="true" hidden="false" ht="12" outlineLevel="0" r="11">
      <c r="A11" s="0" t="n">
        <v>-5.1</v>
      </c>
      <c r="B11" s="0" t="n">
        <v>-15.2</v>
      </c>
      <c r="C11" s="0" t="s">
        <v>269</v>
      </c>
    </row>
    <row collapsed="false" customFormat="false" customHeight="true" hidden="false" ht="12" outlineLevel="0" r="12">
      <c r="A12" s="0" t="n">
        <v>-4.8</v>
      </c>
      <c r="B12" s="0" t="n">
        <v>-14.6</v>
      </c>
      <c r="C12" s="0" t="s">
        <v>269</v>
      </c>
    </row>
    <row collapsed="false" customFormat="false" customHeight="true" hidden="false" ht="12" outlineLevel="0" r="13">
      <c r="A13" s="0" t="n">
        <v>-5.9</v>
      </c>
      <c r="B13" s="0" t="n">
        <v>-15.4</v>
      </c>
      <c r="C13" s="0" t="s">
        <v>269</v>
      </c>
    </row>
    <row collapsed="false" customFormat="false" customHeight="true" hidden="false" ht="12" outlineLevel="0" r="14">
      <c r="A14" s="0" t="n">
        <v>-8.4</v>
      </c>
      <c r="B14" s="0" t="n">
        <v>-17.9</v>
      </c>
      <c r="C14" s="0" t="s">
        <v>269</v>
      </c>
    </row>
    <row collapsed="false" customFormat="false" customHeight="true" hidden="false" ht="12" outlineLevel="0" r="15">
      <c r="A15" s="0" t="n">
        <v>-6</v>
      </c>
      <c r="B15" s="0" t="n">
        <v>-15.7</v>
      </c>
      <c r="C15" s="0" t="s">
        <v>269</v>
      </c>
    </row>
    <row collapsed="false" customFormat="false" customHeight="true" hidden="false" ht="12" outlineLevel="0" r="16">
      <c r="A16" s="0" t="n">
        <v>-9.8</v>
      </c>
      <c r="B16" s="0" t="n">
        <v>-19.7</v>
      </c>
      <c r="C16" s="0" t="s">
        <v>269</v>
      </c>
    </row>
    <row collapsed="false" customFormat="false" customHeight="true" hidden="false" ht="12" outlineLevel="0" r="17">
      <c r="A17" s="0" t="n">
        <v>-4.4</v>
      </c>
      <c r="B17" s="0" t="n">
        <v>-20.1</v>
      </c>
      <c r="C17" s="0" t="s">
        <v>269</v>
      </c>
    </row>
    <row collapsed="false" customFormat="false" customHeight="true" hidden="false" ht="12" outlineLevel="0" r="18">
      <c r="A18" s="0" t="n">
        <v>-9.1</v>
      </c>
      <c r="B18" s="0" t="n">
        <v>-18.8</v>
      </c>
      <c r="C18" s="0" t="s">
        <v>269</v>
      </c>
    </row>
    <row collapsed="false" customFormat="false" customHeight="true" hidden="false" ht="12" outlineLevel="0" r="19">
      <c r="A19" s="0" t="n">
        <v>-7.8</v>
      </c>
      <c r="B19" s="0" t="n">
        <v>-17.4</v>
      </c>
      <c r="C19" s="0" t="s">
        <v>269</v>
      </c>
    </row>
    <row collapsed="false" customFormat="false" customHeight="true" hidden="false" ht="12" outlineLevel="0" r="20">
      <c r="A20" s="0" t="n">
        <v>-4.6</v>
      </c>
      <c r="B20" s="0" t="n">
        <v>-14.2</v>
      </c>
      <c r="C20" s="0" t="s">
        <v>269</v>
      </c>
    </row>
    <row collapsed="false" customFormat="false" customHeight="true" hidden="false" ht="12" outlineLevel="0" r="21">
      <c r="A21" s="0" t="n">
        <v>-3.8</v>
      </c>
      <c r="B21" s="0" t="n">
        <v>-13.7</v>
      </c>
      <c r="C21" s="0" t="s">
        <v>269</v>
      </c>
    </row>
    <row collapsed="false" customFormat="false" customHeight="true" hidden="false" ht="12" outlineLevel="0" r="22">
      <c r="A22" s="0" t="n">
        <v>-7.6</v>
      </c>
      <c r="B22" s="0" t="n">
        <v>-17.7</v>
      </c>
      <c r="C22" s="0" t="s">
        <v>269</v>
      </c>
    </row>
    <row collapsed="false" customFormat="false" customHeight="true" hidden="false" ht="12" outlineLevel="0" r="23">
      <c r="A23" s="0" t="n">
        <v>-4.09</v>
      </c>
      <c r="B23" s="0" t="n">
        <v>-13.92</v>
      </c>
      <c r="C23" s="0" t="s">
        <v>270</v>
      </c>
      <c r="D23" s="0" t="s">
        <v>271</v>
      </c>
    </row>
    <row collapsed="false" customFormat="false" customHeight="true" hidden="false" ht="12" outlineLevel="0" r="24">
      <c r="A24" s="0" t="n">
        <v>-7.07</v>
      </c>
      <c r="B24" s="0" t="n">
        <v>-17.21</v>
      </c>
      <c r="C24" s="0" t="s">
        <v>270</v>
      </c>
    </row>
    <row collapsed="false" customFormat="false" customHeight="true" hidden="false" ht="12" outlineLevel="0" r="25">
      <c r="A25" s="0" t="n">
        <v>-7.8</v>
      </c>
      <c r="B25" s="0" t="n">
        <v>-18.5</v>
      </c>
      <c r="C25" s="0" t="s">
        <v>272</v>
      </c>
    </row>
    <row collapsed="false" customFormat="false" customHeight="true" hidden="false" ht="12" outlineLevel="0" r="36">
      <c r="B36" s="2" t="n">
        <f aca="false">0.9912*(-5.17)-10.481</f>
        <v>-15.605504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8"/>
  <sheetViews>
    <sheetView colorId="64" defaultGridColor="true" rightToLeft="false" showFormulas="false" showGridLines="true" showOutlineSymbols="true" showRowColHeaders="true" showZeros="true" tabSelected="false" topLeftCell="A36" view="normal" windowProtection="false" workbookViewId="0" zoomScale="100" zoomScaleNormal="100" zoomScalePageLayoutView="100">
      <selection activeCell="O106" activeCellId="0" pane="topLeft" sqref="O106"/>
    </sheetView>
  </sheetViews>
  <cols>
    <col collapsed="false" hidden="false" max="1025" min="1" style="0" width="10.7254901960784"/>
  </cols>
  <sheetData>
    <row collapsed="false" customFormat="false" customHeight="true" hidden="false" ht="12" outlineLevel="0" r="1">
      <c r="C1" s="0" t="s">
        <v>110</v>
      </c>
      <c r="D1" s="0" t="s">
        <v>170</v>
      </c>
      <c r="E1" s="0" t="s">
        <v>273</v>
      </c>
      <c r="F1" s="0" t="s">
        <v>274</v>
      </c>
      <c r="G1" s="0" t="s">
        <v>27</v>
      </c>
      <c r="H1" s="0" t="s">
        <v>275</v>
      </c>
      <c r="I1" s="0" t="s">
        <v>276</v>
      </c>
      <c r="J1" s="0" t="s">
        <v>277</v>
      </c>
      <c r="K1" s="0" t="s">
        <v>278</v>
      </c>
      <c r="L1" s="0" t="s">
        <v>279</v>
      </c>
      <c r="M1" s="0" t="s">
        <v>280</v>
      </c>
      <c r="N1" s="0" t="s">
        <v>281</v>
      </c>
      <c r="O1" s="0" t="s">
        <v>282</v>
      </c>
      <c r="Q1" s="0" t="s">
        <v>110</v>
      </c>
      <c r="R1" s="0" t="s">
        <v>22</v>
      </c>
      <c r="S1" s="0" t="s">
        <v>283</v>
      </c>
      <c r="T1" s="0" t="s">
        <v>284</v>
      </c>
    </row>
    <row collapsed="false" customFormat="false" customHeight="true" hidden="false" ht="12" outlineLevel="0" r="2">
      <c r="C2" s="0" t="n">
        <v>2009</v>
      </c>
      <c r="D2" s="0" t="n">
        <v>-0.290357581425254</v>
      </c>
      <c r="G2" s="0" t="n">
        <v>84.4</v>
      </c>
      <c r="H2" s="0" t="n">
        <v>81.7166666666667</v>
      </c>
      <c r="I2" s="0" t="n">
        <v>81.43</v>
      </c>
      <c r="J2" s="0" t="n">
        <v>12.85</v>
      </c>
      <c r="K2" s="0" t="n">
        <v>13.1375</v>
      </c>
      <c r="L2" s="0" t="n">
        <v>13.2225</v>
      </c>
      <c r="M2" s="0" t="n">
        <v>13.6333333333333</v>
      </c>
      <c r="Q2" s="0" t="n">
        <v>2009</v>
      </c>
      <c r="R2" s="0" t="n">
        <v>14.2666666666667</v>
      </c>
      <c r="S2" s="0" t="n">
        <v>14.5888888888889</v>
      </c>
      <c r="T2" s="0" t="n">
        <v>14.56</v>
      </c>
    </row>
    <row collapsed="false" customFormat="false" customHeight="true" hidden="false" ht="12" outlineLevel="0" r="3">
      <c r="C3" s="0" t="n">
        <v>2008</v>
      </c>
      <c r="D3" s="0" t="n">
        <v>0.239226391218053</v>
      </c>
      <c r="E3" s="2" t="n">
        <f aca="false">AVERAGE(D2:D4)</f>
        <v>0.197798021478592</v>
      </c>
      <c r="G3" s="0" t="n">
        <v>79.8</v>
      </c>
      <c r="H3" s="0" t="n">
        <v>80.8666666666667</v>
      </c>
      <c r="I3" s="0" t="n">
        <v>80.96</v>
      </c>
      <c r="J3" s="0" t="n">
        <v>12.7875</v>
      </c>
      <c r="K3" s="0" t="n">
        <v>12.9041666666667</v>
      </c>
      <c r="L3" s="0" t="n">
        <v>13.0125</v>
      </c>
      <c r="M3" s="0" t="n">
        <v>13</v>
      </c>
      <c r="N3" s="0" t="n">
        <v>13.1777777777778</v>
      </c>
      <c r="Q3" s="0" t="n">
        <v>2008</v>
      </c>
      <c r="R3" s="0" t="n">
        <v>14.6333333333333</v>
      </c>
      <c r="S3" s="0" t="n">
        <v>14.4444444444444</v>
      </c>
      <c r="T3" s="0" t="n">
        <v>14.6</v>
      </c>
    </row>
    <row collapsed="false" customFormat="false" customHeight="true" hidden="false" ht="12" outlineLevel="0" r="4">
      <c r="C4" s="0" t="n">
        <v>2007</v>
      </c>
      <c r="D4" s="0" t="n">
        <v>0.644525254642978</v>
      </c>
      <c r="E4" s="2" t="n">
        <f aca="false">AVERAGE(D3:D5)</f>
        <v>-0.0774244529056648</v>
      </c>
      <c r="F4" s="2" t="n">
        <f aca="false">AVERAGE(D2:D6)</f>
        <v>-0.162286386423285</v>
      </c>
      <c r="G4" s="0" t="n">
        <v>78.4</v>
      </c>
      <c r="H4" s="0" t="n">
        <v>79.8166666666667</v>
      </c>
      <c r="I4" s="0" t="n">
        <v>81.03</v>
      </c>
      <c r="J4" s="0" t="n">
        <v>13.075</v>
      </c>
      <c r="K4" s="0" t="n">
        <v>12.8125</v>
      </c>
      <c r="L4" s="0" t="n">
        <v>12.95</v>
      </c>
      <c r="M4" s="0" t="n">
        <v>12.9</v>
      </c>
      <c r="N4" s="0" t="n">
        <v>13.1111111111111</v>
      </c>
      <c r="O4" s="0" t="n">
        <v>13.2666666666667</v>
      </c>
      <c r="Q4" s="0" t="n">
        <v>2007</v>
      </c>
      <c r="R4" s="0" t="n">
        <v>14.4333333333333</v>
      </c>
      <c r="S4" s="0" t="n">
        <v>14.6222222222222</v>
      </c>
      <c r="T4" s="0" t="n">
        <v>14.64</v>
      </c>
    </row>
    <row collapsed="false" customFormat="false" customHeight="true" hidden="false" ht="12" outlineLevel="0" r="5">
      <c r="C5" s="0" t="n">
        <v>2006</v>
      </c>
      <c r="D5" s="0" t="n">
        <v>-1.11602500457803</v>
      </c>
      <c r="E5" s="2" t="n">
        <f aca="false">AVERAGE(D4:D6)</f>
        <v>-0.253433580636408</v>
      </c>
      <c r="F5" s="2" t="n">
        <f aca="false">AVERAGE(D3:D7)</f>
        <v>-0.0651539097937784</v>
      </c>
      <c r="G5" s="0" t="n">
        <v>81.25</v>
      </c>
      <c r="H5" s="0" t="n">
        <v>80.3166666666667</v>
      </c>
      <c r="I5" s="0" t="n">
        <v>79.99</v>
      </c>
      <c r="J5" s="0" t="n">
        <v>12.575</v>
      </c>
      <c r="K5" s="0" t="n">
        <v>13.0375</v>
      </c>
      <c r="L5" s="0" t="n">
        <v>12.865</v>
      </c>
      <c r="M5" s="0" t="n">
        <v>13.4333333333333</v>
      </c>
      <c r="N5" s="0" t="n">
        <v>13.2333333333333</v>
      </c>
      <c r="O5" s="0" t="n">
        <v>13.1133333333333</v>
      </c>
      <c r="Q5" s="0" t="n">
        <v>2006</v>
      </c>
      <c r="R5" s="0" t="n">
        <v>14.8</v>
      </c>
      <c r="S5" s="0" t="n">
        <v>14.7666666666667</v>
      </c>
      <c r="T5" s="0" t="n">
        <v>14.6466666666667</v>
      </c>
    </row>
    <row collapsed="false" customFormat="false" customHeight="true" hidden="false" ht="12" outlineLevel="0" r="6">
      <c r="C6" s="0" t="n">
        <v>2005</v>
      </c>
      <c r="D6" s="0" t="n">
        <v>-0.288800991974175</v>
      </c>
      <c r="E6" s="2" t="n">
        <f aca="false">AVERAGE(D5:D7)</f>
        <v>-0.403173731609974</v>
      </c>
      <c r="F6" s="2" t="n">
        <f aca="false">AVERAGE(D4:D8)</f>
        <v>-0.255067536268001</v>
      </c>
      <c r="G6" s="0" t="n">
        <v>81.3</v>
      </c>
      <c r="H6" s="0" t="n">
        <v>80.5833333333333</v>
      </c>
      <c r="I6" s="0" t="n">
        <v>80.23</v>
      </c>
      <c r="J6" s="0" t="n">
        <v>13.4625</v>
      </c>
      <c r="K6" s="0" t="n">
        <v>12.8208333333333</v>
      </c>
      <c r="L6" s="0" t="n">
        <v>12.9475</v>
      </c>
      <c r="M6" s="0" t="n">
        <v>13.3666666666667</v>
      </c>
      <c r="N6" s="0" t="n">
        <v>13.2222222222222</v>
      </c>
      <c r="O6" s="0" t="n">
        <v>13.16</v>
      </c>
      <c r="Q6" s="0" t="n">
        <v>2005</v>
      </c>
      <c r="R6" s="0" t="n">
        <v>15.0666666666667</v>
      </c>
      <c r="S6" s="0" t="n">
        <v>14.7222222222222</v>
      </c>
      <c r="T6" s="0" t="n">
        <v>14.6066666666667</v>
      </c>
    </row>
    <row collapsed="false" customFormat="false" customHeight="true" hidden="false" ht="12" outlineLevel="0" r="7">
      <c r="C7" s="0" t="n">
        <v>2004</v>
      </c>
      <c r="D7" s="0" t="n">
        <v>0.195304801722278</v>
      </c>
      <c r="E7" s="2" t="n">
        <f aca="false">AVERAGE(D6:D8)</f>
        <v>-0.267945977134985</v>
      </c>
      <c r="F7" s="2" t="n">
        <f aca="false">AVERAGE(D5:D9)</f>
        <v>-0.283055482492939</v>
      </c>
      <c r="G7" s="0" t="n">
        <v>79.2</v>
      </c>
      <c r="H7" s="0" t="n">
        <v>80.5</v>
      </c>
      <c r="I7" s="0" t="n">
        <v>79.69</v>
      </c>
      <c r="J7" s="0" t="n">
        <v>12.425</v>
      </c>
      <c r="K7" s="0" t="n">
        <v>13.0291666666667</v>
      </c>
      <c r="L7" s="0" t="n">
        <v>12.85</v>
      </c>
      <c r="M7" s="0" t="n">
        <v>12.8666666666667</v>
      </c>
      <c r="N7" s="0" t="n">
        <v>13.1555555555556</v>
      </c>
      <c r="O7" s="0" t="n">
        <v>13.0066666666667</v>
      </c>
      <c r="Q7" s="0" t="n">
        <v>2004</v>
      </c>
      <c r="R7" s="0" t="n">
        <v>14.3</v>
      </c>
      <c r="S7" s="0" t="n">
        <v>14.6</v>
      </c>
      <c r="T7" s="0" t="n">
        <v>14.5</v>
      </c>
    </row>
    <row collapsed="false" customFormat="false" customHeight="true" hidden="false" ht="12" outlineLevel="0" r="8">
      <c r="C8" s="0" t="n">
        <v>2003</v>
      </c>
      <c r="D8" s="0" t="n">
        <v>-0.710341741153059</v>
      </c>
      <c r="E8" s="2" t="n">
        <f aca="false">AVERAGE(D7:D9)</f>
        <v>-0.00348380530416451</v>
      </c>
      <c r="F8" s="2" t="n">
        <f aca="false">AVERAGE(D6:D10)</f>
        <v>-0.0673433659722948</v>
      </c>
      <c r="G8" s="0" t="n">
        <v>81</v>
      </c>
      <c r="H8" s="0" t="n">
        <v>78.6333333333333</v>
      </c>
      <c r="I8" s="0" t="n">
        <v>79.38</v>
      </c>
      <c r="J8" s="0" t="n">
        <v>13.2</v>
      </c>
      <c r="K8" s="0" t="n">
        <v>12.7375</v>
      </c>
      <c r="L8" s="0" t="n">
        <v>13.035</v>
      </c>
      <c r="M8" s="0" t="n">
        <v>13.2333333333333</v>
      </c>
      <c r="N8" s="0" t="n">
        <v>12.7444444444444</v>
      </c>
      <c r="O8" s="0" t="n">
        <v>13.0933333333333</v>
      </c>
      <c r="Q8" s="0" t="n">
        <v>2003</v>
      </c>
      <c r="R8" s="0" t="n">
        <v>14.4333333333333</v>
      </c>
      <c r="S8" s="0" t="n">
        <v>14.2111111111111</v>
      </c>
      <c r="T8" s="0" t="n">
        <v>14.62</v>
      </c>
    </row>
    <row collapsed="false" customFormat="false" customHeight="true" hidden="false" ht="12" outlineLevel="0" r="9">
      <c r="C9" s="0" t="n">
        <v>2002</v>
      </c>
      <c r="D9" s="0" t="n">
        <v>0.504585523518288</v>
      </c>
      <c r="E9" s="2" t="n">
        <f aca="false">AVERAGE(D8:D10)</f>
        <v>-0.0810735465365255</v>
      </c>
      <c r="F9" s="2" t="n">
        <f aca="false">AVERAGE(D7:D11)</f>
        <v>0.145287279823797</v>
      </c>
      <c r="G9" s="0" t="n">
        <v>75.7</v>
      </c>
      <c r="H9" s="0" t="n">
        <v>78.8</v>
      </c>
      <c r="I9" s="0" t="n">
        <v>78.79</v>
      </c>
      <c r="J9" s="0" t="n">
        <v>12.5875</v>
      </c>
      <c r="K9" s="0" t="n">
        <v>13.0958333333333</v>
      </c>
      <c r="L9" s="0" t="n">
        <v>12.945</v>
      </c>
      <c r="M9" s="0" t="n">
        <v>12.1333333333333</v>
      </c>
      <c r="N9" s="0" t="n">
        <v>13.0777777777778</v>
      </c>
      <c r="O9" s="0" t="n">
        <v>12.9933333333333</v>
      </c>
      <c r="Q9" s="0" t="n">
        <v>2002</v>
      </c>
      <c r="R9" s="0" t="n">
        <v>13.9</v>
      </c>
      <c r="S9" s="0" t="n">
        <v>14.5777777777778</v>
      </c>
      <c r="T9" s="0" t="n">
        <v>14.4733333333333</v>
      </c>
    </row>
    <row collapsed="false" customFormat="false" customHeight="true" hidden="false" ht="12" outlineLevel="0" r="10">
      <c r="C10" s="0" t="n">
        <v>2001</v>
      </c>
      <c r="D10" s="0" t="n">
        <v>-0.0374644219748053</v>
      </c>
      <c r="E10" s="2" t="n">
        <f aca="false">AVERAGE(D9:D11)</f>
        <v>0.413824446183256</v>
      </c>
      <c r="F10" s="2" t="n">
        <f aca="false">AVERAGE(D8:D12)</f>
        <v>0.0957138678473367</v>
      </c>
      <c r="G10" s="0" t="n">
        <v>79.7</v>
      </c>
      <c r="H10" s="0" t="n">
        <v>77.9166666666667</v>
      </c>
      <c r="I10" s="0" t="n">
        <v>78.9</v>
      </c>
      <c r="J10" s="0" t="n">
        <v>13.5</v>
      </c>
      <c r="K10" s="0" t="n">
        <v>13.0333333333333</v>
      </c>
      <c r="L10" s="0" t="n">
        <v>13.065</v>
      </c>
      <c r="M10" s="0" t="n">
        <v>13.8666666666667</v>
      </c>
      <c r="N10" s="0" t="n">
        <v>12.9555555555556</v>
      </c>
      <c r="O10" s="0" t="n">
        <v>13.18</v>
      </c>
      <c r="Q10" s="0" t="n">
        <v>2001</v>
      </c>
      <c r="R10" s="0" t="n">
        <v>15.4</v>
      </c>
      <c r="S10" s="0" t="n">
        <v>14.5444444444444</v>
      </c>
      <c r="T10" s="0" t="n">
        <v>14.6266666666667</v>
      </c>
    </row>
    <row collapsed="false" customFormat="false" customHeight="true" hidden="false" ht="12" outlineLevel="0" r="11">
      <c r="C11" s="0" t="n">
        <v>2000</v>
      </c>
      <c r="D11" s="0" t="n">
        <v>0.774352237006285</v>
      </c>
      <c r="E11" s="2" t="n">
        <f aca="false">AVERAGE(D10:D12)</f>
        <v>0.228108518957152</v>
      </c>
      <c r="F11" s="2" t="n">
        <f aca="false">AVERAGE(D9:D13)</f>
        <v>0.183052777004868</v>
      </c>
      <c r="G11" s="0" t="n">
        <v>78.35</v>
      </c>
      <c r="H11" s="0" t="n">
        <v>79.2666666666667</v>
      </c>
      <c r="I11" s="0" t="n">
        <v>78.73</v>
      </c>
      <c r="J11" s="0" t="n">
        <v>13.0125</v>
      </c>
      <c r="K11" s="0" t="n">
        <v>13.1791666666667</v>
      </c>
      <c r="L11" s="0" t="n">
        <v>13.19</v>
      </c>
      <c r="M11" s="0" t="n">
        <v>12.8666666666667</v>
      </c>
      <c r="N11" s="0" t="n">
        <v>13.5111111111111</v>
      </c>
      <c r="O11" s="0" t="n">
        <v>13.3066666666667</v>
      </c>
      <c r="Q11" s="0" t="n">
        <v>2000</v>
      </c>
      <c r="R11" s="0" t="n">
        <v>14.3333333333333</v>
      </c>
      <c r="S11" s="0" t="n">
        <v>14.9333333333333</v>
      </c>
      <c r="T11" s="0" t="n">
        <v>14.8333333333333</v>
      </c>
    </row>
    <row collapsed="false" customFormat="false" customHeight="true" hidden="false" ht="12" outlineLevel="0" r="12">
      <c r="C12" s="0" t="n">
        <v>1999</v>
      </c>
      <c r="D12" s="0" t="n">
        <v>-0.0525622581600255</v>
      </c>
      <c r="E12" s="2" t="n">
        <f aca="false">AVERAGE(D11:D13)</f>
        <v>0.149380927826952</v>
      </c>
      <c r="F12" s="2" t="n">
        <f aca="false">AVERAGE(D10:D14)</f>
        <v>-0.00931843880057593</v>
      </c>
      <c r="G12" s="0" t="n">
        <v>79.75</v>
      </c>
      <c r="H12" s="0" t="n">
        <v>79.4166666666667</v>
      </c>
      <c r="I12" s="0" t="n">
        <v>79.88</v>
      </c>
      <c r="J12" s="0" t="n">
        <v>13.025</v>
      </c>
      <c r="K12" s="0" t="n">
        <v>13.2875</v>
      </c>
      <c r="L12" s="0" t="n">
        <v>13.1925</v>
      </c>
      <c r="M12" s="0" t="n">
        <v>13.8</v>
      </c>
      <c r="N12" s="0" t="n">
        <v>13.5111111111111</v>
      </c>
      <c r="O12" s="0" t="n">
        <v>13.4733333333333</v>
      </c>
      <c r="Q12" s="0" t="n">
        <v>1999</v>
      </c>
      <c r="R12" s="0" t="n">
        <v>15.0666666666667</v>
      </c>
      <c r="S12" s="0" t="n">
        <v>14.9555555555556</v>
      </c>
      <c r="T12" s="0" t="n">
        <v>14.9</v>
      </c>
    </row>
    <row collapsed="false" customFormat="false" customHeight="true" hidden="false" ht="12" outlineLevel="0" r="13">
      <c r="C13" s="0" t="n">
        <v>1998</v>
      </c>
      <c r="D13" s="0" t="n">
        <v>-0.273647195365403</v>
      </c>
      <c r="E13" s="2" t="n">
        <f aca="false">AVERAGE(D12:D14)</f>
        <v>-0.261160003011453</v>
      </c>
      <c r="F13" s="2" t="n">
        <f aca="false">AVERAGE(D11:D15)</f>
        <v>-0.030212023310125</v>
      </c>
      <c r="G13" s="0" t="n">
        <v>80.15</v>
      </c>
      <c r="H13" s="0" t="n">
        <v>80.45</v>
      </c>
      <c r="I13" s="0" t="n">
        <v>79.88</v>
      </c>
      <c r="J13" s="0" t="n">
        <v>13.825</v>
      </c>
      <c r="K13" s="0" t="n">
        <v>13.15</v>
      </c>
      <c r="L13" s="0" t="n">
        <v>12.9925</v>
      </c>
      <c r="M13" s="0" t="n">
        <v>13.8666666666667</v>
      </c>
      <c r="N13" s="0" t="n">
        <v>13.5444444444444</v>
      </c>
      <c r="O13" s="0" t="n">
        <v>13.32</v>
      </c>
      <c r="Q13" s="0" t="n">
        <v>1998</v>
      </c>
      <c r="R13" s="0" t="n">
        <v>15.4666666666667</v>
      </c>
      <c r="S13" s="0" t="n">
        <v>14.9222222222222</v>
      </c>
      <c r="T13" s="0" t="n">
        <v>14.7933333333333</v>
      </c>
    </row>
    <row collapsed="false" customFormat="false" customHeight="true" hidden="false" ht="12" outlineLevel="0" r="14">
      <c r="C14" s="0" t="n">
        <v>1997</v>
      </c>
      <c r="D14" s="0" t="n">
        <v>-0.457270555508932</v>
      </c>
      <c r="E14" s="2" t="n">
        <f aca="false">AVERAGE(D13:D15)</f>
        <v>-0.290950031798962</v>
      </c>
      <c r="F14" s="2" t="n">
        <f aca="false">AVERAGE(D12:D16)</f>
        <v>-0.198601536431457</v>
      </c>
      <c r="G14" s="0" t="n">
        <v>81.45</v>
      </c>
      <c r="H14" s="0" t="n">
        <v>80.4333333333333</v>
      </c>
      <c r="I14" s="0" t="n">
        <v>80.37</v>
      </c>
      <c r="J14" s="0" t="n">
        <v>12.6</v>
      </c>
      <c r="K14" s="0" t="n">
        <v>12.975</v>
      </c>
      <c r="L14" s="0" t="n">
        <v>13.0175</v>
      </c>
      <c r="M14" s="0" t="n">
        <v>12.9666666666667</v>
      </c>
      <c r="N14" s="0" t="n">
        <v>13.3111111111111</v>
      </c>
      <c r="O14" s="0" t="n">
        <v>13.3866666666667</v>
      </c>
      <c r="Q14" s="0" t="n">
        <v>1997</v>
      </c>
      <c r="R14" s="0" t="n">
        <v>14.2333333333333</v>
      </c>
      <c r="S14" s="0" t="n">
        <v>14.8555555555556</v>
      </c>
      <c r="T14" s="0" t="n">
        <v>14.7733333333333</v>
      </c>
      <c r="X14" s="0" t="s">
        <v>285</v>
      </c>
      <c r="Z14" s="0" t="s">
        <v>280</v>
      </c>
      <c r="AA14" s="0" t="s">
        <v>281</v>
      </c>
      <c r="AB14" s="0" t="s">
        <v>282</v>
      </c>
      <c r="AC14" s="0" t="s">
        <v>277</v>
      </c>
      <c r="AD14" s="0" t="s">
        <v>278</v>
      </c>
      <c r="AE14" s="0" t="s">
        <v>279</v>
      </c>
      <c r="AF14" s="0" t="s">
        <v>286</v>
      </c>
      <c r="AG14" s="0" t="s">
        <v>275</v>
      </c>
      <c r="AH14" s="0" t="s">
        <v>276</v>
      </c>
      <c r="AJ14" s="0" t="s">
        <v>22</v>
      </c>
      <c r="AK14" s="0" t="s">
        <v>283</v>
      </c>
      <c r="AL14" s="0" t="s">
        <v>284</v>
      </c>
    </row>
    <row collapsed="false" customFormat="false" customHeight="true" hidden="false" ht="12" outlineLevel="0" r="15">
      <c r="C15" s="0" t="n">
        <v>1996</v>
      </c>
      <c r="D15" s="0" t="n">
        <v>-0.141932344522551</v>
      </c>
      <c r="E15" s="2" t="n">
        <f aca="false">AVERAGE(D14:D16)</f>
        <v>-0.222266076210618</v>
      </c>
      <c r="F15" s="2" t="n">
        <f aca="false">AVERAGE(D13:D17)</f>
        <v>-0.0749591310729175</v>
      </c>
      <c r="G15" s="0" t="n">
        <v>79.7</v>
      </c>
      <c r="H15" s="0" t="n">
        <v>80.65</v>
      </c>
      <c r="I15" s="0" t="n">
        <v>80.49</v>
      </c>
      <c r="J15" s="0" t="n">
        <v>12.5</v>
      </c>
      <c r="K15" s="0" t="n">
        <v>12.7458333333333</v>
      </c>
      <c r="L15" s="0" t="n">
        <v>12.9075</v>
      </c>
      <c r="M15" s="0" t="n">
        <v>13.1</v>
      </c>
      <c r="N15" s="0" t="n">
        <v>13.0888888888889</v>
      </c>
      <c r="O15" s="0" t="n">
        <v>13.1266666666667</v>
      </c>
      <c r="Q15" s="0" t="n">
        <v>1996</v>
      </c>
      <c r="R15" s="0" t="n">
        <v>14.8666666666667</v>
      </c>
      <c r="S15" s="0" t="n">
        <v>14.4444444444444</v>
      </c>
      <c r="T15" s="0" t="n">
        <v>14.5266666666667</v>
      </c>
    </row>
    <row collapsed="false" customFormat="false" customHeight="true" hidden="false" ht="12" outlineLevel="0" r="16">
      <c r="C16" s="0" t="n">
        <v>1995</v>
      </c>
      <c r="D16" s="0" t="n">
        <v>-0.0675953286003726</v>
      </c>
      <c r="E16" s="2" t="n">
        <f aca="false">AVERAGE(D15:D17)</f>
        <v>0.118707365169916</v>
      </c>
      <c r="F16" s="2" t="n">
        <f aca="false">AVERAGE(D14:D18)</f>
        <v>0.125209171132614</v>
      </c>
      <c r="G16" s="0" t="n">
        <v>80.8</v>
      </c>
      <c r="H16" s="0" t="n">
        <v>80.2833333333333</v>
      </c>
      <c r="I16" s="0" t="n">
        <v>79.67</v>
      </c>
      <c r="J16" s="0" t="n">
        <v>13.1375</v>
      </c>
      <c r="K16" s="0" t="n">
        <v>12.7041666666667</v>
      </c>
      <c r="L16" s="0" t="n">
        <v>12.5725</v>
      </c>
      <c r="M16" s="0" t="n">
        <v>13.2</v>
      </c>
      <c r="N16" s="0" t="n">
        <v>12.9333333333333</v>
      </c>
      <c r="O16" s="0" t="n">
        <v>12.7333333333333</v>
      </c>
      <c r="Q16" s="0" t="n">
        <v>1995</v>
      </c>
      <c r="R16" s="0" t="n">
        <v>14.2333333333333</v>
      </c>
      <c r="S16" s="0" t="n">
        <v>14.3111111111111</v>
      </c>
      <c r="X16" s="0" t="n">
        <v>1995</v>
      </c>
      <c r="Y16" s="0" t="n">
        <v>0.24734605506512</v>
      </c>
      <c r="Z16" s="0" t="n">
        <v>13.2</v>
      </c>
      <c r="AA16" s="0" t="n">
        <v>12.9333333333333</v>
      </c>
      <c r="AB16" s="0" t="n">
        <v>12.7333333333333</v>
      </c>
      <c r="AC16" s="0" t="n">
        <v>13.1375</v>
      </c>
      <c r="AD16" s="0" t="n">
        <v>12.7041666666667</v>
      </c>
      <c r="AE16" s="0" t="n">
        <v>12.5725</v>
      </c>
      <c r="AF16" s="0" t="n">
        <v>80.8</v>
      </c>
      <c r="AG16" s="0" t="n">
        <v>80.2833333333333</v>
      </c>
      <c r="AH16" s="0" t="n">
        <v>79.67</v>
      </c>
      <c r="AI16" s="0" t="n">
        <v>1995</v>
      </c>
      <c r="AJ16" s="0" t="n">
        <v>14.2333333333333</v>
      </c>
      <c r="AK16" s="0" t="n">
        <v>14.3111111111111</v>
      </c>
    </row>
    <row collapsed="false" customFormat="false" customHeight="true" hidden="false" ht="12" outlineLevel="0" r="17">
      <c r="C17" s="0" t="n">
        <v>1994</v>
      </c>
      <c r="D17" s="0" t="n">
        <v>0.56564976863267</v>
      </c>
      <c r="E17" s="2" t="n">
        <f aca="false">AVERAGE(D16:D18)</f>
        <v>0.408416251898184</v>
      </c>
      <c r="F17" s="2" t="n">
        <f aca="false">AVERAGE(D15:D19)</f>
        <v>0.315527580806515</v>
      </c>
      <c r="G17" s="0" t="n">
        <v>80.35</v>
      </c>
      <c r="H17" s="0" t="n">
        <v>79.0666666666667</v>
      </c>
      <c r="I17" s="0" t="n">
        <v>79.44</v>
      </c>
      <c r="J17" s="0" t="n">
        <v>12.475</v>
      </c>
      <c r="K17" s="0" t="n">
        <v>12.5875</v>
      </c>
      <c r="L17" s="0" t="n">
        <v>12.5075</v>
      </c>
      <c r="M17" s="0" t="n">
        <v>12.5</v>
      </c>
      <c r="N17" s="0" t="n">
        <v>12.5333333333333</v>
      </c>
      <c r="O17" s="0" t="n">
        <v>12.6266666666667</v>
      </c>
      <c r="Q17" s="0" t="n">
        <v>1994</v>
      </c>
      <c r="R17" s="0" t="n">
        <v>13.8333333333333</v>
      </c>
      <c r="W17" s="2" t="n">
        <f aca="false">AVERAGE(Y16:Y18)</f>
        <v>0.135530477208596</v>
      </c>
      <c r="X17" s="0" t="n">
        <v>1994</v>
      </c>
      <c r="Y17" s="0" t="n">
        <v>0.107018947076846</v>
      </c>
      <c r="Z17" s="0" t="n">
        <v>12.5</v>
      </c>
      <c r="AA17" s="0" t="n">
        <v>12.5333333333333</v>
      </c>
      <c r="AB17" s="0" t="n">
        <v>12.6266666666667</v>
      </c>
      <c r="AC17" s="0" t="n">
        <v>12.475</v>
      </c>
      <c r="AD17" s="0" t="n">
        <v>12.5875</v>
      </c>
      <c r="AE17" s="0" t="n">
        <v>12.5075</v>
      </c>
      <c r="AF17" s="0" t="n">
        <v>80.35</v>
      </c>
      <c r="AG17" s="0" t="n">
        <v>79.0666666666667</v>
      </c>
      <c r="AH17" s="0" t="n">
        <v>79.44</v>
      </c>
      <c r="AI17" s="0" t="n">
        <v>1994</v>
      </c>
      <c r="AJ17" s="0" t="n">
        <v>13.8333333333333</v>
      </c>
    </row>
    <row collapsed="false" customFormat="false" customHeight="true" hidden="false" ht="12" outlineLevel="0" r="18">
      <c r="C18" s="0" t="n">
        <v>1993</v>
      </c>
      <c r="D18" s="0" t="n">
        <v>0.727194315662255</v>
      </c>
      <c r="E18" s="2" t="n">
        <f aca="false">AVERAGE(D17:D19)</f>
        <v>0.595721859051833</v>
      </c>
      <c r="F18" s="2" t="n">
        <f aca="false">AVERAGE(D16:D20)</f>
        <v>0.474970132624124</v>
      </c>
      <c r="G18" s="0" t="n">
        <v>76.05</v>
      </c>
      <c r="H18" s="0" t="n">
        <v>78.9</v>
      </c>
      <c r="I18" s="0" t="n">
        <v>79.24</v>
      </c>
      <c r="J18" s="0" t="n">
        <v>12.15</v>
      </c>
      <c r="K18" s="0" t="n">
        <v>12.3</v>
      </c>
      <c r="L18" s="0" t="n">
        <v>12.44</v>
      </c>
      <c r="M18" s="0" t="n">
        <v>11.9</v>
      </c>
      <c r="N18" s="0" t="n">
        <v>12.2777777777778</v>
      </c>
      <c r="O18" s="0" t="n">
        <v>12.46</v>
      </c>
      <c r="Q18" s="0" t="n">
        <v>1993</v>
      </c>
      <c r="V18" s="2" t="n">
        <f aca="false">AVERAGE(Y16:Y20)</f>
        <v>0.0231737318667579</v>
      </c>
      <c r="W18" s="2" t="n">
        <f aca="false">AVERAGE(Y17:Y19)</f>
        <v>-0.173889591832438</v>
      </c>
      <c r="X18" s="0" t="n">
        <v>1993</v>
      </c>
      <c r="Y18" s="0" t="n">
        <v>0.0522264294838219</v>
      </c>
      <c r="Z18" s="0" t="n">
        <v>11.9</v>
      </c>
      <c r="AA18" s="0" t="n">
        <v>12.2777777777778</v>
      </c>
      <c r="AB18" s="0" t="n">
        <v>12.46</v>
      </c>
      <c r="AC18" s="0" t="n">
        <v>12.15</v>
      </c>
      <c r="AD18" s="0" t="n">
        <v>12.3</v>
      </c>
      <c r="AE18" s="0" t="n">
        <v>12.44</v>
      </c>
      <c r="AF18" s="0" t="n">
        <v>76.05</v>
      </c>
      <c r="AG18" s="0" t="n">
        <v>78.9</v>
      </c>
      <c r="AH18" s="0" t="n">
        <v>79.24</v>
      </c>
      <c r="AI18" s="0" t="n">
        <v>1993</v>
      </c>
    </row>
    <row collapsed="false" customFormat="false" customHeight="true" hidden="false" ht="12" outlineLevel="0" r="19">
      <c r="C19" s="0" t="n">
        <v>1992</v>
      </c>
      <c r="D19" s="0" t="n">
        <v>0.494321492860573</v>
      </c>
      <c r="E19" s="2" t="n">
        <f aca="false">AVERAGE(D18:D20)</f>
        <v>0.625598741029441</v>
      </c>
      <c r="F19" s="2" t="n">
        <f aca="false">AVERAGE(D17:D21)</f>
        <v>0.519970090490435</v>
      </c>
      <c r="G19" s="0" t="n">
        <v>80.3</v>
      </c>
      <c r="H19" s="0" t="n">
        <v>78.35</v>
      </c>
      <c r="I19" s="0" t="n">
        <v>78.86</v>
      </c>
      <c r="J19" s="0" t="n">
        <v>12.275</v>
      </c>
      <c r="K19" s="0" t="n">
        <v>12.1958333333333</v>
      </c>
      <c r="L19" s="0" t="n">
        <v>12.3575</v>
      </c>
      <c r="M19" s="0" t="n">
        <v>12.4333333333333</v>
      </c>
      <c r="N19" s="0" t="n">
        <v>12.2</v>
      </c>
      <c r="O19" s="0" t="n">
        <v>12.42</v>
      </c>
      <c r="Q19" s="0" t="n">
        <v>1992</v>
      </c>
      <c r="R19" s="0" t="n">
        <v>14.1666666666667</v>
      </c>
      <c r="V19" s="2" t="n">
        <f aca="false">AVERAGE(Y17:Y21)</f>
        <v>0.163663051642638</v>
      </c>
      <c r="W19" s="2" t="n">
        <f aca="false">AVERAGE(Y18:Y20)</f>
        <v>-0.0794987809360589</v>
      </c>
      <c r="X19" s="0" t="n">
        <v>1992</v>
      </c>
      <c r="Y19" s="0" t="n">
        <v>-0.680914152057983</v>
      </c>
      <c r="Z19" s="0" t="n">
        <v>12.4333333333333</v>
      </c>
      <c r="AA19" s="0" t="n">
        <v>12.2</v>
      </c>
      <c r="AB19" s="0" t="n">
        <v>12.42</v>
      </c>
      <c r="AC19" s="0" t="n">
        <v>12.275</v>
      </c>
      <c r="AD19" s="0" t="n">
        <v>12.1958333333333</v>
      </c>
      <c r="AE19" s="0" t="n">
        <v>12.3575</v>
      </c>
      <c r="AF19" s="0" t="n">
        <v>80.3</v>
      </c>
      <c r="AG19" s="0" t="n">
        <v>78.35</v>
      </c>
      <c r="AH19" s="0" t="n">
        <v>78.86</v>
      </c>
      <c r="AI19" s="0" t="n">
        <v>1992</v>
      </c>
      <c r="AJ19" s="0" t="n">
        <v>14.1666666666667</v>
      </c>
    </row>
    <row collapsed="false" customFormat="false" customHeight="true" hidden="false" ht="12" outlineLevel="0" r="20">
      <c r="C20" s="0" t="n">
        <v>1991</v>
      </c>
      <c r="D20" s="0" t="n">
        <v>0.655280414565495</v>
      </c>
      <c r="E20" s="2" t="n">
        <f aca="false">AVERAGE(D19:D21)</f>
        <v>0.43566878938575</v>
      </c>
      <c r="F20" s="2" t="n">
        <f aca="false">AVERAGE(D18:D22)</f>
        <v>0.486053554958598</v>
      </c>
      <c r="G20" s="0" t="n">
        <v>78.7</v>
      </c>
      <c r="H20" s="0" t="n">
        <v>79.3</v>
      </c>
      <c r="I20" s="0" t="n">
        <v>78.36</v>
      </c>
      <c r="J20" s="0" t="n">
        <v>12.1625</v>
      </c>
      <c r="K20" s="0" t="n">
        <v>12.3875</v>
      </c>
      <c r="L20" s="0" t="n">
        <v>12.3925</v>
      </c>
      <c r="M20" s="0" t="n">
        <v>12.2666666666667</v>
      </c>
      <c r="N20" s="0" t="n">
        <v>12.5666666666667</v>
      </c>
      <c r="O20" s="0" t="n">
        <v>12.5933333333333</v>
      </c>
      <c r="Q20" s="0" t="n">
        <v>1991</v>
      </c>
      <c r="R20" s="0" t="n">
        <v>14.5</v>
      </c>
      <c r="S20" s="0" t="n">
        <v>14.5444444444444</v>
      </c>
      <c r="V20" s="2" t="n">
        <f aca="false">AVERAGE(Y18:Y22)</f>
        <v>0.0426158032705497</v>
      </c>
      <c r="W20" s="2" t="n">
        <f aca="false">AVERAGE(Y19:Y21)</f>
        <v>0.219689960550841</v>
      </c>
      <c r="X20" s="0" t="n">
        <v>1991</v>
      </c>
      <c r="Y20" s="0" t="n">
        <v>0.390191379765985</v>
      </c>
      <c r="Z20" s="0" t="n">
        <v>12.2666666666667</v>
      </c>
      <c r="AA20" s="0" t="n">
        <v>12.5666666666667</v>
      </c>
      <c r="AB20" s="0" t="n">
        <v>12.5933333333333</v>
      </c>
      <c r="AC20" s="0" t="n">
        <v>12.1625</v>
      </c>
      <c r="AD20" s="0" t="n">
        <v>12.3875</v>
      </c>
      <c r="AE20" s="0" t="n">
        <v>12.3925</v>
      </c>
      <c r="AF20" s="0" t="n">
        <v>78.7</v>
      </c>
      <c r="AG20" s="0" t="n">
        <v>79.3</v>
      </c>
      <c r="AH20" s="0" t="n">
        <v>78.36</v>
      </c>
      <c r="AI20" s="0" t="n">
        <v>1991</v>
      </c>
      <c r="AJ20" s="0" t="n">
        <v>14.5</v>
      </c>
      <c r="AK20" s="0" t="n">
        <v>14.5444444444444</v>
      </c>
    </row>
    <row collapsed="false" customFormat="false" customHeight="true" hidden="false" ht="12" outlineLevel="0" r="21">
      <c r="C21" s="0" t="n">
        <v>1990</v>
      </c>
      <c r="D21" s="0" t="n">
        <v>0.157404460731182</v>
      </c>
      <c r="E21" s="2" t="n">
        <f aca="false">AVERAGE(D20:D22)</f>
        <v>0.402917322090053</v>
      </c>
      <c r="F21" s="2" t="n">
        <f aca="false">AVERAGE(D19:D23)</f>
        <v>0.33730456560475</v>
      </c>
      <c r="G21" s="0" t="n">
        <v>78.9</v>
      </c>
      <c r="H21" s="0" t="n">
        <v>78.4833333333333</v>
      </c>
      <c r="I21" s="0" t="n">
        <v>78.97</v>
      </c>
      <c r="J21" s="0" t="n">
        <v>12.725</v>
      </c>
      <c r="K21" s="0" t="n">
        <v>12.5125</v>
      </c>
      <c r="L21" s="0" t="n">
        <v>12.66</v>
      </c>
      <c r="M21" s="0" t="n">
        <v>13</v>
      </c>
      <c r="N21" s="0" t="n">
        <v>12.8777777777778</v>
      </c>
      <c r="O21" s="0" t="n">
        <v>13</v>
      </c>
      <c r="Q21" s="0" t="n">
        <v>1990</v>
      </c>
      <c r="R21" s="0" t="n">
        <v>14.9666666666667</v>
      </c>
      <c r="S21" s="0" t="n">
        <v>15.0888888888889</v>
      </c>
      <c r="T21" s="0" t="n">
        <v>14.94</v>
      </c>
      <c r="V21" s="2" t="n">
        <f aca="false">AVERAGE(Y19:Y23)</f>
        <v>-0.111957696282532</v>
      </c>
      <c r="W21" s="2" t="n">
        <f aca="false">AVERAGE(Y20:Y22)</f>
        <v>0.280588912975637</v>
      </c>
      <c r="X21" s="0" t="n">
        <v>1990</v>
      </c>
      <c r="Y21" s="0" t="n">
        <v>0.949792653944522</v>
      </c>
      <c r="Z21" s="0" t="n">
        <v>13</v>
      </c>
      <c r="AA21" s="0" t="n">
        <v>12.8777777777778</v>
      </c>
      <c r="AB21" s="0" t="n">
        <v>13</v>
      </c>
      <c r="AC21" s="0" t="n">
        <v>12.725</v>
      </c>
      <c r="AD21" s="0" t="n">
        <v>12.5125</v>
      </c>
      <c r="AE21" s="0" t="n">
        <v>12.66</v>
      </c>
      <c r="AF21" s="0" t="n">
        <v>78.9</v>
      </c>
      <c r="AG21" s="0" t="n">
        <v>78.4833333333333</v>
      </c>
      <c r="AH21" s="0" t="n">
        <v>78.97</v>
      </c>
      <c r="AI21" s="0" t="n">
        <v>1990</v>
      </c>
      <c r="AJ21" s="0" t="n">
        <v>14.9666666666667</v>
      </c>
      <c r="AK21" s="0" t="n">
        <v>15.0888888888889</v>
      </c>
      <c r="AL21" s="0" t="n">
        <v>14.94</v>
      </c>
    </row>
    <row collapsed="false" customFormat="false" customHeight="true" hidden="false" ht="12" outlineLevel="0" r="22">
      <c r="C22" s="0" t="n">
        <v>1989</v>
      </c>
      <c r="D22" s="0" t="n">
        <v>0.396067090973483</v>
      </c>
      <c r="E22" s="2" t="n">
        <f aca="false">AVERAGE(D21:D23)</f>
        <v>0.178973640199227</v>
      </c>
      <c r="F22" s="2" t="n">
        <f aca="false">AVERAGE(D20:D24)</f>
        <v>0.208456339809203</v>
      </c>
      <c r="G22" s="0" t="n">
        <v>77.85</v>
      </c>
      <c r="H22" s="0" t="n">
        <v>78.6166666666667</v>
      </c>
      <c r="I22" s="0" t="n">
        <v>78.93</v>
      </c>
      <c r="J22" s="0" t="n">
        <v>12.65</v>
      </c>
      <c r="K22" s="0" t="n">
        <v>12.9541666666667</v>
      </c>
      <c r="L22" s="0" t="n">
        <v>12.8225</v>
      </c>
      <c r="M22" s="0" t="n">
        <v>13.3666666666667</v>
      </c>
      <c r="N22" s="0" t="n">
        <v>13.4333333333333</v>
      </c>
      <c r="O22" s="0" t="n">
        <v>13.2</v>
      </c>
      <c r="Q22" s="0" t="n">
        <v>1989</v>
      </c>
      <c r="R22" s="0" t="n">
        <v>15.8</v>
      </c>
      <c r="S22" s="0" t="n">
        <v>15.3444444444444</v>
      </c>
      <c r="T22" s="0" t="n">
        <v>15.0466666666667</v>
      </c>
      <c r="V22" s="2" t="n">
        <f aca="false">AVERAGE(Y20:Y24)</f>
        <v>-0.0167802671255483</v>
      </c>
      <c r="W22" s="2" t="n">
        <f aca="false">AVERAGE(Y21:Y23)</f>
        <v>-0.0896885697068879</v>
      </c>
      <c r="X22" s="0" t="n">
        <v>1989</v>
      </c>
      <c r="Y22" s="0" t="n">
        <v>-0.498217294783597</v>
      </c>
      <c r="Z22" s="0" t="n">
        <v>13.3666666666667</v>
      </c>
      <c r="AA22" s="0" t="n">
        <v>13.4333333333333</v>
      </c>
      <c r="AB22" s="0" t="n">
        <v>13.2</v>
      </c>
      <c r="AC22" s="0" t="n">
        <v>12.65</v>
      </c>
      <c r="AD22" s="0" t="n">
        <v>12.9541666666667</v>
      </c>
      <c r="AE22" s="0" t="n">
        <v>12.8225</v>
      </c>
      <c r="AF22" s="0" t="n">
        <v>77.85</v>
      </c>
      <c r="AG22" s="0" t="n">
        <v>78.6166666666667</v>
      </c>
      <c r="AH22" s="0" t="n">
        <v>78.93</v>
      </c>
      <c r="AI22" s="0" t="n">
        <v>1989</v>
      </c>
      <c r="AJ22" s="0" t="n">
        <v>15.8</v>
      </c>
      <c r="AK22" s="0" t="n">
        <v>15.3444444444444</v>
      </c>
      <c r="AL22" s="0" t="n">
        <v>15.0466666666667</v>
      </c>
    </row>
    <row collapsed="false" customFormat="false" customHeight="true" hidden="false" ht="12" outlineLevel="0" r="23">
      <c r="C23" s="0" t="n">
        <v>1988</v>
      </c>
      <c r="D23" s="0" t="n">
        <v>-0.0165506311069828</v>
      </c>
      <c r="E23" s="2" t="n">
        <f aca="false">AVERAGE(D22:D24)</f>
        <v>0.0765322745831129</v>
      </c>
      <c r="F23" s="2" t="n">
        <f aca="false">AVERAGE(D21:D25)</f>
        <v>0.0465817739528901</v>
      </c>
      <c r="G23" s="0" t="n">
        <v>79.1</v>
      </c>
      <c r="H23" s="0" t="n">
        <v>79.0166666666667</v>
      </c>
      <c r="I23" s="0" t="n">
        <v>79.07</v>
      </c>
      <c r="J23" s="0" t="n">
        <v>13.4875</v>
      </c>
      <c r="K23" s="0" t="n">
        <v>13.075</v>
      </c>
      <c r="L23" s="0" t="n">
        <v>12.8925</v>
      </c>
      <c r="M23" s="0" t="n">
        <v>13.9333333333333</v>
      </c>
      <c r="N23" s="0" t="n">
        <v>13.5777777777778</v>
      </c>
      <c r="O23" s="0" t="n">
        <v>13.3666666666667</v>
      </c>
      <c r="Q23" s="0" t="n">
        <v>1988</v>
      </c>
      <c r="R23" s="0" t="n">
        <v>15.2666666666667</v>
      </c>
      <c r="S23" s="0" t="n">
        <v>15.2555555555556</v>
      </c>
      <c r="T23" s="0" t="n">
        <v>15.0666666666667</v>
      </c>
      <c r="V23" s="2" t="n">
        <f aca="false">AVERAGE(Y21:Y25)</f>
        <v>-0.0940865260930163</v>
      </c>
      <c r="W23" s="2" t="n">
        <f aca="false">AVERAGE(Y22:Y24)</f>
        <v>-0.474628456446083</v>
      </c>
      <c r="X23" s="0" t="n">
        <v>1988</v>
      </c>
      <c r="Y23" s="0" t="n">
        <v>-0.720641068281589</v>
      </c>
      <c r="Z23" s="0" t="n">
        <v>13.9333333333333</v>
      </c>
      <c r="AA23" s="0" t="n">
        <v>13.5777777777778</v>
      </c>
      <c r="AB23" s="0" t="n">
        <v>13.3666666666667</v>
      </c>
      <c r="AC23" s="0" t="n">
        <v>13.4875</v>
      </c>
      <c r="AD23" s="0" t="n">
        <v>13.075</v>
      </c>
      <c r="AE23" s="0" t="n">
        <v>12.8925</v>
      </c>
      <c r="AF23" s="0" t="n">
        <v>79.1</v>
      </c>
      <c r="AG23" s="0" t="n">
        <v>79.0166666666667</v>
      </c>
      <c r="AH23" s="0" t="n">
        <v>79.07</v>
      </c>
      <c r="AI23" s="0" t="n">
        <v>1988</v>
      </c>
      <c r="AJ23" s="0" t="n">
        <v>15.2666666666667</v>
      </c>
      <c r="AK23" s="0" t="n">
        <v>15.2555555555556</v>
      </c>
      <c r="AL23" s="0" t="n">
        <v>15.0666666666667</v>
      </c>
    </row>
    <row collapsed="false" customFormat="false" customHeight="true" hidden="false" ht="12" outlineLevel="0" r="24">
      <c r="C24" s="0" t="n">
        <v>1987</v>
      </c>
      <c r="D24" s="0" t="n">
        <v>-0.149919636117161</v>
      </c>
      <c r="E24" s="2" t="n">
        <f aca="false">AVERAGE(D23:D25)</f>
        <v>-0.106854227313405</v>
      </c>
      <c r="F24" s="2" t="n">
        <f aca="false">AVERAGE(D22:D26)</f>
        <v>0.0123323742275663</v>
      </c>
      <c r="G24" s="0" t="n">
        <v>80.1</v>
      </c>
      <c r="H24" s="0" t="n">
        <v>79.5333333333333</v>
      </c>
      <c r="I24" s="0" t="n">
        <v>79.15</v>
      </c>
      <c r="J24" s="0" t="n">
        <v>13.0875</v>
      </c>
      <c r="K24" s="0" t="n">
        <v>13.0291666666667</v>
      </c>
      <c r="L24" s="0" t="n">
        <v>12.95</v>
      </c>
      <c r="M24" s="0" t="n">
        <v>13.4333333333333</v>
      </c>
      <c r="N24" s="0" t="n">
        <v>13.4888888888889</v>
      </c>
      <c r="O24" s="0" t="n">
        <v>13.44</v>
      </c>
      <c r="Q24" s="0" t="n">
        <v>1987</v>
      </c>
      <c r="R24" s="0" t="n">
        <v>14.7</v>
      </c>
      <c r="S24" s="0" t="n">
        <v>14.8555555555556</v>
      </c>
      <c r="T24" s="0" t="n">
        <v>14.9133333333333</v>
      </c>
      <c r="V24" s="2" t="n">
        <f aca="false">AVERAGE(Y22:Y26)</f>
        <v>-0.443590085215116</v>
      </c>
      <c r="W24" s="2" t="n">
        <f aca="false">AVERAGE(Y23:Y25)</f>
        <v>-0.307335996542002</v>
      </c>
      <c r="X24" s="0" t="n">
        <v>1987</v>
      </c>
      <c r="Y24" s="0" t="n">
        <v>-0.205027006273063</v>
      </c>
      <c r="Z24" s="0" t="n">
        <v>13.4333333333333</v>
      </c>
      <c r="AA24" s="0" t="n">
        <v>13.4888888888889</v>
      </c>
      <c r="AB24" s="0" t="n">
        <v>13.44</v>
      </c>
      <c r="AC24" s="0" t="n">
        <v>13.0875</v>
      </c>
      <c r="AD24" s="0" t="n">
        <v>13.0291666666667</v>
      </c>
      <c r="AE24" s="0" t="n">
        <v>12.95</v>
      </c>
      <c r="AF24" s="0" t="n">
        <v>80.1</v>
      </c>
      <c r="AG24" s="0" t="n">
        <v>79.5333333333333</v>
      </c>
      <c r="AH24" s="0" t="n">
        <v>79.15</v>
      </c>
      <c r="AI24" s="0" t="n">
        <v>1987</v>
      </c>
      <c r="AJ24" s="0" t="n">
        <v>14.7</v>
      </c>
      <c r="AK24" s="0" t="n">
        <v>14.8555555555556</v>
      </c>
      <c r="AL24" s="0" t="n">
        <v>14.9133333333333</v>
      </c>
    </row>
    <row collapsed="false" customFormat="false" customHeight="true" hidden="false" ht="12" outlineLevel="0" r="25">
      <c r="C25" s="0" t="n">
        <v>1986</v>
      </c>
      <c r="D25" s="0" t="n">
        <v>-0.15409241471607</v>
      </c>
      <c r="E25" s="2" t="n">
        <f aca="false">AVERAGE(D24:D26)</f>
        <v>-0.105951529576223</v>
      </c>
      <c r="F25" s="2" t="n">
        <f aca="false">AVERAGE(D23:D27)</f>
        <v>-0.100142480606787</v>
      </c>
      <c r="G25" s="0" t="n">
        <v>79.4</v>
      </c>
      <c r="H25" s="0" t="n">
        <v>79.6</v>
      </c>
      <c r="I25" s="0" t="n">
        <v>79.61</v>
      </c>
      <c r="J25" s="0" t="n">
        <v>12.5125</v>
      </c>
      <c r="K25" s="0" t="n">
        <v>12.8708333333333</v>
      </c>
      <c r="L25" s="0" t="n">
        <v>13.11</v>
      </c>
      <c r="M25" s="0" t="n">
        <v>13.1</v>
      </c>
      <c r="N25" s="0" t="n">
        <v>13.3</v>
      </c>
      <c r="O25" s="0" t="n">
        <v>13.46</v>
      </c>
      <c r="Q25" s="0" t="n">
        <v>1986</v>
      </c>
      <c r="R25" s="0" t="n">
        <v>14.6</v>
      </c>
      <c r="S25" s="0" t="n">
        <v>14.5</v>
      </c>
      <c r="T25" s="0" t="n">
        <v>14.6466666666667</v>
      </c>
      <c r="V25" s="2" t="n">
        <f aca="false">AVERAGE(Y23:Y27)</f>
        <v>-0.291683742360981</v>
      </c>
      <c r="W25" s="2" t="n">
        <f aca="false">AVERAGE(Y24:Y26)</f>
        <v>-0.333030687670132</v>
      </c>
      <c r="X25" s="0" t="n">
        <v>1986</v>
      </c>
      <c r="Y25" s="0" t="n">
        <v>0.00366008492864509</v>
      </c>
      <c r="Z25" s="0" t="n">
        <v>13.1</v>
      </c>
      <c r="AA25" s="0" t="n">
        <v>13.3</v>
      </c>
      <c r="AB25" s="0" t="n">
        <v>13.46</v>
      </c>
      <c r="AC25" s="0" t="n">
        <v>12.5125</v>
      </c>
      <c r="AD25" s="0" t="n">
        <v>12.8708333333333</v>
      </c>
      <c r="AE25" s="0" t="n">
        <v>13.11</v>
      </c>
      <c r="AF25" s="0" t="n">
        <v>79.4</v>
      </c>
      <c r="AG25" s="0" t="n">
        <v>79.6</v>
      </c>
      <c r="AH25" s="0" t="n">
        <v>79.61</v>
      </c>
      <c r="AI25" s="0" t="n">
        <v>1986</v>
      </c>
      <c r="AJ25" s="0" t="n">
        <v>14.6</v>
      </c>
      <c r="AK25" s="0" t="n">
        <v>14.5</v>
      </c>
      <c r="AL25" s="0" t="n">
        <v>14.6466666666667</v>
      </c>
    </row>
    <row collapsed="false" customFormat="false" customHeight="true" hidden="false" ht="12" outlineLevel="0" r="26">
      <c r="C26" s="0" t="n">
        <v>1985</v>
      </c>
      <c r="D26" s="0" t="n">
        <v>-0.013842537895437</v>
      </c>
      <c r="E26" s="2" t="n">
        <f aca="false">AVERAGE(D25:D27)</f>
        <v>-0.111414045269931</v>
      </c>
      <c r="F26" s="2" t="n">
        <f aca="false">AVERAGE(D24:D28)</f>
        <v>-0.261190633747636</v>
      </c>
      <c r="G26" s="0" t="n">
        <v>79.3</v>
      </c>
      <c r="H26" s="0" t="n">
        <v>79.6166666666667</v>
      </c>
      <c r="I26" s="0" t="n">
        <v>80.53</v>
      </c>
      <c r="J26" s="0" t="n">
        <v>13.0125</v>
      </c>
      <c r="K26" s="0" t="n">
        <v>12.9916666666667</v>
      </c>
      <c r="L26" s="0" t="n">
        <v>12.9525</v>
      </c>
      <c r="M26" s="0" t="n">
        <v>13.3666666666667</v>
      </c>
      <c r="N26" s="0" t="n">
        <v>13.3111111111111</v>
      </c>
      <c r="O26" s="0" t="n">
        <v>13.4133333333333</v>
      </c>
      <c r="Q26" s="0" t="n">
        <v>1985</v>
      </c>
      <c r="R26" s="0" t="n">
        <v>14.2</v>
      </c>
      <c r="S26" s="0" t="n">
        <v>14.4222222222222</v>
      </c>
      <c r="T26" s="0" t="n">
        <v>14.5266666666667</v>
      </c>
      <c r="V26" s="2" t="n">
        <f aca="false">AVERAGE(Y24:Y28)</f>
        <v>-0.174332352093902</v>
      </c>
      <c r="W26" s="2" t="n">
        <f aca="false">AVERAGE(Y25:Y27)</f>
        <v>-0.177583545750084</v>
      </c>
      <c r="X26" s="0" t="n">
        <v>1985</v>
      </c>
      <c r="Y26" s="0" t="n">
        <v>-0.797725141665978</v>
      </c>
      <c r="Z26" s="0" t="n">
        <v>13.3666666666667</v>
      </c>
      <c r="AA26" s="0" t="n">
        <v>13.3111111111111</v>
      </c>
      <c r="AB26" s="0" t="n">
        <v>13.4133333333333</v>
      </c>
      <c r="AC26" s="0" t="n">
        <v>13.0125</v>
      </c>
      <c r="AD26" s="0" t="n">
        <v>12.9916666666667</v>
      </c>
      <c r="AE26" s="0" t="n">
        <v>12.9525</v>
      </c>
      <c r="AF26" s="0" t="n">
        <v>79.3</v>
      </c>
      <c r="AG26" s="0" t="n">
        <v>79.6166666666667</v>
      </c>
      <c r="AH26" s="0" t="n">
        <v>80.53</v>
      </c>
      <c r="AI26" s="0" t="n">
        <v>1985</v>
      </c>
      <c r="AJ26" s="0" t="n">
        <v>14.2</v>
      </c>
      <c r="AK26" s="0" t="n">
        <v>14.4222222222222</v>
      </c>
      <c r="AL26" s="0" t="n">
        <v>14.5266666666667</v>
      </c>
    </row>
    <row collapsed="false" customFormat="false" customHeight="true" hidden="false" ht="12" outlineLevel="0" r="27">
      <c r="C27" s="0" t="n">
        <v>1984</v>
      </c>
      <c r="D27" s="0" t="n">
        <v>-0.166307183198284</v>
      </c>
      <c r="E27" s="2" t="n">
        <f aca="false">AVERAGE(D26:D28)</f>
        <v>-0.333980372634982</v>
      </c>
      <c r="F27" s="2" t="n">
        <f aca="false">AVERAGE(D25:D29)</f>
        <v>-0.265079962943144</v>
      </c>
      <c r="G27" s="0" t="n">
        <v>80.15</v>
      </c>
      <c r="H27" s="0" t="n">
        <v>81.05</v>
      </c>
      <c r="I27" s="0" t="n">
        <v>80.76</v>
      </c>
      <c r="J27" s="0" t="n">
        <v>13.45</v>
      </c>
      <c r="K27" s="0" t="n">
        <v>13.0541666666667</v>
      </c>
      <c r="L27" s="0" t="n">
        <v>12.7675</v>
      </c>
      <c r="M27" s="0" t="n">
        <v>13.4666666666667</v>
      </c>
      <c r="N27" s="0" t="n">
        <v>13.5111111111111</v>
      </c>
      <c r="O27" s="0" t="n">
        <v>13.28</v>
      </c>
      <c r="Q27" s="0" t="n">
        <v>1984</v>
      </c>
      <c r="R27" s="0" t="n">
        <v>14.4666666666667</v>
      </c>
      <c r="S27" s="0" t="n">
        <v>14.4444444444444</v>
      </c>
      <c r="T27" s="0" t="n">
        <v>14.38</v>
      </c>
      <c r="V27" s="2" t="n">
        <f aca="false">AVERAGE(Y25:Y29)</f>
        <v>-0.0568759712027146</v>
      </c>
      <c r="W27" s="2" t="n">
        <f aca="false">AVERAGE(Y26:Y28)</f>
        <v>-0.223431613041697</v>
      </c>
      <c r="X27" s="0" t="n">
        <v>1984</v>
      </c>
      <c r="Y27" s="0" t="n">
        <v>0.26131441948708</v>
      </c>
      <c r="Z27" s="0" t="n">
        <v>13.4666666666667</v>
      </c>
      <c r="AA27" s="0" t="n">
        <v>13.5111111111111</v>
      </c>
      <c r="AB27" s="0" t="n">
        <v>13.28</v>
      </c>
      <c r="AC27" s="0" t="n">
        <v>13.45</v>
      </c>
      <c r="AD27" s="0" t="n">
        <v>13.0541666666667</v>
      </c>
      <c r="AE27" s="0" t="n">
        <v>12.7675</v>
      </c>
      <c r="AF27" s="0" t="n">
        <v>80.15</v>
      </c>
      <c r="AG27" s="0" t="n">
        <v>81.05</v>
      </c>
      <c r="AH27" s="0" t="n">
        <v>80.76</v>
      </c>
      <c r="AI27" s="0" t="n">
        <v>1984</v>
      </c>
      <c r="AJ27" s="0" t="n">
        <v>14.4666666666667</v>
      </c>
      <c r="AK27" s="0" t="n">
        <v>14.4444444444444</v>
      </c>
      <c r="AL27" s="0" t="n">
        <v>14.38</v>
      </c>
    </row>
    <row collapsed="false" customFormat="false" customHeight="true" hidden="false" ht="12" outlineLevel="0" r="28">
      <c r="C28" s="0" t="n">
        <v>1983</v>
      </c>
      <c r="D28" s="0" t="n">
        <v>-0.821791396811226</v>
      </c>
      <c r="E28" s="2" t="n">
        <f aca="false">AVERAGE(D27:D29)</f>
        <v>-0.385821620701405</v>
      </c>
      <c r="G28" s="0" t="n">
        <v>83.7</v>
      </c>
      <c r="H28" s="0" t="n">
        <v>81.7</v>
      </c>
      <c r="I28" s="0" t="n">
        <v>80.72</v>
      </c>
      <c r="J28" s="0" t="n">
        <v>12.7</v>
      </c>
      <c r="K28" s="0" t="n">
        <v>12.7708333333333</v>
      </c>
      <c r="L28" s="0" t="n">
        <v>12.845</v>
      </c>
      <c r="M28" s="0" t="n">
        <v>13.7</v>
      </c>
      <c r="N28" s="0" t="n">
        <v>13.3111111111111</v>
      </c>
      <c r="Q28" s="0" t="n">
        <v>1983</v>
      </c>
      <c r="R28" s="0" t="n">
        <v>14.6666666666667</v>
      </c>
      <c r="S28" s="0" t="n">
        <v>14.3666666666667</v>
      </c>
      <c r="T28" s="0" t="n">
        <v>14.2533333333333</v>
      </c>
      <c r="V28" s="2" t="n">
        <f aca="false">AVERAGE(Y26:Y30)</f>
        <v>0.00972647368146343</v>
      </c>
      <c r="W28" s="2" t="n">
        <f aca="false">AVERAGE(Y27:Y29)</f>
        <v>0.16989506690792</v>
      </c>
      <c r="X28" s="0" t="n">
        <v>1983</v>
      </c>
      <c r="Y28" s="0" t="n">
        <v>-0.133884116946192</v>
      </c>
      <c r="Z28" s="0" t="n">
        <v>13.7</v>
      </c>
      <c r="AA28" s="0" t="n">
        <v>13.3111111111111</v>
      </c>
      <c r="AB28" s="0" t="n">
        <v>13.24</v>
      </c>
      <c r="AC28" s="0" t="n">
        <v>12.7</v>
      </c>
      <c r="AD28" s="0" t="n">
        <v>12.7708333333333</v>
      </c>
      <c r="AE28" s="0" t="n">
        <v>12.845</v>
      </c>
      <c r="AF28" s="0" t="n">
        <v>83.7</v>
      </c>
      <c r="AG28" s="0" t="n">
        <v>81.7</v>
      </c>
      <c r="AH28" s="0" t="n">
        <v>80.72</v>
      </c>
      <c r="AI28" s="0" t="n">
        <v>1983</v>
      </c>
      <c r="AJ28" s="0" t="n">
        <v>14.6666666666667</v>
      </c>
      <c r="AK28" s="0" t="n">
        <v>14.3666666666667</v>
      </c>
      <c r="AL28" s="0" t="n">
        <v>14.2533333333333</v>
      </c>
    </row>
    <row collapsed="false" customFormat="false" customHeight="true" hidden="false" ht="12" outlineLevel="0" r="29">
      <c r="C29" s="0" t="n">
        <v>1982</v>
      </c>
      <c r="D29" s="0" t="n">
        <v>-0.169366282094703</v>
      </c>
      <c r="G29" s="0" t="n">
        <v>81.25</v>
      </c>
      <c r="H29" s="0" t="n">
        <v>81.3833333333333</v>
      </c>
      <c r="I29" s="0" t="n">
        <v>80.94</v>
      </c>
      <c r="J29" s="0" t="n">
        <v>12.1625</v>
      </c>
      <c r="K29" s="0" t="n">
        <v>12.5875</v>
      </c>
      <c r="L29" s="0" t="n">
        <v>12.7775</v>
      </c>
      <c r="M29" s="0" t="n">
        <v>12.7666666666667</v>
      </c>
      <c r="Q29" s="0" t="n">
        <v>1982</v>
      </c>
      <c r="R29" s="0" t="n">
        <v>13.9666666666667</v>
      </c>
      <c r="S29" s="0" t="n">
        <v>14.2</v>
      </c>
      <c r="T29" s="0" t="n">
        <v>14.3066666666667</v>
      </c>
      <c r="V29" s="2" t="n">
        <f aca="false">AVERAGE(Y27:Y31)</f>
        <v>0.147891715545135</v>
      </c>
      <c r="W29" s="2" t="n">
        <f aca="false">AVERAGE(Y28:Y30)</f>
        <v>0.195014363528738</v>
      </c>
      <c r="X29" s="0" t="n">
        <v>1982</v>
      </c>
      <c r="Y29" s="0" t="n">
        <v>0.382254898182872</v>
      </c>
      <c r="Z29" s="0" t="n">
        <v>12.7666666666667</v>
      </c>
      <c r="AA29" s="0" t="n">
        <v>13.1222222222222</v>
      </c>
      <c r="AB29" s="0" t="n">
        <v>13.2133333333333</v>
      </c>
      <c r="AC29" s="0" t="n">
        <v>12.1625</v>
      </c>
      <c r="AD29" s="0" t="n">
        <v>12.5875</v>
      </c>
      <c r="AE29" s="0" t="n">
        <v>12.7775</v>
      </c>
      <c r="AF29" s="0" t="n">
        <v>81.25</v>
      </c>
      <c r="AG29" s="0" t="n">
        <v>81.3833333333333</v>
      </c>
      <c r="AH29" s="0" t="n">
        <v>80.94</v>
      </c>
      <c r="AI29" s="0" t="n">
        <v>1982</v>
      </c>
      <c r="AJ29" s="0" t="n">
        <v>13.9666666666667</v>
      </c>
      <c r="AK29" s="0" t="n">
        <v>14.2</v>
      </c>
      <c r="AL29" s="0" t="n">
        <v>14.3066666666667</v>
      </c>
    </row>
    <row collapsed="false" customFormat="false" customHeight="true" hidden="false" ht="12" outlineLevel="0" r="30">
      <c r="G30" s="0" t="n">
        <v>79.2</v>
      </c>
      <c r="H30" s="0" t="n">
        <v>80.2833333333333</v>
      </c>
      <c r="I30" s="0" t="n">
        <v>81.1</v>
      </c>
      <c r="J30" s="0" t="n">
        <v>12.9</v>
      </c>
      <c r="K30" s="0" t="n">
        <v>12.5791666666667</v>
      </c>
      <c r="L30" s="0" t="n">
        <v>12.7125</v>
      </c>
      <c r="M30" s="0" t="n">
        <v>12.9</v>
      </c>
      <c r="Q30" s="0" t="n">
        <v>1981</v>
      </c>
      <c r="R30" s="0" t="n">
        <v>13.9666666666667</v>
      </c>
      <c r="S30" s="0" t="n">
        <v>14.1333333333333</v>
      </c>
      <c r="T30" s="0" t="n">
        <v>14.3133333333333</v>
      </c>
      <c r="V30" s="2" t="n">
        <f aca="false">AVERAGE(Y28:Y32)</f>
        <v>0.110225411696211</v>
      </c>
      <c r="W30" s="2" t="n">
        <f aca="false">AVERAGE(Y29:Y31)</f>
        <v>0.204009425061595</v>
      </c>
      <c r="X30" s="0" t="n">
        <v>1981</v>
      </c>
      <c r="Y30" s="0" t="n">
        <v>0.336672309349535</v>
      </c>
      <c r="Z30" s="0" t="n">
        <v>12.9</v>
      </c>
      <c r="AA30" s="0" t="n">
        <v>12.9666666666667</v>
      </c>
      <c r="AB30" s="0" t="n">
        <v>13.2266666666667</v>
      </c>
      <c r="AC30" s="0" t="n">
        <v>12.9</v>
      </c>
      <c r="AD30" s="0" t="n">
        <v>12.5791666666667</v>
      </c>
      <c r="AE30" s="0" t="n">
        <v>12.7125</v>
      </c>
      <c r="AF30" s="0" t="n">
        <v>79.2</v>
      </c>
      <c r="AG30" s="0" t="n">
        <v>80.2833333333333</v>
      </c>
      <c r="AH30" s="0" t="n">
        <v>81.1</v>
      </c>
      <c r="AI30" s="0" t="n">
        <v>1981</v>
      </c>
      <c r="AJ30" s="0" t="n">
        <v>13.9666666666667</v>
      </c>
      <c r="AK30" s="0" t="n">
        <v>14.1333333333333</v>
      </c>
      <c r="AL30" s="0" t="n">
        <v>14.3133333333333</v>
      </c>
    </row>
    <row collapsed="false" customFormat="false" customHeight="true" hidden="false" ht="12" outlineLevel="0" r="31">
      <c r="D31" s="0" t="s">
        <v>27</v>
      </c>
      <c r="E31" s="2" t="n">
        <f aca="false">CORREL(D2:D29,G2:G29)</f>
        <v>-0.709104942695742</v>
      </c>
      <c r="G31" s="0" t="n">
        <v>80.4</v>
      </c>
      <c r="H31" s="0" t="n">
        <v>80.1833333333333</v>
      </c>
      <c r="I31" s="0" t="n">
        <v>79.98</v>
      </c>
      <c r="J31" s="0" t="n">
        <v>12.675</v>
      </c>
      <c r="K31" s="0" t="n">
        <v>12.9</v>
      </c>
      <c r="L31" s="0" t="n">
        <v>12.66</v>
      </c>
      <c r="M31" s="0" t="n">
        <v>13.2333333333333</v>
      </c>
      <c r="Q31" s="0" t="n">
        <v>1980</v>
      </c>
      <c r="R31" s="0" t="n">
        <v>14.4666666666667</v>
      </c>
      <c r="S31" s="0" t="n">
        <v>14.3111111111111</v>
      </c>
      <c r="T31" s="0" t="n">
        <v>14.16</v>
      </c>
      <c r="V31" s="2" t="n">
        <f aca="false">AVERAGE(Y29:Y33)</f>
        <v>0.247222484781609</v>
      </c>
      <c r="W31" s="2" t="n">
        <f aca="false">AVERAGE(Y30:Y32)</f>
        <v>0.100918759081458</v>
      </c>
      <c r="X31" s="0" t="n">
        <v>1980</v>
      </c>
      <c r="Y31" s="0" t="n">
        <v>-0.106898932347621</v>
      </c>
      <c r="Z31" s="0" t="n">
        <v>13.2333333333333</v>
      </c>
      <c r="AA31" s="0" t="n">
        <v>13.2222222222222</v>
      </c>
      <c r="AB31" s="0" t="n">
        <v>12.9866666666667</v>
      </c>
      <c r="AC31" s="0" t="n">
        <v>12.675</v>
      </c>
      <c r="AD31" s="0" t="n">
        <v>12.9</v>
      </c>
      <c r="AE31" s="0" t="n">
        <v>12.66</v>
      </c>
      <c r="AF31" s="0" t="n">
        <v>80.4</v>
      </c>
      <c r="AG31" s="0" t="n">
        <v>80.1833333333333</v>
      </c>
      <c r="AH31" s="0" t="n">
        <v>79.98</v>
      </c>
      <c r="AI31" s="0" t="n">
        <v>1980</v>
      </c>
      <c r="AJ31" s="0" t="n">
        <v>14.4666666666667</v>
      </c>
      <c r="AK31" s="0" t="n">
        <v>14.3111111111111</v>
      </c>
      <c r="AL31" s="0" t="n">
        <v>14.16</v>
      </c>
    </row>
    <row collapsed="false" customFormat="false" customHeight="true" hidden="false" ht="12" outlineLevel="0" r="32">
      <c r="D32" s="0" t="s">
        <v>287</v>
      </c>
      <c r="E32" s="2" t="n">
        <f aca="false">CORREL(E3:E28,H3:H28)</f>
        <v>-0.745206458988732</v>
      </c>
      <c r="G32" s="0" t="n">
        <v>80.95</v>
      </c>
      <c r="H32" s="0" t="n">
        <v>79.8166666666667</v>
      </c>
      <c r="I32" s="0" t="n">
        <v>79.53</v>
      </c>
      <c r="J32" s="0" t="n">
        <v>13.125</v>
      </c>
      <c r="K32" s="0" t="n">
        <v>12.7458333333333</v>
      </c>
      <c r="L32" s="0" t="n">
        <v>12.58</v>
      </c>
      <c r="M32" s="0" t="n">
        <v>13.5333333333333</v>
      </c>
      <c r="Q32" s="0" t="n">
        <v>1979</v>
      </c>
      <c r="R32" s="0" t="n">
        <v>14.5</v>
      </c>
      <c r="S32" s="0" t="n">
        <v>14.2888888888889</v>
      </c>
      <c r="T32" s="0" t="n">
        <v>13.9466666666667</v>
      </c>
      <c r="V32" s="2" t="n">
        <f aca="false">AVERAGE(Y30:Y34)</f>
        <v>0.0911139476844049</v>
      </c>
      <c r="W32" s="2" t="n">
        <f aca="false">AVERAGE(Y31:Y33)</f>
        <v>0.172395072125213</v>
      </c>
      <c r="X32" s="0" t="n">
        <v>1979</v>
      </c>
      <c r="Y32" s="0" t="n">
        <v>0.0729829002424595</v>
      </c>
      <c r="Z32" s="0" t="n">
        <v>13.5333333333333</v>
      </c>
      <c r="AA32" s="0" t="n">
        <v>13.0888888888889</v>
      </c>
      <c r="AB32" s="0" t="n">
        <v>12.7866666666667</v>
      </c>
      <c r="AC32" s="0" t="n">
        <v>13.125</v>
      </c>
      <c r="AD32" s="0" t="n">
        <v>12.7458333333333</v>
      </c>
      <c r="AE32" s="0" t="n">
        <v>12.58</v>
      </c>
      <c r="AF32" s="0" t="n">
        <v>80.95</v>
      </c>
      <c r="AG32" s="0" t="n">
        <v>79.8166666666667</v>
      </c>
      <c r="AH32" s="0" t="n">
        <v>79.53</v>
      </c>
      <c r="AI32" s="0" t="n">
        <v>1979</v>
      </c>
      <c r="AJ32" s="0" t="n">
        <v>14.5</v>
      </c>
      <c r="AK32" s="0" t="n">
        <v>14.2888888888889</v>
      </c>
      <c r="AL32" s="0" t="n">
        <v>13.9466666666667</v>
      </c>
    </row>
    <row collapsed="false" customFormat="false" customHeight="true" hidden="false" ht="12" outlineLevel="0" r="33">
      <c r="D33" s="0" t="s">
        <v>288</v>
      </c>
      <c r="E33" s="2" t="n">
        <f aca="false">CORREL(F4:F27,I4:I27)</f>
        <v>-0.767511767572009</v>
      </c>
      <c r="G33" s="0" t="n">
        <v>78.1</v>
      </c>
      <c r="H33" s="0" t="n">
        <v>79.35</v>
      </c>
      <c r="I33" s="0" t="n">
        <v>80.07</v>
      </c>
      <c r="J33" s="0" t="n">
        <v>12.4375</v>
      </c>
      <c r="K33" s="0" t="n">
        <v>12.4416666666667</v>
      </c>
      <c r="L33" s="0" t="n">
        <v>12.4675</v>
      </c>
      <c r="M33" s="0" t="n">
        <v>12.5</v>
      </c>
      <c r="Q33" s="0" t="n">
        <v>1978</v>
      </c>
      <c r="R33" s="0" t="n">
        <v>13.9</v>
      </c>
      <c r="S33" s="0" t="n">
        <v>13.7666666666667</v>
      </c>
      <c r="T33" s="0" t="n">
        <v>13.9</v>
      </c>
      <c r="V33" s="2" t="n">
        <f aca="false">AVERAGE(Y31:Y35)</f>
        <v>0.0523426737950937</v>
      </c>
      <c r="W33" s="2" t="n">
        <f aca="false">AVERAGE(Y32:Y34)</f>
        <v>0.0752654538067032</v>
      </c>
      <c r="X33" s="0" t="n">
        <v>1978</v>
      </c>
      <c r="Y33" s="0" t="n">
        <v>0.551101248480799</v>
      </c>
      <c r="Z33" s="0" t="n">
        <v>12.5</v>
      </c>
      <c r="AA33" s="0" t="n">
        <v>12.6</v>
      </c>
      <c r="AB33" s="0" t="n">
        <v>12.7333333333333</v>
      </c>
      <c r="AC33" s="0" t="n">
        <v>12.4375</v>
      </c>
      <c r="AD33" s="0" t="n">
        <v>12.4416666666667</v>
      </c>
      <c r="AE33" s="0" t="n">
        <v>12.4675</v>
      </c>
      <c r="AF33" s="0" t="n">
        <v>78.1</v>
      </c>
      <c r="AG33" s="0" t="n">
        <v>79.35</v>
      </c>
      <c r="AH33" s="0" t="n">
        <v>80.07</v>
      </c>
      <c r="AI33" s="0" t="n">
        <v>1978</v>
      </c>
      <c r="AJ33" s="0" t="n">
        <v>13.9</v>
      </c>
      <c r="AK33" s="0" t="n">
        <v>13.7666666666667</v>
      </c>
      <c r="AL33" s="0" t="n">
        <v>13.9</v>
      </c>
    </row>
    <row collapsed="false" customFormat="false" customHeight="true" hidden="false" ht="12" outlineLevel="0" r="34">
      <c r="D34" s="0" t="s">
        <v>277</v>
      </c>
      <c r="E34" s="2" t="n">
        <f aca="false">CORREL(D2:D29,J2:J29)</f>
        <v>-0.283225780824292</v>
      </c>
      <c r="G34" s="0" t="n">
        <v>79</v>
      </c>
      <c r="H34" s="0" t="n">
        <v>79.6666666666667</v>
      </c>
      <c r="I34" s="0" t="n">
        <v>80.33</v>
      </c>
      <c r="J34" s="0" t="n">
        <v>11.7625</v>
      </c>
      <c r="K34" s="0" t="n">
        <v>12.1791666666667</v>
      </c>
      <c r="L34" s="0" t="n">
        <v>12.505</v>
      </c>
      <c r="M34" s="0" t="n">
        <v>11.7666666666667</v>
      </c>
      <c r="Q34" s="0" t="n">
        <v>1977</v>
      </c>
      <c r="R34" s="0" t="n">
        <v>12.9</v>
      </c>
      <c r="S34" s="0" t="n">
        <v>13.5111111111111</v>
      </c>
      <c r="T34" s="0" t="n">
        <v>13.88</v>
      </c>
      <c r="V34" s="2" t="n">
        <f aca="false">AVERAGE(Y32:Y36)</f>
        <v>0.0541805765056947</v>
      </c>
      <c r="W34" s="2" t="n">
        <f aca="false">AVERAGE(Y33:Y35)</f>
        <v>0.0985431336935432</v>
      </c>
      <c r="X34" s="0" t="n">
        <v>1977</v>
      </c>
      <c r="Y34" s="0" t="n">
        <v>-0.398287787303149</v>
      </c>
      <c r="Z34" s="0" t="n">
        <v>11.7666666666667</v>
      </c>
      <c r="AA34" s="0" t="n">
        <v>12.3</v>
      </c>
      <c r="AB34" s="0" t="n">
        <v>12.7933333333333</v>
      </c>
      <c r="AC34" s="0" t="n">
        <v>11.7625</v>
      </c>
      <c r="AD34" s="0" t="n">
        <v>12.1791666666667</v>
      </c>
      <c r="AE34" s="0" t="n">
        <v>12.505</v>
      </c>
      <c r="AF34" s="0" t="n">
        <v>79</v>
      </c>
      <c r="AG34" s="0" t="n">
        <v>79.6666666666667</v>
      </c>
      <c r="AH34" s="0" t="n">
        <v>80.33</v>
      </c>
      <c r="AI34" s="0" t="n">
        <v>1977</v>
      </c>
      <c r="AJ34" s="0" t="n">
        <v>12.9</v>
      </c>
      <c r="AK34" s="0" t="n">
        <v>13.5111111111111</v>
      </c>
      <c r="AL34" s="0" t="n">
        <v>13.88</v>
      </c>
    </row>
    <row collapsed="false" customFormat="false" customHeight="true" hidden="false" ht="12" outlineLevel="0" r="35">
      <c r="D35" s="0" t="s">
        <v>278</v>
      </c>
      <c r="E35" s="2" t="n">
        <f aca="false">CORREL(E3:E28,K3:K28)</f>
        <v>-0.567490900101225</v>
      </c>
      <c r="G35" s="0" t="n">
        <v>81.9</v>
      </c>
      <c r="H35" s="0" t="n">
        <v>80.8666666666667</v>
      </c>
      <c r="I35" s="0" t="n">
        <v>80.24</v>
      </c>
      <c r="J35" s="0" t="n">
        <v>12.3375</v>
      </c>
      <c r="K35" s="0" t="n">
        <v>12.3208333333333</v>
      </c>
      <c r="L35" s="0" t="n">
        <v>12.5425</v>
      </c>
      <c r="M35" s="0" t="n">
        <v>12.6333333333333</v>
      </c>
      <c r="Q35" s="0" t="n">
        <v>1976</v>
      </c>
      <c r="R35" s="0" t="n">
        <v>13.7333333333333</v>
      </c>
      <c r="S35" s="0" t="n">
        <v>13.6666666666667</v>
      </c>
      <c r="T35" s="0" t="n">
        <v>13.94</v>
      </c>
      <c r="V35" s="2" t="n">
        <f aca="false">AVERAGE(Y33:Y37)</f>
        <v>-0.0541154687828218</v>
      </c>
      <c r="W35" s="2" t="n">
        <f aca="false">AVERAGE(Y34:Y36)</f>
        <v>-0.117727088731595</v>
      </c>
      <c r="X35" s="0" t="n">
        <v>1976</v>
      </c>
      <c r="Y35" s="0" t="n">
        <v>0.14281593990298</v>
      </c>
      <c r="Z35" s="0" t="n">
        <v>12.6333333333333</v>
      </c>
      <c r="AA35" s="0" t="n">
        <v>12.6444444444444</v>
      </c>
      <c r="AB35" s="0" t="n">
        <v>12.8266666666667</v>
      </c>
      <c r="AC35" s="0" t="n">
        <v>12.3375</v>
      </c>
      <c r="AD35" s="0" t="n">
        <v>12.3208333333333</v>
      </c>
      <c r="AE35" s="0" t="n">
        <v>12.5425</v>
      </c>
      <c r="AF35" s="0" t="n">
        <v>81.9</v>
      </c>
      <c r="AG35" s="0" t="n">
        <v>80.8666666666667</v>
      </c>
      <c r="AH35" s="0" t="n">
        <v>80.24</v>
      </c>
      <c r="AI35" s="0" t="n">
        <v>1976</v>
      </c>
      <c r="AJ35" s="0" t="n">
        <v>13.7333333333333</v>
      </c>
      <c r="AK35" s="0" t="n">
        <v>13.6666666666667</v>
      </c>
      <c r="AL35" s="0" t="n">
        <v>13.94</v>
      </c>
    </row>
    <row collapsed="false" customFormat="false" customHeight="true" hidden="false" ht="12" outlineLevel="0" r="36">
      <c r="D36" s="0" t="s">
        <v>279</v>
      </c>
      <c r="E36" s="2" t="n">
        <f aca="false">CORREL(F4:F27,L4:L27)</f>
        <v>-0.671062123557191</v>
      </c>
      <c r="G36" s="0" t="n">
        <v>81.7</v>
      </c>
      <c r="H36" s="0" t="n">
        <v>81.3666666666667</v>
      </c>
      <c r="I36" s="0" t="n">
        <v>81.47</v>
      </c>
      <c r="J36" s="0" t="n">
        <v>12.8625</v>
      </c>
      <c r="K36" s="0" t="n">
        <v>12.8375</v>
      </c>
      <c r="L36" s="0" t="n">
        <v>12.7575</v>
      </c>
      <c r="M36" s="0" t="n">
        <v>13.5333333333333</v>
      </c>
      <c r="Q36" s="0" t="n">
        <v>1975</v>
      </c>
      <c r="R36" s="0" t="n">
        <v>14.3666666666667</v>
      </c>
      <c r="S36" s="0" t="n">
        <v>14.3</v>
      </c>
      <c r="T36" s="0" t="n">
        <v>14.16</v>
      </c>
      <c r="V36" s="2" t="n">
        <f aca="false">AVERAGE(Y34:Y38)</f>
        <v>-0.190747138958579</v>
      </c>
      <c r="W36" s="2" t="n">
        <f aca="false">AVERAGE(Y35:Y37)</f>
        <v>-0.14113026836392</v>
      </c>
      <c r="X36" s="0" t="n">
        <v>1975</v>
      </c>
      <c r="Y36" s="0" t="n">
        <v>-0.0977094187946156</v>
      </c>
      <c r="Z36" s="0" t="n">
        <v>13.5333333333333</v>
      </c>
      <c r="AA36" s="0" t="n">
        <v>13.2888888888889</v>
      </c>
      <c r="AB36" s="0" t="n">
        <v>13.2666666666667</v>
      </c>
      <c r="AC36" s="0" t="n">
        <v>12.8625</v>
      </c>
      <c r="AD36" s="0" t="n">
        <v>12.8375</v>
      </c>
      <c r="AE36" s="0" t="n">
        <v>12.7575</v>
      </c>
      <c r="AF36" s="0" t="n">
        <v>81.7</v>
      </c>
      <c r="AG36" s="0" t="n">
        <v>81.3666666666667</v>
      </c>
      <c r="AH36" s="0" t="n">
        <v>81.47</v>
      </c>
      <c r="AI36" s="0" t="n">
        <v>1975</v>
      </c>
      <c r="AJ36" s="0" t="n">
        <v>14.3666666666667</v>
      </c>
      <c r="AK36" s="0" t="n">
        <v>14.3</v>
      </c>
      <c r="AL36" s="0" t="n">
        <v>14.16</v>
      </c>
    </row>
    <row collapsed="false" customFormat="false" customHeight="true" hidden="false" ht="12" outlineLevel="0" r="37">
      <c r="D37" s="0" t="s">
        <v>280</v>
      </c>
      <c r="E37" s="2" t="n">
        <f aca="false">CORREL(D2:D29,M2:M29)</f>
        <v>-0.635214792274234</v>
      </c>
      <c r="G37" s="0" t="n">
        <v>80.5</v>
      </c>
      <c r="H37" s="0" t="n">
        <v>82.15</v>
      </c>
      <c r="I37" s="0" t="n">
        <v>81.53</v>
      </c>
      <c r="J37" s="0" t="n">
        <v>13.3125</v>
      </c>
      <c r="K37" s="0" t="n">
        <v>13.2291666666667</v>
      </c>
      <c r="L37" s="0" t="n">
        <v>12.9725</v>
      </c>
      <c r="M37" s="0" t="n">
        <v>13.7</v>
      </c>
      <c r="Q37" s="0" t="n">
        <v>1974</v>
      </c>
      <c r="R37" s="0" t="n">
        <v>14.8</v>
      </c>
      <c r="S37" s="0" t="n">
        <v>14.7222222222222</v>
      </c>
      <c r="T37" s="0" t="n">
        <v>14.6266666666667</v>
      </c>
      <c r="V37" s="2" t="n">
        <f aca="false">AVERAGE(Y35:Y39)</f>
        <v>-0.149581440319626</v>
      </c>
      <c r="W37" s="2" t="n">
        <f aca="false">AVERAGE(Y36:Y38)</f>
        <v>-0.232754615797576</v>
      </c>
      <c r="X37" s="0" t="n">
        <v>1974</v>
      </c>
      <c r="Y37" s="0" t="n">
        <v>-0.468497326200123</v>
      </c>
      <c r="Z37" s="0" t="n">
        <v>13.7</v>
      </c>
      <c r="AA37" s="0" t="n">
        <v>13.9777777777778</v>
      </c>
      <c r="AB37" s="0" t="n">
        <v>13.6933333333333</v>
      </c>
      <c r="AC37" s="0" t="n">
        <v>13.3125</v>
      </c>
      <c r="AD37" s="0" t="n">
        <v>13.2291666666667</v>
      </c>
      <c r="AE37" s="0" t="n">
        <v>12.9725</v>
      </c>
      <c r="AF37" s="0" t="n">
        <v>80.5</v>
      </c>
      <c r="AG37" s="0" t="n">
        <v>82.15</v>
      </c>
      <c r="AH37" s="0" t="n">
        <v>81.53</v>
      </c>
      <c r="AI37" s="0" t="n">
        <v>1974</v>
      </c>
      <c r="AJ37" s="0" t="n">
        <v>14.8</v>
      </c>
      <c r="AK37" s="0" t="n">
        <v>14.7222222222222</v>
      </c>
      <c r="AL37" s="0" t="n">
        <v>14.6266666666667</v>
      </c>
    </row>
    <row collapsed="false" customFormat="false" customHeight="true" hidden="false" ht="12" outlineLevel="0" r="38">
      <c r="D38" s="0" t="s">
        <v>281</v>
      </c>
      <c r="E38" s="2" t="n">
        <f aca="false">CORREL(E3:E28,N3:N28)</f>
        <v>-0.674893095166196</v>
      </c>
      <c r="G38" s="0" t="n">
        <v>84.25</v>
      </c>
      <c r="H38" s="0" t="n">
        <v>81.35</v>
      </c>
      <c r="I38" s="0" t="n">
        <v>81.48</v>
      </c>
      <c r="J38" s="0" t="n">
        <v>13.5125</v>
      </c>
      <c r="K38" s="0" t="n">
        <v>13.2208333333333</v>
      </c>
      <c r="L38" s="0" t="n">
        <v>13.175</v>
      </c>
      <c r="M38" s="0" t="n">
        <v>14.7</v>
      </c>
      <c r="Q38" s="0" t="n">
        <v>1973</v>
      </c>
      <c r="R38" s="0" t="n">
        <v>15</v>
      </c>
      <c r="S38" s="0" t="n">
        <v>15.0111111111111</v>
      </c>
      <c r="T38" s="0" t="n">
        <v>14.7666666666667</v>
      </c>
      <c r="V38" s="2" t="n">
        <f aca="false">AVERAGE(Y36:Y40)</f>
        <v>-0.133623208901842</v>
      </c>
      <c r="W38" s="2" t="n">
        <f aca="false">AVERAGE(Y37:Y39)</f>
        <v>-0.264337907568831</v>
      </c>
      <c r="X38" s="0" t="n">
        <v>1973</v>
      </c>
      <c r="Y38" s="0" t="n">
        <v>-0.132057102397988</v>
      </c>
      <c r="Z38" s="0" t="n">
        <v>14.7</v>
      </c>
      <c r="AA38" s="0" t="n">
        <v>14.1</v>
      </c>
      <c r="AB38" s="0" t="n">
        <v>13.86</v>
      </c>
      <c r="AC38" s="0" t="n">
        <v>13.5125</v>
      </c>
      <c r="AD38" s="0" t="n">
        <v>13.2208333333333</v>
      </c>
      <c r="AE38" s="0" t="n">
        <v>13.175</v>
      </c>
      <c r="AF38" s="0" t="n">
        <v>84.25</v>
      </c>
      <c r="AG38" s="0" t="n">
        <v>81.35</v>
      </c>
      <c r="AH38" s="0" t="n">
        <v>81.48</v>
      </c>
      <c r="AI38" s="0" t="n">
        <v>1973</v>
      </c>
      <c r="AJ38" s="0" t="n">
        <v>15</v>
      </c>
      <c r="AK38" s="0" t="n">
        <v>15.0111111111111</v>
      </c>
      <c r="AL38" s="0" t="n">
        <v>14.7666666666667</v>
      </c>
    </row>
    <row collapsed="false" customFormat="false" customHeight="true" hidden="false" ht="12" outlineLevel="0" r="39">
      <c r="D39" s="0" t="s">
        <v>282</v>
      </c>
      <c r="E39" s="2" t="n">
        <f aca="false">CORREL(F4:F27,O4:O27)</f>
        <v>-0.733291021408675</v>
      </c>
      <c r="G39" s="0" t="n">
        <v>79.3</v>
      </c>
      <c r="H39" s="0" t="n">
        <v>81.7333333333333</v>
      </c>
      <c r="I39" s="0" t="n">
        <v>81.81</v>
      </c>
      <c r="J39" s="0" t="n">
        <v>12.8375</v>
      </c>
      <c r="K39" s="0" t="n">
        <v>13.2333333333333</v>
      </c>
      <c r="L39" s="0" t="n">
        <v>13.2425</v>
      </c>
      <c r="M39" s="0" t="n">
        <v>13.9</v>
      </c>
      <c r="Q39" s="0" t="n">
        <v>1972</v>
      </c>
      <c r="R39" s="0" t="n">
        <v>15.2333333333333</v>
      </c>
      <c r="S39" s="0" t="n">
        <v>14.8888888888889</v>
      </c>
      <c r="T39" s="0" t="n">
        <v>14.8533333333333</v>
      </c>
      <c r="V39" s="2" t="n">
        <f aca="false">AVERAGE(Y37:Y41)</f>
        <v>-0.128205387761796</v>
      </c>
      <c r="W39" s="2" t="n">
        <f aca="false">AVERAGE(Y38:Y40)</f>
        <v>-0.0339697665048233</v>
      </c>
      <c r="X39" s="0" t="n">
        <v>1972</v>
      </c>
      <c r="Y39" s="0" t="n">
        <v>-0.192459294108382</v>
      </c>
      <c r="Z39" s="0" t="n">
        <v>13.9</v>
      </c>
      <c r="AA39" s="0" t="n">
        <v>14.0222222222222</v>
      </c>
      <c r="AB39" s="0" t="n">
        <v>13.9666666666667</v>
      </c>
      <c r="AC39" s="0" t="n">
        <v>12.8375</v>
      </c>
      <c r="AD39" s="0" t="n">
        <v>13.2333333333333</v>
      </c>
      <c r="AE39" s="0" t="n">
        <v>13.2425</v>
      </c>
      <c r="AF39" s="0" t="n">
        <v>79.3</v>
      </c>
      <c r="AG39" s="0" t="n">
        <v>81.7333333333333</v>
      </c>
      <c r="AH39" s="0" t="n">
        <v>81.81</v>
      </c>
      <c r="AI39" s="0" t="n">
        <v>1972</v>
      </c>
      <c r="AJ39" s="0" t="n">
        <v>15.2333333333333</v>
      </c>
      <c r="AK39" s="0" t="n">
        <v>14.8888888888889</v>
      </c>
      <c r="AL39" s="0" t="n">
        <v>14.8533333333333</v>
      </c>
    </row>
    <row collapsed="false" customFormat="false" customHeight="true" hidden="false" ht="12" outlineLevel="0" r="40">
      <c r="G40" s="0" t="n">
        <v>81.65</v>
      </c>
      <c r="H40" s="0" t="n">
        <v>81.4333333333333</v>
      </c>
      <c r="I40" s="0" t="n">
        <v>82.18</v>
      </c>
      <c r="J40" s="0" t="n">
        <v>13.35</v>
      </c>
      <c r="K40" s="0" t="n">
        <v>13.1291666666667</v>
      </c>
      <c r="L40" s="0" t="n">
        <v>13.19</v>
      </c>
      <c r="M40" s="0" t="n">
        <v>13.4666666666667</v>
      </c>
      <c r="Q40" s="0" t="n">
        <v>1971</v>
      </c>
      <c r="R40" s="0" t="n">
        <v>14.4333333333333</v>
      </c>
      <c r="S40" s="0" t="n">
        <v>14.8222222222222</v>
      </c>
      <c r="T40" s="0" t="n">
        <v>14.74</v>
      </c>
      <c r="V40" s="2" t="n">
        <f aca="false">AVERAGE(Y38:Y42)</f>
        <v>-0.0355208443561915</v>
      </c>
      <c r="W40" s="2" t="n">
        <f aca="false">AVERAGE(Y39:Y41)</f>
        <v>-0.0134908367369569</v>
      </c>
      <c r="X40" s="0" t="n">
        <v>1971</v>
      </c>
      <c r="Y40" s="0" t="n">
        <v>0.2226070969919</v>
      </c>
      <c r="Z40" s="0" t="n">
        <v>13.4666666666667</v>
      </c>
      <c r="AA40" s="0" t="n">
        <v>13.8111111111111</v>
      </c>
      <c r="AB40" s="0" t="n">
        <v>13.9266666666667</v>
      </c>
      <c r="AC40" s="0" t="n">
        <v>13.35</v>
      </c>
      <c r="AD40" s="0" t="n">
        <v>13.1291666666667</v>
      </c>
      <c r="AE40" s="0" t="n">
        <v>13.19</v>
      </c>
      <c r="AF40" s="0" t="n">
        <v>81.65</v>
      </c>
      <c r="AG40" s="0" t="n">
        <v>81.4333333333333</v>
      </c>
      <c r="AH40" s="0" t="n">
        <v>82.18</v>
      </c>
      <c r="AI40" s="0" t="n">
        <v>1971</v>
      </c>
      <c r="AJ40" s="0" t="n">
        <v>14.4333333333333</v>
      </c>
      <c r="AK40" s="0" t="n">
        <v>14.8222222222222</v>
      </c>
      <c r="AL40" s="0" t="n">
        <v>14.74</v>
      </c>
    </row>
    <row collapsed="false" customFormat="false" customHeight="true" hidden="false" ht="12" outlineLevel="0" r="41">
      <c r="G41" s="0" t="n">
        <v>83.35</v>
      </c>
      <c r="H41" s="0" t="n">
        <v>82.45</v>
      </c>
      <c r="I41" s="0" t="n">
        <v>81.66</v>
      </c>
      <c r="J41" s="0" t="n">
        <v>13.2</v>
      </c>
      <c r="K41" s="0" t="n">
        <v>13.2</v>
      </c>
      <c r="L41" s="0" t="n">
        <v>13.0175</v>
      </c>
      <c r="M41" s="0" t="n">
        <v>14.0666666666667</v>
      </c>
      <c r="Q41" s="0" t="n">
        <v>1970</v>
      </c>
      <c r="R41" s="0" t="n">
        <v>14.8</v>
      </c>
      <c r="S41" s="0" t="n">
        <v>14.4888888888889</v>
      </c>
      <c r="T41" s="0" t="n">
        <v>14.3333333333333</v>
      </c>
      <c r="V41" s="2" t="n">
        <f aca="false">AVERAGE(Y39:Y43)</f>
        <v>0.0495393735533777</v>
      </c>
      <c r="W41" s="2" t="n">
        <f aca="false">AVERAGE(Y40:Y42)</f>
        <v>0.0489707249084708</v>
      </c>
      <c r="X41" s="0" t="n">
        <v>1970</v>
      </c>
      <c r="Y41" s="0" t="n">
        <v>-0.0706203130943888</v>
      </c>
      <c r="Z41" s="0" t="n">
        <v>14.0666666666667</v>
      </c>
      <c r="AA41" s="0" t="n">
        <v>13.6777777777778</v>
      </c>
      <c r="AB41" s="0" t="n">
        <v>13.5133333333333</v>
      </c>
      <c r="AC41" s="0" t="n">
        <v>13.2</v>
      </c>
      <c r="AD41" s="0" t="n">
        <v>13.2</v>
      </c>
      <c r="AE41" s="0" t="n">
        <v>13.0175</v>
      </c>
      <c r="AF41" s="0" t="n">
        <v>83.35</v>
      </c>
      <c r="AG41" s="0" t="n">
        <v>82.45</v>
      </c>
      <c r="AH41" s="0" t="n">
        <v>81.66</v>
      </c>
      <c r="AI41" s="0" t="n">
        <v>1970</v>
      </c>
      <c r="AJ41" s="0" t="n">
        <v>14.8</v>
      </c>
      <c r="AK41" s="0" t="n">
        <v>14.4888888888889</v>
      </c>
      <c r="AL41" s="0" t="n">
        <v>14.3333333333333</v>
      </c>
    </row>
    <row collapsed="false" customFormat="false" customHeight="true" hidden="false" ht="12" outlineLevel="0" r="42">
      <c r="G42" s="0" t="n">
        <v>82.35</v>
      </c>
      <c r="H42" s="0" t="n">
        <v>82.45</v>
      </c>
      <c r="I42" s="0" t="n">
        <v>82.05</v>
      </c>
      <c r="J42" s="0" t="n">
        <v>13.05</v>
      </c>
      <c r="K42" s="0" t="n">
        <v>12.9666666666667</v>
      </c>
      <c r="L42" s="0" t="n">
        <v>13.1075</v>
      </c>
      <c r="M42" s="0" t="n">
        <v>13.5</v>
      </c>
      <c r="Q42" s="0" t="n">
        <v>1969</v>
      </c>
      <c r="R42" s="0" t="n">
        <v>14.2333333333333</v>
      </c>
      <c r="S42" s="0" t="n">
        <v>14</v>
      </c>
      <c r="T42" s="0" t="n">
        <v>14.2066666666667</v>
      </c>
      <c r="V42" s="2" t="n">
        <f aca="false">AVERAGE(Y40:Y44)</f>
        <v>0.0127557898440652</v>
      </c>
      <c r="W42" s="2" t="n">
        <f aca="false">AVERAGE(Y41:Y43)</f>
        <v>0.0725163549611234</v>
      </c>
      <c r="X42" s="0" t="n">
        <v>1969</v>
      </c>
      <c r="Y42" s="0" t="n">
        <v>-0.00507460917209868</v>
      </c>
      <c r="Z42" s="0" t="n">
        <v>13.5</v>
      </c>
      <c r="AA42" s="0" t="n">
        <v>13.4</v>
      </c>
      <c r="AB42" s="0" t="n">
        <v>13.52</v>
      </c>
      <c r="AC42" s="0" t="n">
        <v>13.05</v>
      </c>
      <c r="AD42" s="0" t="n">
        <v>12.9666666666667</v>
      </c>
      <c r="AE42" s="0" t="n">
        <v>13.1075</v>
      </c>
      <c r="AF42" s="0" t="n">
        <v>82.35</v>
      </c>
      <c r="AG42" s="0" t="n">
        <v>82.45</v>
      </c>
      <c r="AH42" s="0" t="n">
        <v>82.05</v>
      </c>
      <c r="AI42" s="0" t="n">
        <v>1969</v>
      </c>
      <c r="AJ42" s="0" t="n">
        <v>14.2333333333333</v>
      </c>
      <c r="AK42" s="0" t="n">
        <v>14</v>
      </c>
      <c r="AL42" s="0" t="n">
        <v>14.2066666666667</v>
      </c>
    </row>
    <row collapsed="false" customFormat="false" customHeight="true" hidden="false" ht="12" outlineLevel="0" r="43">
      <c r="G43" s="0" t="n">
        <v>81.65</v>
      </c>
      <c r="H43" s="0" t="n">
        <v>81.75</v>
      </c>
      <c r="I43" s="0" t="n">
        <v>81.66</v>
      </c>
      <c r="J43" s="0" t="n">
        <v>12.65</v>
      </c>
      <c r="K43" s="0" t="n">
        <v>12.9958333333333</v>
      </c>
      <c r="L43" s="0" t="n">
        <v>12.87</v>
      </c>
      <c r="M43" s="0" t="n">
        <v>12.6333333333333</v>
      </c>
      <c r="Q43" s="0" t="n">
        <v>1968</v>
      </c>
      <c r="R43" s="0" t="n">
        <v>12.9666666666667</v>
      </c>
      <c r="S43" s="0" t="n">
        <v>13.9333333333333</v>
      </c>
      <c r="T43" s="0" t="n">
        <v>14.0666666666667</v>
      </c>
      <c r="V43" s="2" t="n">
        <f aca="false">AVERAGE(Y41:Y45)</f>
        <v>-0.11030022101451</v>
      </c>
      <c r="W43" s="2" t="n">
        <f aca="false">AVERAGE(Y42:Y44)</f>
        <v>-0.0294026115590617</v>
      </c>
      <c r="X43" s="0" t="n">
        <v>1968</v>
      </c>
      <c r="Y43" s="0" t="n">
        <v>0.293243987149858</v>
      </c>
      <c r="Z43" s="0" t="n">
        <v>12.6333333333333</v>
      </c>
      <c r="AA43" s="0" t="n">
        <v>13.3555555555556</v>
      </c>
      <c r="AB43" s="0" t="n">
        <v>13.38</v>
      </c>
      <c r="AC43" s="0" t="n">
        <v>12.65</v>
      </c>
      <c r="AD43" s="0" t="n">
        <v>12.9958333333333</v>
      </c>
      <c r="AE43" s="0" t="n">
        <v>12.87</v>
      </c>
      <c r="AF43" s="0" t="n">
        <v>81.65</v>
      </c>
      <c r="AG43" s="0" t="n">
        <v>81.75</v>
      </c>
      <c r="AH43" s="0" t="n">
        <v>81.66</v>
      </c>
      <c r="AI43" s="0" t="n">
        <v>1968</v>
      </c>
      <c r="AJ43" s="0" t="n">
        <v>12.9666666666667</v>
      </c>
      <c r="AK43" s="0" t="n">
        <v>13.9333333333333</v>
      </c>
      <c r="AL43" s="0" t="n">
        <v>14.0666666666667</v>
      </c>
    </row>
    <row collapsed="false" customFormat="false" customHeight="true" hidden="false" ht="12" outlineLevel="0" r="44">
      <c r="G44" s="0" t="n">
        <v>81.25</v>
      </c>
      <c r="H44" s="0" t="n">
        <v>80.8666666666667</v>
      </c>
      <c r="J44" s="0" t="n">
        <v>13.2875</v>
      </c>
      <c r="K44" s="0" t="n">
        <v>12.7</v>
      </c>
      <c r="L44" s="0" t="n">
        <v>12.7614285714286</v>
      </c>
      <c r="M44" s="0" t="n">
        <v>13.9333333333333</v>
      </c>
      <c r="Q44" s="0" t="n">
        <v>1967</v>
      </c>
      <c r="R44" s="0" t="n">
        <v>14.6</v>
      </c>
      <c r="S44" s="0" t="n">
        <v>13.7666666666667</v>
      </c>
      <c r="T44" s="0" t="n">
        <v>13.84</v>
      </c>
      <c r="V44" s="2" t="n">
        <f aca="false">AVERAGE(Y42:Y46)</f>
        <v>-0.125416270348917</v>
      </c>
      <c r="W44" s="2" t="n">
        <f aca="false">AVERAGE(Y43:Y45)</f>
        <v>-0.158602060935355</v>
      </c>
      <c r="X44" s="0" t="n">
        <v>1967</v>
      </c>
      <c r="Y44" s="0" t="n">
        <v>-0.376377212654944</v>
      </c>
      <c r="Z44" s="0" t="n">
        <v>13.9333333333333</v>
      </c>
      <c r="AA44" s="0" t="n">
        <v>13.1111111111111</v>
      </c>
      <c r="AB44" s="0" t="n">
        <v>13.3166666666667</v>
      </c>
      <c r="AC44" s="0" t="n">
        <v>13.2875</v>
      </c>
      <c r="AD44" s="0" t="n">
        <v>12.7</v>
      </c>
      <c r="AE44" s="0" t="n">
        <v>12.7614285714286</v>
      </c>
      <c r="AF44" s="0" t="n">
        <v>81.25</v>
      </c>
      <c r="AG44" s="0" t="n">
        <v>80.8666666666667</v>
      </c>
      <c r="AI44" s="0" t="n">
        <v>1967</v>
      </c>
      <c r="AJ44" s="0" t="n">
        <v>14.6</v>
      </c>
      <c r="AK44" s="0" t="n">
        <v>13.7666666666667</v>
      </c>
      <c r="AL44" s="0" t="n">
        <v>13.84</v>
      </c>
    </row>
    <row collapsed="false" customFormat="false" customHeight="true" hidden="false" ht="12" outlineLevel="0" r="45">
      <c r="G45" s="0" t="n">
        <v>79.7</v>
      </c>
      <c r="J45" s="0" t="n">
        <v>12.1625</v>
      </c>
      <c r="K45" s="0" t="n">
        <v>12.702380952381</v>
      </c>
      <c r="L45" s="0" t="n">
        <v>12.7489285714286</v>
      </c>
      <c r="M45" s="0" t="n">
        <v>12.7666666666667</v>
      </c>
      <c r="Q45" s="0" t="n">
        <v>1966</v>
      </c>
      <c r="R45" s="0" t="n">
        <v>13.7333333333333</v>
      </c>
      <c r="S45" s="0" t="n">
        <v>14</v>
      </c>
      <c r="T45" s="0" t="n">
        <v>13.7533333333333</v>
      </c>
      <c r="V45" s="2" t="n">
        <f aca="false">AVERAGE(Y43:Y47)</f>
        <v>-0.136525660242467</v>
      </c>
      <c r="W45" s="2" t="n">
        <f aca="false">AVERAGE(Y44:Y46)</f>
        <v>-0.305083576574115</v>
      </c>
      <c r="X45" s="0" t="n">
        <v>1966</v>
      </c>
      <c r="Y45" s="0" t="n">
        <v>-0.392672957300978</v>
      </c>
      <c r="Z45" s="0" t="n">
        <v>12.7666666666667</v>
      </c>
      <c r="AA45" s="0" t="n">
        <v>13.4833333333333</v>
      </c>
      <c r="AB45" s="0" t="n">
        <v>13.2033333333333</v>
      </c>
      <c r="AC45" s="0" t="n">
        <v>12.1625</v>
      </c>
      <c r="AD45" s="0" t="n">
        <v>12.702380952381</v>
      </c>
      <c r="AE45" s="0" t="n">
        <v>12.7489285714286</v>
      </c>
      <c r="AF45" s="0" t="n">
        <v>79.7</v>
      </c>
      <c r="AI45" s="0" t="n">
        <v>1966</v>
      </c>
      <c r="AJ45" s="0" t="n">
        <v>13.7333333333333</v>
      </c>
      <c r="AK45" s="0" t="n">
        <v>14</v>
      </c>
      <c r="AL45" s="0" t="n">
        <v>13.7533333333333</v>
      </c>
    </row>
    <row collapsed="false" customFormat="false" customHeight="true" hidden="false" ht="12" outlineLevel="0" r="46">
      <c r="J46" s="0" t="n">
        <v>12.6571428571429</v>
      </c>
      <c r="K46" s="0" t="n">
        <v>12.602380952381</v>
      </c>
      <c r="L46" s="0" t="n">
        <v>12.6239285714286</v>
      </c>
      <c r="M46" s="0" t="n">
        <v>13.75</v>
      </c>
      <c r="Q46" s="0" t="n">
        <v>1965</v>
      </c>
      <c r="R46" s="0" t="n">
        <v>13.6666666666667</v>
      </c>
      <c r="S46" s="0" t="n">
        <v>13.7333333333333</v>
      </c>
      <c r="T46" s="0" t="n">
        <v>13.9866666666667</v>
      </c>
      <c r="V46" s="2" t="n">
        <f aca="false">AVERAGE(Y44:Y48)</f>
        <v>-0.0480360651822939</v>
      </c>
      <c r="W46" s="2" t="n">
        <f aca="false">AVERAGE(Y45:Y47)</f>
        <v>-0.199831691902416</v>
      </c>
      <c r="X46" s="0" t="n">
        <v>1965</v>
      </c>
      <c r="Y46" s="0" t="n">
        <v>-0.146200559766424</v>
      </c>
      <c r="Z46" s="0" t="n">
        <v>13.75</v>
      </c>
      <c r="AA46" s="0" t="n">
        <v>13.15</v>
      </c>
      <c r="AB46" s="0" t="n">
        <v>13.2633333333333</v>
      </c>
      <c r="AC46" s="0" t="n">
        <v>12.6571428571429</v>
      </c>
      <c r="AD46" s="0" t="n">
        <v>12.602380952381</v>
      </c>
      <c r="AE46" s="0" t="n">
        <v>12.6239285714286</v>
      </c>
      <c r="AI46" s="0" t="n">
        <v>1965</v>
      </c>
      <c r="AJ46" s="0" t="n">
        <v>13.6666666666667</v>
      </c>
      <c r="AK46" s="0" t="n">
        <v>13.7333333333333</v>
      </c>
      <c r="AL46" s="0" t="n">
        <v>13.9866666666667</v>
      </c>
    </row>
    <row collapsed="false" customFormat="false" customHeight="true" hidden="false" ht="12" outlineLevel="0" r="47">
      <c r="J47" s="0" t="n">
        <v>12.9875</v>
      </c>
      <c r="K47" s="0" t="n">
        <v>12.5565476190476</v>
      </c>
      <c r="M47" s="0" t="n">
        <v>12.9333333333333</v>
      </c>
      <c r="Q47" s="0" t="n">
        <v>1964</v>
      </c>
      <c r="R47" s="0" t="n">
        <v>13.8</v>
      </c>
      <c r="S47" s="0" t="n">
        <v>13.8666666666667</v>
      </c>
      <c r="T47" s="0" t="n">
        <v>14.0333333333333</v>
      </c>
      <c r="V47" s="2" t="n">
        <f aca="false">AVERAGE(Y45:Y49)</f>
        <v>0.0349499229395428</v>
      </c>
      <c r="W47" s="2" t="n">
        <f aca="false">AVERAGE(Y46:Y48)</f>
        <v>0.176289948014817</v>
      </c>
      <c r="X47" s="0" t="n">
        <v>1964</v>
      </c>
      <c r="Y47" s="0" t="n">
        <v>-0.0606215586398477</v>
      </c>
      <c r="Z47" s="0" t="n">
        <v>12.9333333333333</v>
      </c>
      <c r="AA47" s="0" t="n">
        <v>13.2055555555556</v>
      </c>
      <c r="AB47" s="0" t="n">
        <v>13.3966666666667</v>
      </c>
      <c r="AC47" s="0" t="n">
        <v>12.9875</v>
      </c>
      <c r="AD47" s="0" t="n">
        <v>12.5565476190476</v>
      </c>
      <c r="AI47" s="0" t="n">
        <v>1964</v>
      </c>
      <c r="AJ47" s="0" t="n">
        <v>13.8</v>
      </c>
      <c r="AK47" s="0" t="n">
        <v>13.8666666666667</v>
      </c>
      <c r="AL47" s="0" t="n">
        <v>14.0333333333333</v>
      </c>
    </row>
    <row collapsed="false" customFormat="false" customHeight="true" hidden="false" ht="12" outlineLevel="0" r="48">
      <c r="J48" s="0" t="n">
        <v>12.025</v>
      </c>
      <c r="M48" s="0" t="n">
        <v>12.9333333333333</v>
      </c>
      <c r="Q48" s="0" t="n">
        <v>1963</v>
      </c>
      <c r="R48" s="0" t="n">
        <v>14.1333333333333</v>
      </c>
      <c r="S48" s="0" t="n">
        <v>14.2555555555556</v>
      </c>
      <c r="V48" s="2" t="n">
        <f aca="false">AVERAGE(Y46:Y50)</f>
        <v>0.323825799088404</v>
      </c>
      <c r="W48" s="2" t="n">
        <f aca="false">AVERAGE(Y47:Y49)</f>
        <v>0.237874377255039</v>
      </c>
      <c r="X48" s="0" t="n">
        <v>1963</v>
      </c>
      <c r="Y48" s="0" t="n">
        <v>0.735691962450724</v>
      </c>
      <c r="Z48" s="0" t="n">
        <v>12.9333333333333</v>
      </c>
      <c r="AA48" s="0" t="n">
        <v>13.4888888888889</v>
      </c>
      <c r="AC48" s="0" t="n">
        <v>12.025</v>
      </c>
      <c r="AI48" s="0" t="n">
        <v>1963</v>
      </c>
      <c r="AJ48" s="0" t="n">
        <v>14.1333333333333</v>
      </c>
      <c r="AK48" s="0" t="n">
        <v>14.2555555555556</v>
      </c>
    </row>
    <row collapsed="false" customFormat="false" customHeight="true" hidden="false" ht="12" outlineLevel="0" r="49">
      <c r="M49" s="0" t="n">
        <v>14.6</v>
      </c>
      <c r="Q49" s="0" t="n">
        <v>1962</v>
      </c>
      <c r="R49" s="0" t="n">
        <v>14.8333333333333</v>
      </c>
      <c r="V49" s="2" t="n">
        <f aca="false">AVERAGE(Y47:Y51)</f>
        <v>0.117117516550482</v>
      </c>
      <c r="W49" s="2" t="n">
        <f aca="false">AVERAGE(Y48:Y50)</f>
        <v>0.608650371282765</v>
      </c>
      <c r="X49" s="0" t="n">
        <v>1962</v>
      </c>
      <c r="Y49" s="0" t="n">
        <v>0.0385527279542394</v>
      </c>
      <c r="Z49" s="0" t="n">
        <v>14.6</v>
      </c>
      <c r="AI49" s="0" t="n">
        <v>1962</v>
      </c>
      <c r="AJ49" s="0" t="n">
        <v>14.8333333333333</v>
      </c>
    </row>
    <row collapsed="false" customFormat="false" customHeight="true" hidden="false" ht="12" outlineLevel="0" r="50">
      <c r="W50" s="2" t="n">
        <f aca="false">AVERAGE(Y49:Y51)</f>
        <v>-0.0298276070194883</v>
      </c>
      <c r="X50" s="0" t="n">
        <v>1961</v>
      </c>
      <c r="Y50" s="0" t="n">
        <v>1.05170642344333</v>
      </c>
    </row>
    <row collapsed="false" customFormat="false" customHeight="true" hidden="false" ht="12" outlineLevel="0" r="51">
      <c r="X51" s="0" t="n">
        <v>1960</v>
      </c>
      <c r="Y51" s="0" t="n">
        <v>-1.17974197245604</v>
      </c>
    </row>
    <row collapsed="false" customFormat="false" customHeight="true" hidden="false" ht="12" outlineLevel="0" r="55">
      <c r="Y55" s="0" t="s">
        <v>27</v>
      </c>
      <c r="Z55" s="2" t="n">
        <f aca="false">CORREL(Y16:Y45,AF16:AF45)</f>
        <v>-0.00856449872865225</v>
      </c>
    </row>
    <row collapsed="false" customFormat="false" customHeight="true" hidden="false" ht="12" outlineLevel="0" r="56">
      <c r="Y56" s="0" t="s">
        <v>287</v>
      </c>
      <c r="Z56" s="2" t="n">
        <f aca="false">CORREL(W17:W44,AG17:AG44)</f>
        <v>0.0172274970433039</v>
      </c>
    </row>
    <row collapsed="false" customFormat="false" customHeight="true" hidden="false" ht="12" outlineLevel="0" r="57">
      <c r="Y57" s="0" t="s">
        <v>288</v>
      </c>
      <c r="Z57" s="2" t="n">
        <f aca="false">CORREL(V18:V43,AH18:AH43)</f>
        <v>-0.0407286029234061</v>
      </c>
    </row>
    <row collapsed="false" customFormat="false" customHeight="true" hidden="false" ht="12" outlineLevel="0" r="58">
      <c r="Y58" s="36" t="s">
        <v>277</v>
      </c>
      <c r="Z58" s="36" t="n">
        <f aca="false">CORREL(Y16:Y41,AC16:AC41)</f>
        <v>-0.14542017738091</v>
      </c>
    </row>
    <row collapsed="false" customFormat="false" customHeight="true" hidden="false" ht="12" outlineLevel="0" r="59">
      <c r="Y59" s="36" t="s">
        <v>278</v>
      </c>
      <c r="Z59" s="36" t="n">
        <f aca="false">CORREL(W17:W40,AD17:AD40)</f>
        <v>-0.49561541147306</v>
      </c>
    </row>
    <row collapsed="false" customFormat="false" customHeight="true" hidden="false" ht="12" outlineLevel="0" r="60">
      <c r="Y60" s="36" t="s">
        <v>279</v>
      </c>
      <c r="Z60" s="36" t="n">
        <f aca="false">CORREL(V21:V39,AE21:AE39)</f>
        <v>-0.579948022752546</v>
      </c>
    </row>
    <row collapsed="false" customFormat="false" customHeight="true" hidden="false" ht="12" outlineLevel="0" r="61">
      <c r="Y61" s="0" t="s">
        <v>280</v>
      </c>
      <c r="Z61" s="2" t="n">
        <f aca="false">CORREL(Y16:Y49,Z16:Z49)</f>
        <v>-0.244345014599656</v>
      </c>
    </row>
    <row collapsed="false" customFormat="false" customHeight="true" hidden="false" ht="12" outlineLevel="0" r="62">
      <c r="Y62" s="0" t="s">
        <v>281</v>
      </c>
      <c r="Z62" s="2" t="n">
        <f aca="false">CORREL(W17:W44,AA17:AA44)</f>
        <v>-0.383497728996813</v>
      </c>
    </row>
    <row collapsed="false" customFormat="false" customHeight="true" hidden="false" ht="12" outlineLevel="0" r="63">
      <c r="Y63" s="0" t="s">
        <v>282</v>
      </c>
      <c r="Z63" s="2" t="n">
        <f aca="false">CORREL(V18:V47,AB18:AB47)</f>
        <v>-0.48067138304379</v>
      </c>
    </row>
    <row collapsed="false" customFormat="false" customHeight="true" hidden="false" ht="12" outlineLevel="0" r="64">
      <c r="Y64" s="36" t="s">
        <v>22</v>
      </c>
      <c r="Z64" s="36" t="n">
        <f aca="false">CORREL(Y16:Y49,AJ16:AJ49)</f>
        <v>-0.1835993930496</v>
      </c>
    </row>
    <row collapsed="false" customFormat="false" customHeight="true" hidden="false" ht="12" outlineLevel="0" r="65">
      <c r="Y65" s="36" t="s">
        <v>283</v>
      </c>
      <c r="Z65" s="36" t="n">
        <f aca="false">CORREL(W17:W48,AK17:AK48)</f>
        <v>-0.246350845089538</v>
      </c>
    </row>
    <row collapsed="false" customFormat="false" customHeight="true" hidden="false" ht="12" outlineLevel="0" r="66">
      <c r="Y66" s="36" t="s">
        <v>284</v>
      </c>
      <c r="Z66" s="36" t="n">
        <f aca="false">CORREL(V21:V47,AL21:AL47)</f>
        <v>-0.398432364499559</v>
      </c>
    </row>
    <row collapsed="false" customFormat="false" customHeight="true" hidden="false" ht="12" outlineLevel="0" r="73">
      <c r="A73" s="0" t="s">
        <v>170</v>
      </c>
    </row>
    <row collapsed="false" customFormat="false" customHeight="true" hidden="false" ht="12" outlineLevel="0" r="74">
      <c r="B74" s="0" t="s">
        <v>289</v>
      </c>
      <c r="E74" s="0" t="s">
        <v>290</v>
      </c>
    </row>
    <row collapsed="false" customFormat="false" customHeight="true" hidden="false" ht="12" outlineLevel="0" r="76">
      <c r="A76" s="0" t="s">
        <v>291</v>
      </c>
      <c r="B76" s="0" t="s">
        <v>27</v>
      </c>
      <c r="C76" s="37" t="n">
        <v>-0.709104942695742</v>
      </c>
      <c r="D76" s="9"/>
      <c r="E76" s="9" t="s">
        <v>27</v>
      </c>
      <c r="F76" s="38" t="n">
        <v>-0.612544815599407</v>
      </c>
      <c r="H76" s="0" t="s">
        <v>292</v>
      </c>
      <c r="V76" s="0" t="s">
        <v>293</v>
      </c>
    </row>
    <row collapsed="false" customFormat="false" customHeight="true" hidden="false" ht="12" outlineLevel="0" r="77">
      <c r="B77" s="0" t="s">
        <v>287</v>
      </c>
      <c r="C77" s="37" t="n">
        <v>-0.745206458988732</v>
      </c>
      <c r="D77" s="9"/>
      <c r="E77" s="9" t="s">
        <v>287</v>
      </c>
      <c r="F77" s="9" t="n">
        <v>-0.541551209148091</v>
      </c>
      <c r="H77" s="0" t="s">
        <v>292</v>
      </c>
      <c r="Z77" s="0" t="s">
        <v>294</v>
      </c>
    </row>
    <row collapsed="false" customFormat="false" customHeight="true" hidden="false" ht="12" outlineLevel="0" r="78">
      <c r="B78" s="0" t="s">
        <v>288</v>
      </c>
      <c r="C78" s="38" t="n">
        <v>-0.767511767572009</v>
      </c>
      <c r="D78" s="9"/>
      <c r="E78" s="9" t="s">
        <v>288</v>
      </c>
      <c r="F78" s="9" t="n">
        <v>-0.566996098812655</v>
      </c>
      <c r="H78" s="0" t="s">
        <v>292</v>
      </c>
      <c r="T78" s="0" t="s">
        <v>27</v>
      </c>
      <c r="U78" s="0" t="n">
        <v>-0.00856449872865225</v>
      </c>
      <c r="V78" s="2" t="n">
        <f aca="false">Z78-X78</f>
        <v>0.24734605506512</v>
      </c>
      <c r="X78" s="2" t="n">
        <f aca="false">0.0228*(Y78)-45.056</f>
        <v>0.430000000000007</v>
      </c>
      <c r="Y78" s="0" t="n">
        <v>1995</v>
      </c>
      <c r="Z78" s="0" t="n">
        <v>0.677346055065127</v>
      </c>
      <c r="AB78" s="0" t="s">
        <v>27</v>
      </c>
      <c r="AC78" s="0" t="n">
        <v>-0.222866614713996</v>
      </c>
    </row>
    <row collapsed="false" customFormat="false" customHeight="true" hidden="false" ht="12" outlineLevel="0" r="79">
      <c r="A79" s="0" t="s">
        <v>295</v>
      </c>
      <c r="B79" s="36" t="s">
        <v>277</v>
      </c>
      <c r="C79" s="39" t="n">
        <v>-0.283225780824292</v>
      </c>
      <c r="D79" s="39"/>
      <c r="E79" s="39"/>
      <c r="F79" s="39" t="n">
        <v>-0.329946886207147</v>
      </c>
      <c r="G79" s="36"/>
      <c r="H79" s="36" t="s">
        <v>296</v>
      </c>
      <c r="T79" s="0" t="s">
        <v>287</v>
      </c>
      <c r="U79" s="0" t="n">
        <v>0.0172274970433039</v>
      </c>
      <c r="V79" s="2" t="n">
        <f aca="false">Z79-X79</f>
        <v>0.107018947076846</v>
      </c>
      <c r="X79" s="2" t="n">
        <f aca="false">0.0228*(Y79)-45.056</f>
        <v>0.407200000000003</v>
      </c>
      <c r="Y79" s="0" t="n">
        <v>1994</v>
      </c>
      <c r="Z79" s="0" t="n">
        <v>0.514218947076849</v>
      </c>
      <c r="AB79" s="0" t="s">
        <v>287</v>
      </c>
      <c r="AC79" s="0" t="n">
        <v>-0.554408990363316</v>
      </c>
    </row>
    <row collapsed="false" customFormat="false" customHeight="true" hidden="false" ht="12" outlineLevel="0" r="80">
      <c r="B80" s="36" t="s">
        <v>278</v>
      </c>
      <c r="C80" s="39" t="n">
        <v>-0.567490900101225</v>
      </c>
      <c r="D80" s="39"/>
      <c r="E80" s="39" t="s">
        <v>278</v>
      </c>
      <c r="F80" s="39" t="n">
        <v>-0.528316160291219</v>
      </c>
      <c r="G80" s="36"/>
      <c r="H80" s="36" t="s">
        <v>292</v>
      </c>
      <c r="T80" s="0" t="s">
        <v>288</v>
      </c>
      <c r="U80" s="0" t="n">
        <v>-0.0407286029234061</v>
      </c>
      <c r="V80" s="2" t="n">
        <f aca="false">Z80-X80</f>
        <v>0.0522264294838219</v>
      </c>
      <c r="X80" s="2" t="n">
        <f aca="false">0.0228*(Y80)-45.056</f>
        <v>0.384400000000007</v>
      </c>
      <c r="Y80" s="0" t="n">
        <v>1993</v>
      </c>
      <c r="Z80" s="0" t="n">
        <v>0.436626429483828</v>
      </c>
      <c r="AB80" s="0" t="s">
        <v>288</v>
      </c>
      <c r="AC80" s="0" t="n">
        <v>-0.694180973167899</v>
      </c>
    </row>
    <row collapsed="false" customFormat="false" customHeight="true" hidden="false" ht="12" outlineLevel="0" r="81">
      <c r="B81" s="36" t="s">
        <v>279</v>
      </c>
      <c r="C81" s="39" t="n">
        <v>-0.671062123557191</v>
      </c>
      <c r="D81" s="39"/>
      <c r="E81" s="39" t="s">
        <v>279</v>
      </c>
      <c r="F81" s="39" t="n">
        <v>-0.607881480716161</v>
      </c>
      <c r="G81" s="36"/>
      <c r="H81" s="36" t="s">
        <v>292</v>
      </c>
      <c r="T81" s="0" t="s">
        <v>277</v>
      </c>
      <c r="U81" s="0" t="n">
        <v>-0.168740731831136</v>
      </c>
      <c r="V81" s="2" t="n">
        <f aca="false">Z81-X81</f>
        <v>-0.680914152057983</v>
      </c>
      <c r="X81" s="2" t="n">
        <f aca="false">0.0228*(Y81)-45.056</f>
        <v>0.361600000000003</v>
      </c>
      <c r="Y81" s="0" t="n">
        <v>1992</v>
      </c>
      <c r="Z81" s="0" t="n">
        <v>-0.31931415205798</v>
      </c>
      <c r="AB81" s="0" t="s">
        <v>277</v>
      </c>
      <c r="AC81" s="0" t="n">
        <v>-0.0903514186485814</v>
      </c>
    </row>
    <row collapsed="false" customFormat="false" customHeight="true" hidden="false" ht="12" outlineLevel="0" r="82">
      <c r="A82" s="0" t="s">
        <v>297</v>
      </c>
      <c r="B82" s="0" t="s">
        <v>280</v>
      </c>
      <c r="C82" s="37" t="n">
        <v>-0.635214792274234</v>
      </c>
      <c r="D82" s="9"/>
      <c r="E82" s="9" t="s">
        <v>280</v>
      </c>
      <c r="F82" s="32" t="n">
        <v>-0.52504871114619</v>
      </c>
      <c r="H82" s="0" t="s">
        <v>292</v>
      </c>
      <c r="T82" s="0" t="s">
        <v>278</v>
      </c>
      <c r="U82" s="0" t="n">
        <v>-0.157965903919597</v>
      </c>
      <c r="V82" s="2" t="n">
        <f aca="false">Z82-X82</f>
        <v>0.390191379765985</v>
      </c>
      <c r="X82" s="2" t="n">
        <f aca="false">0.0228*(Y82)-45.056</f>
        <v>0.338800000000006</v>
      </c>
      <c r="Y82" s="0" t="n">
        <v>1991</v>
      </c>
      <c r="Z82" s="0" t="n">
        <v>0.728991379765991</v>
      </c>
      <c r="AB82" s="0" t="s">
        <v>278</v>
      </c>
      <c r="AC82" s="0" t="n">
        <v>0.25095106640548</v>
      </c>
    </row>
    <row collapsed="false" customFormat="false" customHeight="true" hidden="false" ht="12" outlineLevel="0" r="83">
      <c r="B83" s="0" t="s">
        <v>281</v>
      </c>
      <c r="C83" s="37" t="n">
        <v>-0.674893095166196</v>
      </c>
      <c r="D83" s="9"/>
      <c r="E83" s="9" t="s">
        <v>281</v>
      </c>
      <c r="F83" s="9" t="n">
        <v>-0.422790730620338</v>
      </c>
      <c r="H83" s="0" t="s">
        <v>292</v>
      </c>
      <c r="T83" s="0" t="s">
        <v>279</v>
      </c>
      <c r="U83" s="0" t="n">
        <v>-0.480251567598152</v>
      </c>
      <c r="V83" s="2" t="n">
        <f aca="false">Z83-X83</f>
        <v>0.949792653944522</v>
      </c>
      <c r="X83" s="2" t="n">
        <f aca="false">0.0228*(Y83)-45.056</f>
        <v>0.316000000000002</v>
      </c>
      <c r="Y83" s="0" t="n">
        <v>1990</v>
      </c>
      <c r="Z83" s="0" t="n">
        <v>1.26579265394452</v>
      </c>
      <c r="AB83" s="0" t="s">
        <v>279</v>
      </c>
      <c r="AC83" s="0" t="n">
        <v>0.117193929831304</v>
      </c>
    </row>
    <row collapsed="false" customFormat="false" customHeight="true" hidden="false" ht="12" outlineLevel="0" r="84">
      <c r="B84" s="0" t="s">
        <v>282</v>
      </c>
      <c r="C84" s="37" t="n">
        <v>-0.733291021408675</v>
      </c>
      <c r="D84" s="9"/>
      <c r="E84" s="9" t="s">
        <v>282</v>
      </c>
      <c r="F84" s="9" t="n">
        <v>-0.420603954153843</v>
      </c>
      <c r="H84" s="0" t="s">
        <v>292</v>
      </c>
      <c r="T84" s="0" t="s">
        <v>280</v>
      </c>
      <c r="U84" s="0" t="n">
        <v>-0.244345014599656</v>
      </c>
      <c r="V84" s="2" t="n">
        <f aca="false">Z84-X84</f>
        <v>-0.498217294783597</v>
      </c>
      <c r="X84" s="2" t="n">
        <f aca="false">0.0228*(Y84)-45.056</f>
        <v>0.293200000000006</v>
      </c>
      <c r="Y84" s="0" t="n">
        <v>1989</v>
      </c>
      <c r="Z84" s="0" t="n">
        <v>-0.205017294783591</v>
      </c>
      <c r="AB84" s="0" t="s">
        <v>280</v>
      </c>
      <c r="AC84" s="0" t="n">
        <v>-0.405171289381573</v>
      </c>
    </row>
    <row collapsed="false" customFormat="false" customHeight="true" hidden="false" ht="12" outlineLevel="0" r="85">
      <c r="C85" s="9"/>
      <c r="D85" s="9"/>
      <c r="E85" s="9"/>
      <c r="F85" s="9"/>
      <c r="T85" s="0" t="s">
        <v>281</v>
      </c>
      <c r="U85" s="0" t="n">
        <v>-0.383497728996813</v>
      </c>
      <c r="V85" s="2" t="n">
        <f aca="false">Z85-X85</f>
        <v>-0.720641068281589</v>
      </c>
      <c r="X85" s="2" t="n">
        <f aca="false">0.0228*(Y85)-45.056</f>
        <v>0.270400000000002</v>
      </c>
      <c r="Y85" s="0" t="n">
        <v>1988</v>
      </c>
      <c r="Z85" s="0" t="n">
        <v>-0.450241068281587</v>
      </c>
      <c r="AB85" s="0" t="s">
        <v>281</v>
      </c>
      <c r="AC85" s="0" t="n">
        <v>-0.621220314370937</v>
      </c>
    </row>
    <row collapsed="false" customFormat="false" customHeight="true" hidden="false" ht="12" outlineLevel="0" r="86">
      <c r="C86" s="9"/>
      <c r="D86" s="9"/>
      <c r="E86" s="9"/>
      <c r="F86" s="9"/>
      <c r="T86" s="0" t="s">
        <v>282</v>
      </c>
      <c r="U86" s="0" t="n">
        <v>-0.48067138304379</v>
      </c>
      <c r="V86" s="2" t="n">
        <f aca="false">Z86-X86</f>
        <v>-0.205027006273063</v>
      </c>
      <c r="X86" s="2" t="n">
        <f aca="false">0.0228*(Y86)-45.056</f>
        <v>0.247600000000006</v>
      </c>
      <c r="Y86" s="0" t="n">
        <v>1987</v>
      </c>
      <c r="Z86" s="0" t="n">
        <v>0.0425729937269426</v>
      </c>
      <c r="AB86" s="0" t="s">
        <v>282</v>
      </c>
      <c r="AC86" s="0" t="n">
        <v>-0.67595546723928</v>
      </c>
    </row>
    <row collapsed="false" customFormat="false" customHeight="true" hidden="false" ht="12" outlineLevel="0" r="87">
      <c r="C87" s="9"/>
      <c r="D87" s="9"/>
      <c r="E87" s="9"/>
      <c r="F87" s="9"/>
      <c r="T87" s="0" t="s">
        <v>22</v>
      </c>
      <c r="U87" s="0" t="n">
        <v>-0.1835993930496</v>
      </c>
      <c r="V87" s="2" t="n">
        <f aca="false">Z87-X87</f>
        <v>0.00366008492864509</v>
      </c>
      <c r="X87" s="2" t="n">
        <f aca="false">0.0228*(Y87)-45.056</f>
        <v>0.224800000000002</v>
      </c>
      <c r="Y87" s="0" t="n">
        <v>1986</v>
      </c>
      <c r="Z87" s="0" t="n">
        <v>0.228460084928647</v>
      </c>
      <c r="AB87" s="0" t="s">
        <v>22</v>
      </c>
      <c r="AC87" s="0" t="n">
        <v>-0.0459700831412117</v>
      </c>
    </row>
    <row collapsed="false" customFormat="false" customHeight="true" hidden="false" ht="12" outlineLevel="0" r="88">
      <c r="C88" s="9"/>
      <c r="D88" s="9"/>
      <c r="E88" s="9"/>
      <c r="F88" s="9"/>
      <c r="T88" s="0" t="s">
        <v>283</v>
      </c>
      <c r="U88" s="0" t="n">
        <v>-0.246350845089538</v>
      </c>
      <c r="V88" s="2" t="n">
        <f aca="false">Z88-X88</f>
        <v>-0.797725141665978</v>
      </c>
      <c r="X88" s="2" t="n">
        <f aca="false">0.0228*(Y88)-45.056</f>
        <v>0.202000000000005</v>
      </c>
      <c r="Y88" s="0" t="n">
        <v>1985</v>
      </c>
      <c r="Z88" s="0" t="n">
        <v>-0.595725141665973</v>
      </c>
      <c r="AB88" s="0" t="s">
        <v>283</v>
      </c>
      <c r="AC88" s="0" t="n">
        <v>0.182820536941809</v>
      </c>
    </row>
    <row collapsed="false" customFormat="false" customHeight="true" hidden="false" ht="12" outlineLevel="0" r="89">
      <c r="C89" s="9"/>
      <c r="D89" s="9"/>
      <c r="E89" s="9"/>
      <c r="F89" s="9"/>
      <c r="T89" s="0" t="s">
        <v>284</v>
      </c>
      <c r="U89" s="0" t="n">
        <v>-0.398432364499559</v>
      </c>
      <c r="V89" s="2" t="n">
        <f aca="false">Z89-X89</f>
        <v>0.26131441948708</v>
      </c>
      <c r="X89" s="2" t="n">
        <f aca="false">0.0228*(Y89)-45.056</f>
        <v>0.179200000000002</v>
      </c>
      <c r="Y89" s="0" t="n">
        <v>1984</v>
      </c>
      <c r="Z89" s="0" t="n">
        <v>0.440514419487082</v>
      </c>
      <c r="AB89" s="0" t="s">
        <v>284</v>
      </c>
      <c r="AC89" s="0" t="n">
        <v>0.229832519604404</v>
      </c>
    </row>
    <row collapsed="false" customFormat="false" customHeight="true" hidden="false" ht="12" outlineLevel="0" r="90">
      <c r="A90" s="0" t="s">
        <v>187</v>
      </c>
      <c r="C90" s="9"/>
      <c r="D90" s="9"/>
      <c r="E90" s="9"/>
      <c r="F90" s="9"/>
      <c r="V90" s="2" t="n">
        <f aca="false">Z90-X90</f>
        <v>-0.133884116946192</v>
      </c>
      <c r="X90" s="2" t="n">
        <f aca="false">0.0228*(Y90)-45.056</f>
        <v>0.156400000000005</v>
      </c>
      <c r="Y90" s="0" t="n">
        <v>1983</v>
      </c>
      <c r="Z90" s="0" t="n">
        <v>0.0225158830538128</v>
      </c>
    </row>
    <row collapsed="false" customFormat="false" customHeight="true" hidden="false" ht="12" outlineLevel="0" r="91">
      <c r="B91" s="0" t="s">
        <v>27</v>
      </c>
      <c r="C91" s="9" t="n">
        <v>-0.00856449872865225</v>
      </c>
      <c r="D91" s="9"/>
      <c r="E91" s="9" t="s">
        <v>27</v>
      </c>
      <c r="F91" s="0" t="n">
        <v>-0.222866614713996</v>
      </c>
      <c r="H91" s="0" t="s">
        <v>296</v>
      </c>
      <c r="V91" s="2" t="n">
        <f aca="false">Z91-X91</f>
        <v>0.382254898182872</v>
      </c>
      <c r="X91" s="2" t="n">
        <f aca="false">0.0228*(Y91)-45.056</f>
        <v>0.133600000000001</v>
      </c>
      <c r="Y91" s="0" t="n">
        <v>1982</v>
      </c>
      <c r="Z91" s="0" t="n">
        <v>0.515854898182873</v>
      </c>
    </row>
    <row collapsed="false" customFormat="false" customHeight="true" hidden="false" ht="12" outlineLevel="0" r="92">
      <c r="B92" s="0" t="s">
        <v>287</v>
      </c>
      <c r="C92" s="9" t="n">
        <v>0.0172274970433039</v>
      </c>
      <c r="D92" s="9"/>
      <c r="E92" s="9" t="s">
        <v>287</v>
      </c>
      <c r="F92" s="0" t="n">
        <v>-0.554408990363316</v>
      </c>
      <c r="H92" s="0" t="s">
        <v>296</v>
      </c>
      <c r="V92" s="2" t="n">
        <f aca="false">Z92-X92</f>
        <v>0.336672309349535</v>
      </c>
      <c r="X92" s="2" t="n">
        <f aca="false">0.0228*(Y92)-45.056</f>
        <v>0.110800000000005</v>
      </c>
      <c r="Y92" s="0" t="n">
        <v>1981</v>
      </c>
      <c r="Z92" s="0" t="n">
        <v>0.44747230934954</v>
      </c>
    </row>
    <row collapsed="false" customFormat="false" customHeight="true" hidden="false" ht="12" outlineLevel="0" r="93">
      <c r="B93" s="0" t="s">
        <v>288</v>
      </c>
      <c r="C93" s="9" t="n">
        <v>-0.0407286029234061</v>
      </c>
      <c r="D93" s="9"/>
      <c r="E93" s="9" t="s">
        <v>288</v>
      </c>
      <c r="F93" s="1" t="n">
        <v>-0.694180973167899</v>
      </c>
      <c r="H93" s="0" t="s">
        <v>296</v>
      </c>
      <c r="V93" s="2" t="n">
        <f aca="false">Z93-X93</f>
        <v>-0.106898932347621</v>
      </c>
      <c r="X93" s="2" t="n">
        <f aca="false">0.0228*(Y93)-45.056</f>
        <v>0.088000000000001</v>
      </c>
      <c r="Y93" s="0" t="n">
        <v>1980</v>
      </c>
      <c r="Z93" s="0" t="n">
        <v>-0.0188989323476196</v>
      </c>
    </row>
    <row collapsed="false" customFormat="false" customHeight="true" hidden="false" ht="12" outlineLevel="0" r="94">
      <c r="B94" s="36" t="s">
        <v>277</v>
      </c>
      <c r="C94" s="39" t="n">
        <v>-0.14542017738091</v>
      </c>
      <c r="D94" s="39"/>
      <c r="E94" s="39" t="s">
        <v>277</v>
      </c>
      <c r="F94" s="36" t="n">
        <v>-0.243553464090188</v>
      </c>
      <c r="G94" s="36"/>
      <c r="H94" s="36" t="s">
        <v>296</v>
      </c>
      <c r="V94" s="2" t="n">
        <f aca="false">Z94-X94</f>
        <v>0.0729829002424595</v>
      </c>
      <c r="X94" s="2" t="n">
        <f aca="false">0.0228*(Y94)-45.056</f>
        <v>0.0652000000000044</v>
      </c>
      <c r="Y94" s="0" t="n">
        <v>1979</v>
      </c>
      <c r="Z94" s="0" t="n">
        <v>0.138182900242464</v>
      </c>
    </row>
    <row collapsed="false" customFormat="false" customHeight="true" hidden="false" ht="12" outlineLevel="0" r="95">
      <c r="B95" s="36" t="s">
        <v>278</v>
      </c>
      <c r="C95" s="39" t="n">
        <v>-0.49561541147306</v>
      </c>
      <c r="D95" s="39"/>
      <c r="E95" s="39" t="s">
        <v>278</v>
      </c>
      <c r="F95" s="36" t="n">
        <v>-0.628116799053303</v>
      </c>
      <c r="G95" s="36"/>
      <c r="H95" s="36" t="s">
        <v>296</v>
      </c>
      <c r="V95" s="2" t="n">
        <f aca="false">Z95-X95</f>
        <v>0.551101248480799</v>
      </c>
      <c r="X95" s="2" t="n">
        <f aca="false">0.0228*(Y95)-45.056</f>
        <v>0.0424000000000078</v>
      </c>
      <c r="Y95" s="0" t="n">
        <v>1978</v>
      </c>
      <c r="Z95" s="0" t="n">
        <v>0.593501248480807</v>
      </c>
    </row>
    <row collapsed="false" customFormat="false" customHeight="true" hidden="false" ht="12" outlineLevel="0" r="96">
      <c r="B96" s="36" t="s">
        <v>279</v>
      </c>
      <c r="C96" s="39" t="n">
        <v>-0.579948022752546</v>
      </c>
      <c r="D96" s="39"/>
      <c r="E96" s="39" t="s">
        <v>279</v>
      </c>
      <c r="F96" s="36" t="n">
        <v>-0.536205069802332</v>
      </c>
      <c r="G96" s="36"/>
      <c r="H96" s="36" t="s">
        <v>292</v>
      </c>
      <c r="V96" s="2" t="n">
        <f aca="false">Z96-X96</f>
        <v>-0.398287787303149</v>
      </c>
      <c r="X96" s="2" t="n">
        <f aca="false">0.0228*(Y96)-45.056</f>
        <v>0.0196000000000041</v>
      </c>
      <c r="Y96" s="0" t="n">
        <v>1977</v>
      </c>
      <c r="Z96" s="0" t="n">
        <v>-0.378687787303145</v>
      </c>
    </row>
    <row collapsed="false" customFormat="false" customHeight="true" hidden="false" ht="12" outlineLevel="0" r="97">
      <c r="B97" s="0" t="s">
        <v>280</v>
      </c>
      <c r="C97" s="9" t="n">
        <v>-0.244345014599656</v>
      </c>
      <c r="D97" s="9"/>
      <c r="E97" s="9" t="s">
        <v>280</v>
      </c>
      <c r="F97" s="0" t="n">
        <v>-0.405171289381573</v>
      </c>
      <c r="H97" s="0" t="s">
        <v>296</v>
      </c>
      <c r="V97" s="2" t="n">
        <f aca="false">Z97-X97</f>
        <v>0.14281593990298</v>
      </c>
      <c r="X97" s="2" t="n">
        <f aca="false">0.0228*(Y97)-45.056</f>
        <v>-0.00319999999999254</v>
      </c>
      <c r="Y97" s="0" t="n">
        <v>1976</v>
      </c>
      <c r="Z97" s="0" t="n">
        <v>0.139615939902987</v>
      </c>
    </row>
    <row collapsed="false" customFormat="false" customHeight="true" hidden="false" ht="12" outlineLevel="0" r="98">
      <c r="B98" s="0" t="s">
        <v>281</v>
      </c>
      <c r="C98" s="9" t="n">
        <v>-0.383497728996813</v>
      </c>
      <c r="D98" s="9"/>
      <c r="E98" s="9" t="s">
        <v>281</v>
      </c>
      <c r="F98" s="0" t="n">
        <v>-0.621220314370937</v>
      </c>
      <c r="H98" s="0" t="s">
        <v>296</v>
      </c>
      <c r="V98" s="2" t="n">
        <f aca="false">Z98-X98</f>
        <v>-0.0977094187946156</v>
      </c>
      <c r="X98" s="2" t="n">
        <f aca="false">0.0228*(Y98)-45.056</f>
        <v>-0.0259999999999962</v>
      </c>
      <c r="Y98" s="0" t="n">
        <v>1975</v>
      </c>
      <c r="Z98" s="0" t="n">
        <v>-0.123709418794612</v>
      </c>
    </row>
    <row collapsed="false" customFormat="false" customHeight="true" hidden="false" ht="12" outlineLevel="0" r="99">
      <c r="B99" s="0" t="s">
        <v>282</v>
      </c>
      <c r="C99" s="9" t="n">
        <v>-0.48067138304379</v>
      </c>
      <c r="D99" s="9"/>
      <c r="E99" s="9" t="s">
        <v>282</v>
      </c>
      <c r="F99" s="0" t="n">
        <v>-0.67595546723928</v>
      </c>
      <c r="H99" s="0" t="s">
        <v>296</v>
      </c>
      <c r="V99" s="2" t="n">
        <f aca="false">Z99-X99</f>
        <v>-0.468497326200123</v>
      </c>
      <c r="X99" s="2" t="n">
        <f aca="false">0.0228*(Y99)-45.056</f>
        <v>-0.0487999999999929</v>
      </c>
      <c r="Y99" s="0" t="n">
        <v>1974</v>
      </c>
      <c r="Z99" s="0" t="n">
        <v>-0.517297326200116</v>
      </c>
    </row>
    <row collapsed="false" customFormat="false" customHeight="true" hidden="false" ht="12" outlineLevel="0" r="100">
      <c r="I100" s="0" t="s">
        <v>110</v>
      </c>
      <c r="J100" s="0" t="s">
        <v>289</v>
      </c>
      <c r="K100" s="0" t="s">
        <v>294</v>
      </c>
      <c r="V100" s="2" t="n">
        <f aca="false">Z100-X100</f>
        <v>-0.132057102397988</v>
      </c>
      <c r="X100" s="2" t="n">
        <f aca="false">0.0228*(Y100)-45.056</f>
        <v>-0.0715999999999966</v>
      </c>
      <c r="Y100" s="0" t="n">
        <v>1973</v>
      </c>
      <c r="Z100" s="0" t="n">
        <v>-0.203657102397985</v>
      </c>
    </row>
    <row collapsed="false" customFormat="false" customHeight="true" hidden="false" ht="12" outlineLevel="0" r="101">
      <c r="I101" s="0" t="n">
        <v>2009</v>
      </c>
      <c r="J101" s="0" t="n">
        <v>-0.290357581425254</v>
      </c>
      <c r="K101" s="0" t="n">
        <v>-0.893757581425262</v>
      </c>
      <c r="V101" s="2" t="n">
        <f aca="false">Z101-X101</f>
        <v>-0.192459294108382</v>
      </c>
      <c r="X101" s="2" t="n">
        <f aca="false">0.0228*(Y101)-45.056</f>
        <v>-0.0943999999999932</v>
      </c>
      <c r="Y101" s="0" t="n">
        <v>1972</v>
      </c>
      <c r="Z101" s="0" t="n">
        <v>-0.286859294108375</v>
      </c>
    </row>
    <row collapsed="false" customFormat="false" customHeight="true" hidden="false" ht="12" outlineLevel="0" r="102">
      <c r="I102" s="0" t="n">
        <v>2008</v>
      </c>
      <c r="J102" s="0" t="n">
        <v>0.239226391218053</v>
      </c>
      <c r="K102" s="0" t="n">
        <v>-0.325573608781952</v>
      </c>
      <c r="V102" s="2" t="n">
        <f aca="false">Z102-X102</f>
        <v>0.2226070969919</v>
      </c>
      <c r="X102" s="2" t="n">
        <f aca="false">0.0228*(Y102)-45.056</f>
        <v>-0.117199999999997</v>
      </c>
      <c r="Y102" s="0" t="n">
        <v>1971</v>
      </c>
      <c r="Z102" s="0" t="n">
        <v>0.105407096991903</v>
      </c>
    </row>
    <row collapsed="false" customFormat="false" customHeight="true" hidden="false" ht="12" outlineLevel="0" r="103">
      <c r="I103" s="0" t="n">
        <v>2007</v>
      </c>
      <c r="J103" s="0" t="n">
        <v>0.644525254642978</v>
      </c>
      <c r="K103" s="0" t="n">
        <v>0.118325254642975</v>
      </c>
      <c r="V103" s="2" t="n">
        <f aca="false">Z103-X103</f>
        <v>-0.0706203130943888</v>
      </c>
      <c r="X103" s="2" t="n">
        <f aca="false">0.0228*(Y103)-45.056</f>
        <v>-0.139999999999993</v>
      </c>
      <c r="Y103" s="0" t="n">
        <v>1970</v>
      </c>
      <c r="Z103" s="0" t="n">
        <v>-0.210620313094382</v>
      </c>
    </row>
    <row collapsed="false" customFormat="false" customHeight="true" hidden="false" ht="12" outlineLevel="0" r="104">
      <c r="I104" s="0" t="n">
        <v>2006</v>
      </c>
      <c r="J104" s="0" t="n">
        <v>-1.11602500457803</v>
      </c>
      <c r="K104" s="0" t="n">
        <v>-1.60362500457803</v>
      </c>
      <c r="V104" s="2" t="n">
        <f aca="false">Z104-X104</f>
        <v>-0.00507460917209868</v>
      </c>
      <c r="X104" s="2" t="n">
        <f aca="false">0.0228*(Y104)-45.056</f>
        <v>-0.162799999999997</v>
      </c>
      <c r="Y104" s="0" t="n">
        <v>1969</v>
      </c>
      <c r="Z104" s="0" t="n">
        <v>-0.167874609172096</v>
      </c>
    </row>
    <row collapsed="false" customFormat="false" customHeight="true" hidden="false" ht="12" outlineLevel="0" r="105">
      <c r="I105" s="0" t="n">
        <v>2005</v>
      </c>
      <c r="J105" s="0" t="n">
        <v>-0.288800991974175</v>
      </c>
      <c r="K105" s="0" t="n">
        <v>-0.737800991974173</v>
      </c>
      <c r="V105" s="2" t="n">
        <f aca="false">Z105-X105</f>
        <v>0.293243987149858</v>
      </c>
      <c r="X105" s="2" t="n">
        <f aca="false">0.0228*(Y105)-45.056</f>
        <v>-0.185599999999994</v>
      </c>
      <c r="Y105" s="0" t="n">
        <v>1968</v>
      </c>
      <c r="Z105" s="0" t="n">
        <v>0.107643987149864</v>
      </c>
    </row>
    <row collapsed="false" customFormat="false" customHeight="true" hidden="false" ht="12" outlineLevel="0" r="106">
      <c r="I106" s="0" t="n">
        <v>2004</v>
      </c>
      <c r="J106" s="0" t="n">
        <v>0.195304801722278</v>
      </c>
      <c r="K106" s="0" t="n">
        <v>-0.215095198277718</v>
      </c>
      <c r="V106" s="2" t="n">
        <f aca="false">Z106-X106</f>
        <v>-0.376377212654944</v>
      </c>
      <c r="X106" s="2" t="n">
        <f aca="false">0.0228*(Y106)-45.056</f>
        <v>-0.208399999999997</v>
      </c>
      <c r="Y106" s="0" t="n">
        <v>1967</v>
      </c>
      <c r="Z106" s="0" t="n">
        <v>-0.584777212654942</v>
      </c>
    </row>
    <row collapsed="false" customFormat="false" customHeight="true" hidden="false" ht="12" outlineLevel="0" r="107">
      <c r="I107" s="0" t="n">
        <v>2003</v>
      </c>
      <c r="J107" s="0" t="n">
        <v>-0.710341741153059</v>
      </c>
      <c r="K107" s="0" t="n">
        <v>-1.08214174115307</v>
      </c>
      <c r="V107" s="2" t="n">
        <f aca="false">Z107-X107</f>
        <v>-0.392672957300978</v>
      </c>
      <c r="X107" s="2" t="n">
        <f aca="false">0.0228*(Y107)-45.056</f>
        <v>-0.231199999999994</v>
      </c>
      <c r="Y107" s="0" t="n">
        <v>1966</v>
      </c>
      <c r="Z107" s="0" t="n">
        <v>-0.623872957300972</v>
      </c>
    </row>
    <row collapsed="false" customFormat="false" customHeight="true" hidden="false" ht="12" outlineLevel="0" r="108">
      <c r="I108" s="0" t="n">
        <v>2002</v>
      </c>
      <c r="J108" s="0" t="n">
        <v>0.504585523518288</v>
      </c>
      <c r="K108" s="0" t="n">
        <v>0.171385523518283</v>
      </c>
      <c r="V108" s="2" t="n">
        <f aca="false">Z108-X108</f>
        <v>-0.146200559766424</v>
      </c>
      <c r="X108" s="2" t="n">
        <f aca="false">0.0228*(Y108)-45.056</f>
        <v>-0.253999999999998</v>
      </c>
      <c r="Y108" s="0" t="n">
        <v>1965</v>
      </c>
      <c r="Z108" s="0" t="n">
        <v>-0.400200559766422</v>
      </c>
    </row>
    <row collapsed="false" customFormat="false" customHeight="true" hidden="false" ht="12" outlineLevel="0" r="109">
      <c r="I109" s="0" t="n">
        <v>2001</v>
      </c>
      <c r="J109" s="0" t="n">
        <v>-0.0374644219748053</v>
      </c>
      <c r="K109" s="0" t="n">
        <v>-0.332064421974808</v>
      </c>
      <c r="V109" s="2" t="n">
        <f aca="false">Z109-X109</f>
        <v>-0.0606215586398477</v>
      </c>
      <c r="X109" s="2" t="n">
        <f aca="false">0.0228*(Y109)-45.056</f>
        <v>-0.276799999999994</v>
      </c>
      <c r="Y109" s="0" t="n">
        <v>1964</v>
      </c>
      <c r="Z109" s="0" t="n">
        <v>-0.337421558639842</v>
      </c>
    </row>
    <row collapsed="false" customFormat="false" customHeight="true" hidden="false" ht="12" outlineLevel="0" r="110">
      <c r="I110" s="0" t="n">
        <v>2000</v>
      </c>
      <c r="J110" s="0" t="n">
        <v>0.774352237006285</v>
      </c>
      <c r="K110" s="0" t="n">
        <v>0.518352237006285</v>
      </c>
      <c r="V110" s="2" t="n">
        <f aca="false">Z110-X110</f>
        <v>0.735691962450724</v>
      </c>
      <c r="X110" s="2" t="n">
        <f aca="false">0.0228*(Y110)-45.056</f>
        <v>-0.299599999999998</v>
      </c>
      <c r="Y110" s="0" t="n">
        <v>1963</v>
      </c>
      <c r="Z110" s="0" t="n">
        <v>0.436091962450726</v>
      </c>
    </row>
    <row collapsed="false" customFormat="false" customHeight="true" hidden="false" ht="12" outlineLevel="0" r="111">
      <c r="I111" s="0" t="n">
        <v>1999</v>
      </c>
      <c r="J111" s="0" t="n">
        <v>-0.0525622581600255</v>
      </c>
      <c r="K111" s="0" t="n">
        <v>-0.269962258160023</v>
      </c>
      <c r="V111" s="2" t="n">
        <f aca="false">Z111-X111</f>
        <v>0.0385527279542394</v>
      </c>
      <c r="X111" s="2" t="n">
        <f aca="false">0.0228*(Y111)-45.056</f>
        <v>-0.322399999999995</v>
      </c>
      <c r="Y111" s="0" t="n">
        <v>1962</v>
      </c>
      <c r="Z111" s="0" t="n">
        <v>-0.283847272045755</v>
      </c>
    </row>
    <row collapsed="false" customFormat="false" customHeight="true" hidden="false" ht="12" outlineLevel="0" r="112">
      <c r="I112" s="0" t="n">
        <v>1998</v>
      </c>
      <c r="J112" s="0" t="n">
        <v>-0.273647195365403</v>
      </c>
      <c r="K112" s="0" t="n">
        <v>-0.452447195365398</v>
      </c>
      <c r="V112" s="2" t="n">
        <f aca="false">Z112-X112</f>
        <v>1.05170642344333</v>
      </c>
      <c r="X112" s="2" t="n">
        <f aca="false">0.0228*(Y112)-45.056</f>
        <v>-0.345199999999998</v>
      </c>
      <c r="Y112" s="0" t="n">
        <v>1961</v>
      </c>
      <c r="Z112" s="0" t="n">
        <v>0.706506423443332</v>
      </c>
    </row>
    <row collapsed="false" customFormat="false" customHeight="true" hidden="false" ht="12" outlineLevel="0" r="113">
      <c r="I113" s="0" t="n">
        <v>1997</v>
      </c>
      <c r="J113" s="0" t="n">
        <v>-0.457270555508932</v>
      </c>
      <c r="K113" s="0" t="n">
        <v>-0.597470555508939</v>
      </c>
      <c r="V113" s="2" t="n">
        <f aca="false">Z113-X113</f>
        <v>-1.17974197245604</v>
      </c>
      <c r="X113" s="2" t="n">
        <f aca="false">0.0228*(Y113)-45.056</f>
        <v>-0.367999999999995</v>
      </c>
      <c r="Y113" s="0" t="n">
        <v>1960</v>
      </c>
      <c r="Z113" s="0" t="n">
        <v>-1.54774197245603</v>
      </c>
    </row>
    <row collapsed="false" customFormat="false" customHeight="true" hidden="false" ht="12" outlineLevel="0" r="114">
      <c r="I114" s="0" t="n">
        <v>1996</v>
      </c>
      <c r="J114" s="0" t="n">
        <v>-0.141932344522551</v>
      </c>
      <c r="K114" s="0" t="n">
        <v>-0.243532344522555</v>
      </c>
    </row>
    <row collapsed="false" customFormat="false" customHeight="true" hidden="false" ht="12" outlineLevel="0" r="115">
      <c r="I115" s="0" t="n">
        <v>1995</v>
      </c>
      <c r="J115" s="0" t="n">
        <v>-0.0675953286003726</v>
      </c>
      <c r="K115" s="0" t="n">
        <v>-0.130595328600375</v>
      </c>
    </row>
    <row collapsed="false" customFormat="false" customHeight="true" hidden="false" ht="12" outlineLevel="0" r="116">
      <c r="I116" s="0" t="n">
        <v>1994</v>
      </c>
      <c r="J116" s="0" t="n">
        <v>0.56564976863267</v>
      </c>
      <c r="K116" s="0" t="n">
        <v>0.54124976863267</v>
      </c>
    </row>
    <row collapsed="false" customFormat="false" customHeight="true" hidden="false" ht="12" outlineLevel="0" r="117">
      <c r="I117" s="0" t="n">
        <v>1993</v>
      </c>
      <c r="J117" s="0" t="n">
        <v>0.727194315662255</v>
      </c>
      <c r="K117" s="0" t="n">
        <v>0.741394315662258</v>
      </c>
    </row>
    <row collapsed="false" customFormat="false" customHeight="true" hidden="false" ht="12" outlineLevel="0" r="118">
      <c r="I118" s="0" t="n">
        <v>1992</v>
      </c>
      <c r="J118" s="0" t="n">
        <v>0.494321492860573</v>
      </c>
      <c r="K118" s="0" t="n">
        <v>0.547121492860578</v>
      </c>
    </row>
    <row collapsed="false" customFormat="false" customHeight="true" hidden="false" ht="12" outlineLevel="0" r="119">
      <c r="I119" s="0" t="n">
        <v>1991</v>
      </c>
      <c r="J119" s="0" t="n">
        <v>0.655280414565495</v>
      </c>
      <c r="K119" s="0" t="n">
        <v>0.746680414565488</v>
      </c>
    </row>
    <row collapsed="false" customFormat="false" customHeight="true" hidden="false" ht="12" outlineLevel="0" r="120">
      <c r="I120" s="0" t="n">
        <v>1990</v>
      </c>
      <c r="J120" s="0" t="n">
        <v>0.157404460731182</v>
      </c>
      <c r="K120" s="0" t="n">
        <v>0.287404460731177</v>
      </c>
    </row>
    <row collapsed="false" customFormat="false" customHeight="true" hidden="false" ht="12" outlineLevel="0" r="121">
      <c r="I121" s="0" t="n">
        <v>1989</v>
      </c>
      <c r="J121" s="0" t="n">
        <v>0.396067090973483</v>
      </c>
      <c r="K121" s="0" t="n">
        <v>0.56466709097348</v>
      </c>
    </row>
    <row collapsed="false" customFormat="false" customHeight="true" hidden="false" ht="12" outlineLevel="0" r="122">
      <c r="I122" s="0" t="n">
        <v>1988</v>
      </c>
      <c r="J122" s="0" t="n">
        <v>-0.0165506311069828</v>
      </c>
      <c r="K122" s="0" t="n">
        <v>0.190649368893017</v>
      </c>
    </row>
    <row collapsed="false" customFormat="false" customHeight="true" hidden="false" ht="12" outlineLevel="0" r="123">
      <c r="I123" s="0" t="n">
        <v>1987</v>
      </c>
      <c r="J123" s="0" t="n">
        <v>-0.149919636117161</v>
      </c>
      <c r="K123" s="0" t="n">
        <v>0.0958803638828419</v>
      </c>
    </row>
    <row collapsed="false" customFormat="false" customHeight="true" hidden="false" ht="12" outlineLevel="0" r="124">
      <c r="I124" s="0" t="n">
        <v>1986</v>
      </c>
      <c r="J124" s="0" t="n">
        <v>-0.15409241471607</v>
      </c>
      <c r="K124" s="0" t="n">
        <v>0.130307585283921</v>
      </c>
    </row>
    <row collapsed="false" customFormat="false" customHeight="true" hidden="false" ht="12" outlineLevel="0" r="125">
      <c r="I125" s="0" t="n">
        <v>1985</v>
      </c>
      <c r="J125" s="0" t="n">
        <v>-0.013842537895437</v>
      </c>
      <c r="K125" s="0" t="n">
        <v>0.309157462104556</v>
      </c>
    </row>
    <row collapsed="false" customFormat="false" customHeight="true" hidden="false" ht="12" outlineLevel="0" r="126">
      <c r="I126" s="0" t="n">
        <v>1984</v>
      </c>
      <c r="J126" s="0" t="n">
        <v>-0.166307183198284</v>
      </c>
      <c r="K126" s="0" t="n">
        <v>0.195292816801711</v>
      </c>
    </row>
    <row collapsed="false" customFormat="false" customHeight="true" hidden="false" ht="12" outlineLevel="0" r="127">
      <c r="I127" s="0" t="n">
        <v>1983</v>
      </c>
      <c r="J127" s="0" t="n">
        <v>-0.821791396811226</v>
      </c>
      <c r="K127" s="0" t="n">
        <v>-0.421591396811228</v>
      </c>
    </row>
    <row collapsed="false" customFormat="false" customHeight="true" hidden="false" ht="12" outlineLevel="0" r="128">
      <c r="I128" s="0" t="n">
        <v>1982</v>
      </c>
      <c r="J128" s="0" t="n">
        <v>-0.169366282094703</v>
      </c>
      <c r="K128" s="0" t="n">
        <v>0.269433717905297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54"/>
  <sheetViews>
    <sheetView colorId="64" defaultGridColor="true" rightToLeft="false" showFormulas="false" showGridLines="true" showOutlineSymbols="true" showRowColHeaders="true" showZeros="true" tabSelected="false" topLeftCell="A17" view="normal" windowProtection="false" workbookViewId="0" zoomScale="100" zoomScaleNormal="100" zoomScalePageLayoutView="100">
      <selection activeCell="K5" activeCellId="0" pane="topLeft" sqref="K5"/>
    </sheetView>
  </sheetViews>
  <cols>
    <col collapsed="false" hidden="false" max="1025" min="1" style="0" width="10.7254901960784"/>
  </cols>
  <sheetData>
    <row collapsed="false" customFormat="false" customHeight="true" hidden="false" ht="12" outlineLevel="0" r="4">
      <c r="A4" s="0" t="s">
        <v>110</v>
      </c>
      <c r="B4" s="0" t="s">
        <v>170</v>
      </c>
      <c r="C4" s="0" t="s">
        <v>170</v>
      </c>
      <c r="D4" s="0" t="s">
        <v>170</v>
      </c>
      <c r="F4" s="0" t="s">
        <v>110</v>
      </c>
      <c r="G4" s="0" t="s">
        <v>187</v>
      </c>
      <c r="H4" s="0" t="s">
        <v>187</v>
      </c>
      <c r="I4" s="0" t="s">
        <v>187</v>
      </c>
      <c r="K4" s="0" t="s">
        <v>298</v>
      </c>
      <c r="L4" s="0" t="s">
        <v>299</v>
      </c>
      <c r="M4" s="0" t="s">
        <v>300</v>
      </c>
    </row>
    <row collapsed="false" customFormat="false" customHeight="true" hidden="false" ht="12" outlineLevel="0" r="5">
      <c r="A5" s="0" t="n">
        <v>2009</v>
      </c>
      <c r="B5" s="0" t="n">
        <v>-0.290357581425254</v>
      </c>
      <c r="F5" s="0" t="n">
        <v>2009</v>
      </c>
      <c r="K5" s="0" t="n">
        <v>13.6333333333333</v>
      </c>
      <c r="L5" s="0" t="n">
        <v>13.3777777777778</v>
      </c>
      <c r="M5" s="0" t="n">
        <v>13.2866666666667</v>
      </c>
    </row>
    <row collapsed="false" customFormat="false" customHeight="true" hidden="false" ht="12" outlineLevel="0" r="6">
      <c r="A6" s="0" t="n">
        <v>2008</v>
      </c>
      <c r="B6" s="0" t="n">
        <v>0.239226391218053</v>
      </c>
      <c r="C6" s="0" t="n">
        <v>0.197798021478592</v>
      </c>
      <c r="F6" s="0" t="n">
        <v>2008</v>
      </c>
      <c r="K6" s="0" t="n">
        <v>13</v>
      </c>
      <c r="L6" s="0" t="n">
        <v>13.1777777777778</v>
      </c>
      <c r="M6" s="0" t="n">
        <v>13.2933333333333</v>
      </c>
    </row>
    <row collapsed="false" customFormat="false" customHeight="true" hidden="false" ht="12" outlineLevel="0" r="7">
      <c r="A7" s="0" t="n">
        <v>2007</v>
      </c>
      <c r="B7" s="0" t="n">
        <v>0.644525254642978</v>
      </c>
      <c r="C7" s="0" t="n">
        <v>-0.0774244529056648</v>
      </c>
      <c r="D7" s="0" t="n">
        <v>-0.162286386423285</v>
      </c>
      <c r="F7" s="0" t="n">
        <v>2007</v>
      </c>
      <c r="K7" s="0" t="n">
        <v>12.9</v>
      </c>
      <c r="L7" s="0" t="n">
        <v>13.1111111111111</v>
      </c>
      <c r="M7" s="0" t="n">
        <v>13.2666666666667</v>
      </c>
    </row>
    <row collapsed="false" customFormat="false" customHeight="true" hidden="false" ht="12" outlineLevel="0" r="8">
      <c r="A8" s="0" t="n">
        <v>2006</v>
      </c>
      <c r="B8" s="0" t="n">
        <v>-1.11602500457803</v>
      </c>
      <c r="C8" s="0" t="n">
        <v>-0.253433580636408</v>
      </c>
      <c r="D8" s="0" t="n">
        <v>-0.0651539097937784</v>
      </c>
      <c r="F8" s="0" t="n">
        <v>2006</v>
      </c>
      <c r="K8" s="0" t="n">
        <v>13.4333333333333</v>
      </c>
      <c r="L8" s="0" t="n">
        <v>13.2333333333333</v>
      </c>
      <c r="M8" s="0" t="n">
        <v>13.1133333333333</v>
      </c>
    </row>
    <row collapsed="false" customFormat="false" customHeight="true" hidden="false" ht="12" outlineLevel="0" r="9">
      <c r="A9" s="0" t="n">
        <v>2005</v>
      </c>
      <c r="B9" s="0" t="n">
        <v>-0.288800991974175</v>
      </c>
      <c r="C9" s="0" t="n">
        <v>-0.403173731609974</v>
      </c>
      <c r="D9" s="0" t="n">
        <v>-0.255067536268001</v>
      </c>
      <c r="F9" s="0" t="n">
        <v>2005</v>
      </c>
      <c r="K9" s="0" t="n">
        <v>13.3666666666667</v>
      </c>
      <c r="L9" s="0" t="n">
        <v>13.2222222222222</v>
      </c>
      <c r="M9" s="0" t="n">
        <v>13.16</v>
      </c>
    </row>
    <row collapsed="false" customFormat="false" customHeight="true" hidden="false" ht="12" outlineLevel="0" r="10">
      <c r="A10" s="0" t="n">
        <v>2004</v>
      </c>
      <c r="B10" s="0" t="n">
        <v>0.195304801722278</v>
      </c>
      <c r="C10" s="0" t="n">
        <v>-0.267945977134985</v>
      </c>
      <c r="D10" s="0" t="n">
        <v>-0.283055482492939</v>
      </c>
      <c r="F10" s="0" t="n">
        <v>2004</v>
      </c>
      <c r="K10" s="0" t="n">
        <v>12.8666666666667</v>
      </c>
      <c r="L10" s="0" t="n">
        <v>13.1555555555556</v>
      </c>
      <c r="M10" s="0" t="n">
        <v>13.0066666666667</v>
      </c>
    </row>
    <row collapsed="false" customFormat="false" customHeight="true" hidden="false" ht="12" outlineLevel="0" r="11">
      <c r="A11" s="0" t="n">
        <v>2003</v>
      </c>
      <c r="B11" s="0" t="n">
        <v>-0.710341741153059</v>
      </c>
      <c r="C11" s="0" t="n">
        <v>-0.00348380530416451</v>
      </c>
      <c r="D11" s="0" t="n">
        <v>-0.0673433659722948</v>
      </c>
      <c r="F11" s="0" t="n">
        <v>2003</v>
      </c>
      <c r="K11" s="0" t="n">
        <v>13.2333333333333</v>
      </c>
      <c r="L11" s="0" t="n">
        <v>12.7444444444444</v>
      </c>
      <c r="M11" s="0" t="n">
        <v>13.0933333333333</v>
      </c>
    </row>
    <row collapsed="false" customFormat="false" customHeight="true" hidden="false" ht="12" outlineLevel="0" r="12">
      <c r="A12" s="0" t="n">
        <v>2002</v>
      </c>
      <c r="B12" s="0" t="n">
        <v>0.504585523518288</v>
      </c>
      <c r="C12" s="0" t="n">
        <v>-0.0810735465365255</v>
      </c>
      <c r="D12" s="0" t="n">
        <v>0.145287279823797</v>
      </c>
      <c r="F12" s="0" t="n">
        <v>2002</v>
      </c>
      <c r="K12" s="0" t="n">
        <v>12.1333333333333</v>
      </c>
      <c r="L12" s="0" t="n">
        <v>13.0777777777778</v>
      </c>
      <c r="M12" s="0" t="n">
        <v>12.9933333333333</v>
      </c>
    </row>
    <row collapsed="false" customFormat="false" customHeight="true" hidden="false" ht="12" outlineLevel="0" r="13">
      <c r="A13" s="0" t="n">
        <v>2001</v>
      </c>
      <c r="B13" s="0" t="n">
        <v>-0.0374644219748053</v>
      </c>
      <c r="C13" s="0" t="n">
        <v>0.413824446183256</v>
      </c>
      <c r="D13" s="0" t="n">
        <v>0.0957138678473367</v>
      </c>
      <c r="F13" s="0" t="n">
        <v>2001</v>
      </c>
      <c r="K13" s="0" t="n">
        <v>13.8666666666667</v>
      </c>
      <c r="L13" s="0" t="n">
        <v>12.9555555555556</v>
      </c>
      <c r="M13" s="0" t="n">
        <v>13.18</v>
      </c>
    </row>
    <row collapsed="false" customFormat="false" customHeight="true" hidden="false" ht="12" outlineLevel="0" r="14">
      <c r="A14" s="0" t="n">
        <v>2000</v>
      </c>
      <c r="B14" s="0" t="n">
        <v>0.774352237006285</v>
      </c>
      <c r="C14" s="0" t="n">
        <v>0.228108518957152</v>
      </c>
      <c r="D14" s="0" t="n">
        <v>0.183052777004868</v>
      </c>
      <c r="F14" s="0" t="n">
        <v>2000</v>
      </c>
      <c r="K14" s="0" t="n">
        <v>12.8666666666667</v>
      </c>
      <c r="L14" s="0" t="n">
        <v>13.5111111111111</v>
      </c>
      <c r="M14" s="0" t="n">
        <v>13.3066666666667</v>
      </c>
    </row>
    <row collapsed="false" customFormat="false" customHeight="true" hidden="false" ht="12" outlineLevel="0" r="15">
      <c r="A15" s="0" t="n">
        <v>1999</v>
      </c>
      <c r="B15" s="0" t="n">
        <v>-0.0525622581600255</v>
      </c>
      <c r="C15" s="0" t="n">
        <v>0.149380927826952</v>
      </c>
      <c r="D15" s="0" t="n">
        <v>-0.00931843880057593</v>
      </c>
      <c r="F15" s="0" t="n">
        <v>1999</v>
      </c>
      <c r="K15" s="0" t="n">
        <v>13.8</v>
      </c>
      <c r="L15" s="0" t="n">
        <v>13.5111111111111</v>
      </c>
      <c r="M15" s="0" t="n">
        <v>13.4733333333333</v>
      </c>
    </row>
    <row collapsed="false" customFormat="false" customHeight="true" hidden="false" ht="12" outlineLevel="0" r="16">
      <c r="A16" s="0" t="n">
        <v>1998</v>
      </c>
      <c r="B16" s="0" t="n">
        <v>-0.273647195365403</v>
      </c>
      <c r="C16" s="0" t="n">
        <v>-0.261160003011453</v>
      </c>
      <c r="D16" s="0" t="n">
        <v>-0.030212023310125</v>
      </c>
      <c r="F16" s="0" t="n">
        <v>1998</v>
      </c>
      <c r="K16" s="0" t="n">
        <v>13.8666666666667</v>
      </c>
      <c r="L16" s="0" t="n">
        <v>13.5444444444444</v>
      </c>
      <c r="M16" s="0" t="n">
        <v>13.32</v>
      </c>
    </row>
    <row collapsed="false" customFormat="false" customHeight="true" hidden="false" ht="12" outlineLevel="0" r="17">
      <c r="A17" s="0" t="n">
        <v>1997</v>
      </c>
      <c r="B17" s="0" t="n">
        <v>-0.457270555508932</v>
      </c>
      <c r="C17" s="0" t="n">
        <v>-0.290950031798962</v>
      </c>
      <c r="D17" s="0" t="n">
        <v>-0.198601536431457</v>
      </c>
      <c r="F17" s="0" t="n">
        <v>1997</v>
      </c>
      <c r="K17" s="0" t="n">
        <v>12.9666666666667</v>
      </c>
      <c r="L17" s="0" t="n">
        <v>13.3111111111111</v>
      </c>
      <c r="M17" s="0" t="n">
        <v>13.3866666666667</v>
      </c>
    </row>
    <row collapsed="false" customFormat="false" customHeight="true" hidden="false" ht="12" outlineLevel="0" r="18">
      <c r="A18" s="0" t="n">
        <v>1996</v>
      </c>
      <c r="B18" s="0" t="n">
        <v>-0.141932344522551</v>
      </c>
      <c r="C18" s="0" t="n">
        <v>-0.222266076210618</v>
      </c>
      <c r="D18" s="0" t="n">
        <v>-0.0749591310729175</v>
      </c>
      <c r="F18" s="0" t="n">
        <v>1996</v>
      </c>
      <c r="K18" s="0" t="n">
        <v>13.1</v>
      </c>
      <c r="L18" s="0" t="n">
        <v>13.0888888888889</v>
      </c>
      <c r="M18" s="0" t="n">
        <v>13.1266666666667</v>
      </c>
    </row>
    <row collapsed="false" customFormat="false" customHeight="true" hidden="false" ht="12" outlineLevel="0" r="19">
      <c r="A19" s="0" t="n">
        <v>1995</v>
      </c>
      <c r="B19" s="0" t="n">
        <v>-0.0675953286003726</v>
      </c>
      <c r="C19" s="0" t="n">
        <v>0.118707365169916</v>
      </c>
      <c r="D19" s="0" t="n">
        <v>0.125209171132614</v>
      </c>
      <c r="F19" s="0" t="n">
        <v>1995</v>
      </c>
      <c r="G19" s="0" t="n">
        <v>0.24734605506512</v>
      </c>
      <c r="K19" s="0" t="n">
        <v>13.2</v>
      </c>
      <c r="L19" s="0" t="n">
        <v>12.9333333333333</v>
      </c>
      <c r="M19" s="0" t="n">
        <v>12.7333333333333</v>
      </c>
    </row>
    <row collapsed="false" customFormat="false" customHeight="true" hidden="false" ht="12" outlineLevel="0" r="20">
      <c r="A20" s="0" t="n">
        <v>1994</v>
      </c>
      <c r="B20" s="0" t="n">
        <v>0.56564976863267</v>
      </c>
      <c r="C20" s="0" t="n">
        <v>0.408416251898184</v>
      </c>
      <c r="D20" s="0" t="n">
        <v>0.315527580806515</v>
      </c>
      <c r="F20" s="0" t="n">
        <v>1994</v>
      </c>
      <c r="G20" s="0" t="n">
        <v>0.107018947076846</v>
      </c>
      <c r="H20" s="0" t="n">
        <v>0.135530477208596</v>
      </c>
      <c r="K20" s="0" t="n">
        <v>12.5</v>
      </c>
      <c r="L20" s="0" t="n">
        <v>12.5333333333333</v>
      </c>
      <c r="M20" s="0" t="n">
        <v>12.6266666666667</v>
      </c>
    </row>
    <row collapsed="false" customFormat="false" customHeight="true" hidden="false" ht="12" outlineLevel="0" r="21">
      <c r="A21" s="0" t="n">
        <v>1993</v>
      </c>
      <c r="B21" s="0" t="n">
        <v>0.727194315662255</v>
      </c>
      <c r="C21" s="0" t="n">
        <v>0.595721859051833</v>
      </c>
      <c r="D21" s="0" t="n">
        <v>0.474970132624124</v>
      </c>
      <c r="F21" s="0" t="n">
        <v>1993</v>
      </c>
      <c r="G21" s="0" t="n">
        <v>0.0522264294838219</v>
      </c>
      <c r="H21" s="0" t="n">
        <v>-0.173889591832438</v>
      </c>
      <c r="I21" s="0" t="n">
        <v>0.0231737318667579</v>
      </c>
      <c r="K21" s="0" t="n">
        <v>11.9</v>
      </c>
      <c r="L21" s="0" t="n">
        <v>12.2777777777778</v>
      </c>
      <c r="M21" s="0" t="n">
        <v>12.46</v>
      </c>
    </row>
    <row collapsed="false" customFormat="false" customHeight="true" hidden="false" ht="12" outlineLevel="0" r="22">
      <c r="A22" s="0" t="n">
        <v>1992</v>
      </c>
      <c r="B22" s="0" t="n">
        <v>0.494321492860573</v>
      </c>
      <c r="C22" s="0" t="n">
        <v>0.625598741029441</v>
      </c>
      <c r="D22" s="0" t="n">
        <v>0.519970090490435</v>
      </c>
      <c r="F22" s="0" t="n">
        <v>1992</v>
      </c>
      <c r="G22" s="0" t="n">
        <v>-0.680914152057983</v>
      </c>
      <c r="H22" s="0" t="n">
        <v>-0.0794987809360589</v>
      </c>
      <c r="I22" s="0" t="n">
        <v>0.163663051642638</v>
      </c>
      <c r="K22" s="0" t="n">
        <v>12.4333333333333</v>
      </c>
      <c r="L22" s="0" t="n">
        <v>12.2</v>
      </c>
      <c r="M22" s="0" t="n">
        <v>12.42</v>
      </c>
    </row>
    <row collapsed="false" customFormat="false" customHeight="true" hidden="false" ht="12" outlineLevel="0" r="23">
      <c r="A23" s="0" t="n">
        <v>1991</v>
      </c>
      <c r="B23" s="0" t="n">
        <v>0.655280414565495</v>
      </c>
      <c r="C23" s="0" t="n">
        <v>0.43566878938575</v>
      </c>
      <c r="D23" s="0" t="n">
        <v>0.486053554958598</v>
      </c>
      <c r="F23" s="0" t="n">
        <v>1991</v>
      </c>
      <c r="G23" s="0" t="n">
        <v>0.390191379765985</v>
      </c>
      <c r="H23" s="0" t="n">
        <v>0.219689960550841</v>
      </c>
      <c r="I23" s="0" t="n">
        <v>0.0426158032705497</v>
      </c>
      <c r="K23" s="0" t="n">
        <v>12.2666666666667</v>
      </c>
      <c r="L23" s="0" t="n">
        <v>12.5666666666667</v>
      </c>
      <c r="M23" s="0" t="n">
        <v>12.5933333333333</v>
      </c>
    </row>
    <row collapsed="false" customFormat="false" customHeight="true" hidden="false" ht="12" outlineLevel="0" r="24">
      <c r="A24" s="0" t="n">
        <v>1990</v>
      </c>
      <c r="B24" s="0" t="n">
        <v>0.157404460731182</v>
      </c>
      <c r="C24" s="0" t="n">
        <v>0.402917322090053</v>
      </c>
      <c r="D24" s="0" t="n">
        <v>0.33730456560475</v>
      </c>
      <c r="F24" s="0" t="n">
        <v>1990</v>
      </c>
      <c r="G24" s="0" t="n">
        <v>0.949792653944522</v>
      </c>
      <c r="H24" s="0" t="n">
        <v>0.280588912975637</v>
      </c>
      <c r="I24" s="0" t="n">
        <v>-0.111957696282532</v>
      </c>
      <c r="K24" s="0" t="n">
        <v>13</v>
      </c>
      <c r="L24" s="0" t="n">
        <v>12.8777777777778</v>
      </c>
      <c r="M24" s="0" t="n">
        <v>13</v>
      </c>
    </row>
    <row collapsed="false" customFormat="false" customHeight="true" hidden="false" ht="12" outlineLevel="0" r="25">
      <c r="A25" s="0" t="n">
        <v>1989</v>
      </c>
      <c r="B25" s="0" t="n">
        <v>0.396067090973483</v>
      </c>
      <c r="C25" s="0" t="n">
        <v>0.178973640199227</v>
      </c>
      <c r="D25" s="0" t="n">
        <v>0.208456339809203</v>
      </c>
      <c r="F25" s="0" t="n">
        <v>1989</v>
      </c>
      <c r="G25" s="0" t="n">
        <v>-0.498217294783597</v>
      </c>
      <c r="H25" s="0" t="n">
        <v>-0.0896885697068879</v>
      </c>
      <c r="I25" s="0" t="n">
        <v>-0.0167802671255483</v>
      </c>
      <c r="K25" s="0" t="n">
        <v>13.3666666666667</v>
      </c>
      <c r="L25" s="0" t="n">
        <v>13.4333333333333</v>
      </c>
      <c r="M25" s="0" t="n">
        <v>13.2</v>
      </c>
    </row>
    <row collapsed="false" customFormat="false" customHeight="true" hidden="false" ht="12" outlineLevel="0" r="26">
      <c r="A26" s="0" t="n">
        <v>1988</v>
      </c>
      <c r="B26" s="0" t="n">
        <v>-0.0165506311069828</v>
      </c>
      <c r="C26" s="0" t="n">
        <v>0.0765322745831129</v>
      </c>
      <c r="D26" s="0" t="n">
        <v>0.0465817739528901</v>
      </c>
      <c r="F26" s="0" t="n">
        <v>1988</v>
      </c>
      <c r="G26" s="0" t="n">
        <v>-0.720641068281589</v>
      </c>
      <c r="H26" s="0" t="n">
        <v>-0.474628456446083</v>
      </c>
      <c r="I26" s="0" t="n">
        <v>-0.0940865260930163</v>
      </c>
      <c r="K26" s="0" t="n">
        <v>13.9333333333333</v>
      </c>
      <c r="L26" s="0" t="n">
        <v>13.5777777777778</v>
      </c>
      <c r="M26" s="0" t="n">
        <v>13.3666666666667</v>
      </c>
    </row>
    <row collapsed="false" customFormat="false" customHeight="true" hidden="false" ht="12" outlineLevel="0" r="27">
      <c r="A27" s="0" t="n">
        <v>1987</v>
      </c>
      <c r="B27" s="0" t="n">
        <v>-0.149919636117161</v>
      </c>
      <c r="C27" s="0" t="n">
        <v>-0.106854227313405</v>
      </c>
      <c r="D27" s="0" t="n">
        <v>0.0123323742275663</v>
      </c>
      <c r="F27" s="0" t="n">
        <v>1987</v>
      </c>
      <c r="G27" s="0" t="n">
        <v>-0.205027006273063</v>
      </c>
      <c r="H27" s="0" t="n">
        <v>-0.307335996542002</v>
      </c>
      <c r="I27" s="0" t="n">
        <v>-0.443590085215116</v>
      </c>
      <c r="K27" s="0" t="n">
        <v>13.4333333333333</v>
      </c>
      <c r="L27" s="0" t="n">
        <v>13.4888888888889</v>
      </c>
      <c r="M27" s="0" t="n">
        <v>13.44</v>
      </c>
    </row>
    <row collapsed="false" customFormat="false" customHeight="true" hidden="false" ht="12" outlineLevel="0" r="28">
      <c r="A28" s="0" t="n">
        <v>1986</v>
      </c>
      <c r="B28" s="0" t="n">
        <v>-0.15409241471607</v>
      </c>
      <c r="C28" s="0" t="n">
        <v>-0.105951529576223</v>
      </c>
      <c r="D28" s="0" t="n">
        <v>-0.100142480606787</v>
      </c>
      <c r="F28" s="0" t="n">
        <v>1986</v>
      </c>
      <c r="G28" s="0" t="n">
        <v>0.00366008492864509</v>
      </c>
      <c r="H28" s="0" t="n">
        <v>-0.333030687670132</v>
      </c>
      <c r="I28" s="0" t="n">
        <v>-0.291683742360981</v>
      </c>
      <c r="K28" s="0" t="n">
        <v>13.1</v>
      </c>
      <c r="L28" s="0" t="n">
        <v>13.3</v>
      </c>
      <c r="M28" s="0" t="n">
        <v>13.46</v>
      </c>
    </row>
    <row collapsed="false" customFormat="false" customHeight="true" hidden="false" ht="12" outlineLevel="0" r="29">
      <c r="A29" s="0" t="n">
        <v>1985</v>
      </c>
      <c r="B29" s="0" t="n">
        <v>-0.013842537895437</v>
      </c>
      <c r="C29" s="0" t="n">
        <v>-0.111414045269931</v>
      </c>
      <c r="D29" s="0" t="n">
        <v>-0.261190633747636</v>
      </c>
      <c r="F29" s="0" t="n">
        <v>1985</v>
      </c>
      <c r="G29" s="0" t="n">
        <v>-0.797725141665978</v>
      </c>
      <c r="H29" s="0" t="n">
        <v>-0.177583545750084</v>
      </c>
      <c r="I29" s="0" t="n">
        <v>-0.174332352093902</v>
      </c>
      <c r="K29" s="0" t="n">
        <v>13.3666666666667</v>
      </c>
      <c r="L29" s="0" t="n">
        <v>13.3111111111111</v>
      </c>
      <c r="M29" s="0" t="n">
        <v>13.4133333333333</v>
      </c>
    </row>
    <row collapsed="false" customFormat="false" customHeight="true" hidden="false" ht="12" outlineLevel="0" r="30">
      <c r="A30" s="0" t="n">
        <v>1984</v>
      </c>
      <c r="B30" s="0" t="n">
        <v>-0.166307183198284</v>
      </c>
      <c r="C30" s="0" t="n">
        <v>-0.333980372634982</v>
      </c>
      <c r="D30" s="0" t="n">
        <v>-0.265079962943144</v>
      </c>
      <c r="F30" s="0" t="n">
        <v>1984</v>
      </c>
      <c r="G30" s="0" t="n">
        <v>0.26131441948708</v>
      </c>
      <c r="H30" s="0" t="n">
        <v>-0.223431613041697</v>
      </c>
      <c r="I30" s="0" t="n">
        <v>-0.0568759712027146</v>
      </c>
      <c r="K30" s="0" t="n">
        <v>13.4666666666667</v>
      </c>
      <c r="L30" s="0" t="n">
        <v>13.5111111111111</v>
      </c>
      <c r="M30" s="0" t="n">
        <v>13.28</v>
      </c>
    </row>
    <row collapsed="false" customFormat="false" customHeight="true" hidden="false" ht="12" outlineLevel="0" r="31">
      <c r="A31" s="0" t="n">
        <v>1983</v>
      </c>
      <c r="B31" s="0" t="n">
        <v>-0.821791396811226</v>
      </c>
      <c r="C31" s="0" t="n">
        <v>-0.385821620701405</v>
      </c>
      <c r="F31" s="0" t="n">
        <v>1983</v>
      </c>
      <c r="G31" s="0" t="n">
        <v>-0.133884116946192</v>
      </c>
      <c r="H31" s="0" t="n">
        <v>0.16989506690792</v>
      </c>
      <c r="I31" s="0" t="n">
        <v>0.00972647368146343</v>
      </c>
      <c r="K31" s="0" t="n">
        <v>13.7</v>
      </c>
      <c r="L31" s="0" t="n">
        <v>13.3111111111111</v>
      </c>
      <c r="M31" s="0" t="n">
        <v>13.24</v>
      </c>
    </row>
    <row collapsed="false" customFormat="false" customHeight="true" hidden="false" ht="12" outlineLevel="0" r="32">
      <c r="A32" s="0" t="n">
        <v>1982</v>
      </c>
      <c r="B32" s="0" t="n">
        <v>-0.169366282094703</v>
      </c>
      <c r="F32" s="0" t="n">
        <v>1982</v>
      </c>
      <c r="G32" s="0" t="n">
        <v>0.382254898182872</v>
      </c>
      <c r="H32" s="0" t="n">
        <v>0.195014363528738</v>
      </c>
      <c r="I32" s="0" t="n">
        <v>0.147891715545135</v>
      </c>
      <c r="K32" s="0" t="n">
        <v>12.7666666666667</v>
      </c>
      <c r="L32" s="0" t="n">
        <v>13.1222222222222</v>
      </c>
      <c r="M32" s="0" t="n">
        <v>13.2133333333333</v>
      </c>
    </row>
    <row collapsed="false" customFormat="false" customHeight="true" hidden="false" ht="12" outlineLevel="0" r="33">
      <c r="A33" s="0" t="n">
        <v>1981</v>
      </c>
      <c r="F33" s="0" t="n">
        <v>1981</v>
      </c>
      <c r="G33" s="0" t="n">
        <v>0.336672309349535</v>
      </c>
      <c r="H33" s="0" t="n">
        <v>0.204009425061595</v>
      </c>
      <c r="I33" s="0" t="n">
        <v>0.110225411696211</v>
      </c>
      <c r="K33" s="0" t="n">
        <v>12.9</v>
      </c>
      <c r="L33" s="0" t="n">
        <v>12.9666666666667</v>
      </c>
      <c r="M33" s="0" t="n">
        <v>13.2266666666667</v>
      </c>
    </row>
    <row collapsed="false" customFormat="false" customHeight="true" hidden="false" ht="12" outlineLevel="0" r="34">
      <c r="A34" s="0" t="n">
        <v>1980</v>
      </c>
      <c r="F34" s="0" t="n">
        <v>1980</v>
      </c>
      <c r="G34" s="0" t="n">
        <v>-0.106898932347621</v>
      </c>
      <c r="H34" s="0" t="n">
        <v>0.100918759081458</v>
      </c>
      <c r="I34" s="0" t="n">
        <v>0.247222484781609</v>
      </c>
      <c r="K34" s="0" t="n">
        <v>13.2333333333333</v>
      </c>
      <c r="L34" s="0" t="n">
        <v>13.2222222222222</v>
      </c>
      <c r="M34" s="0" t="n">
        <v>12.9866666666667</v>
      </c>
    </row>
    <row collapsed="false" customFormat="false" customHeight="true" hidden="false" ht="12" outlineLevel="0" r="35">
      <c r="A35" s="0" t="n">
        <v>1979</v>
      </c>
      <c r="F35" s="0" t="n">
        <v>1979</v>
      </c>
      <c r="G35" s="0" t="n">
        <v>0.0729829002424595</v>
      </c>
      <c r="H35" s="0" t="n">
        <v>0.172395072125213</v>
      </c>
      <c r="I35" s="0" t="n">
        <v>0.0911139476844049</v>
      </c>
      <c r="K35" s="0" t="n">
        <v>13.5333333333333</v>
      </c>
      <c r="L35" s="0" t="n">
        <v>13.0888888888889</v>
      </c>
      <c r="M35" s="0" t="n">
        <v>12.7866666666667</v>
      </c>
    </row>
    <row collapsed="false" customFormat="false" customHeight="true" hidden="false" ht="12" outlineLevel="0" r="36">
      <c r="A36" s="0" t="n">
        <v>1978</v>
      </c>
      <c r="F36" s="0" t="n">
        <v>1978</v>
      </c>
      <c r="G36" s="0" t="n">
        <v>0.551101248480799</v>
      </c>
      <c r="H36" s="0" t="n">
        <v>0.0752654538067032</v>
      </c>
      <c r="I36" s="0" t="n">
        <v>0.0523426737950937</v>
      </c>
      <c r="K36" s="0" t="n">
        <v>12.5</v>
      </c>
      <c r="L36" s="0" t="n">
        <v>12.6</v>
      </c>
      <c r="M36" s="0" t="n">
        <v>12.7333333333333</v>
      </c>
    </row>
    <row collapsed="false" customFormat="false" customHeight="true" hidden="false" ht="12" outlineLevel="0" r="37">
      <c r="A37" s="0" t="n">
        <v>1977</v>
      </c>
      <c r="F37" s="0" t="n">
        <v>1977</v>
      </c>
      <c r="G37" s="0" t="n">
        <v>-0.398287787303149</v>
      </c>
      <c r="H37" s="0" t="n">
        <v>0.0985431336935432</v>
      </c>
      <c r="I37" s="0" t="n">
        <v>0.0541805765056947</v>
      </c>
      <c r="K37" s="0" t="n">
        <v>11.7666666666667</v>
      </c>
      <c r="L37" s="0" t="n">
        <v>12.3</v>
      </c>
      <c r="M37" s="0" t="n">
        <v>12.7933333333333</v>
      </c>
    </row>
    <row collapsed="false" customFormat="false" customHeight="true" hidden="false" ht="12" outlineLevel="0" r="38">
      <c r="A38" s="0" t="n">
        <v>1976</v>
      </c>
      <c r="F38" s="0" t="n">
        <v>1976</v>
      </c>
      <c r="G38" s="0" t="n">
        <v>0.14281593990298</v>
      </c>
      <c r="H38" s="0" t="n">
        <v>-0.117727088731595</v>
      </c>
      <c r="I38" s="0" t="n">
        <v>-0.0541154687828218</v>
      </c>
      <c r="K38" s="0" t="n">
        <v>12.6333333333333</v>
      </c>
      <c r="L38" s="0" t="n">
        <v>12.6444444444444</v>
      </c>
      <c r="M38" s="0" t="n">
        <v>12.8266666666667</v>
      </c>
    </row>
    <row collapsed="false" customFormat="false" customHeight="true" hidden="false" ht="12" outlineLevel="0" r="39">
      <c r="A39" s="0" t="n">
        <v>1975</v>
      </c>
      <c r="F39" s="0" t="n">
        <v>1975</v>
      </c>
      <c r="G39" s="0" t="n">
        <v>-0.0977094187946156</v>
      </c>
      <c r="H39" s="0" t="n">
        <v>-0.14113026836392</v>
      </c>
      <c r="I39" s="0" t="n">
        <v>-0.190747138958579</v>
      </c>
      <c r="K39" s="0" t="n">
        <v>13.5333333333333</v>
      </c>
      <c r="L39" s="0" t="n">
        <v>13.2888888888889</v>
      </c>
      <c r="M39" s="0" t="n">
        <v>13.2666666666667</v>
      </c>
    </row>
    <row collapsed="false" customFormat="false" customHeight="true" hidden="false" ht="12" outlineLevel="0" r="40">
      <c r="A40" s="0" t="n">
        <v>1974</v>
      </c>
      <c r="F40" s="0" t="n">
        <v>1974</v>
      </c>
      <c r="G40" s="0" t="n">
        <v>-0.468497326200123</v>
      </c>
      <c r="H40" s="0" t="n">
        <v>-0.232754615797576</v>
      </c>
      <c r="I40" s="0" t="n">
        <v>-0.149581440319626</v>
      </c>
      <c r="K40" s="0" t="n">
        <v>13.7</v>
      </c>
      <c r="L40" s="0" t="n">
        <v>13.9777777777778</v>
      </c>
      <c r="M40" s="0" t="n">
        <v>13.6933333333333</v>
      </c>
    </row>
    <row collapsed="false" customFormat="false" customHeight="true" hidden="false" ht="12" outlineLevel="0" r="41">
      <c r="A41" s="0" t="n">
        <v>1973</v>
      </c>
      <c r="F41" s="0" t="n">
        <v>1973</v>
      </c>
      <c r="G41" s="0" t="n">
        <v>-0.132057102397988</v>
      </c>
      <c r="H41" s="0" t="n">
        <v>-0.264337907568831</v>
      </c>
      <c r="I41" s="0" t="n">
        <v>-0.133623208901842</v>
      </c>
      <c r="K41" s="0" t="n">
        <v>14.7</v>
      </c>
      <c r="L41" s="0" t="n">
        <v>14.1</v>
      </c>
      <c r="M41" s="0" t="n">
        <v>13.86</v>
      </c>
    </row>
    <row collapsed="false" customFormat="false" customHeight="true" hidden="false" ht="12" outlineLevel="0" r="42">
      <c r="A42" s="0" t="n">
        <v>1972</v>
      </c>
      <c r="F42" s="0" t="n">
        <v>1972</v>
      </c>
      <c r="G42" s="0" t="n">
        <v>-0.192459294108382</v>
      </c>
      <c r="H42" s="0" t="n">
        <v>-0.0339697665048233</v>
      </c>
      <c r="I42" s="0" t="n">
        <v>-0.128205387761796</v>
      </c>
      <c r="K42" s="0" t="n">
        <v>13.9</v>
      </c>
      <c r="L42" s="0" t="n">
        <v>14.0222222222222</v>
      </c>
      <c r="M42" s="0" t="n">
        <v>13.9666666666667</v>
      </c>
    </row>
    <row collapsed="false" customFormat="false" customHeight="true" hidden="false" ht="12" outlineLevel="0" r="43">
      <c r="A43" s="0" t="n">
        <v>1971</v>
      </c>
      <c r="F43" s="0" t="n">
        <v>1971</v>
      </c>
      <c r="G43" s="0" t="n">
        <v>0.2226070969919</v>
      </c>
      <c r="H43" s="0" t="n">
        <v>-0.0134908367369569</v>
      </c>
      <c r="I43" s="0" t="n">
        <v>-0.0355208443561915</v>
      </c>
      <c r="K43" s="0" t="n">
        <v>13.4666666666667</v>
      </c>
      <c r="L43" s="0" t="n">
        <v>13.8111111111111</v>
      </c>
      <c r="M43" s="0" t="n">
        <v>13.9266666666667</v>
      </c>
    </row>
    <row collapsed="false" customFormat="false" customHeight="true" hidden="false" ht="12" outlineLevel="0" r="44">
      <c r="A44" s="0" t="n">
        <v>1970</v>
      </c>
      <c r="F44" s="0" t="n">
        <v>1970</v>
      </c>
      <c r="G44" s="0" t="n">
        <v>-0.0706203130943888</v>
      </c>
      <c r="H44" s="0" t="n">
        <v>0.0489707249084708</v>
      </c>
      <c r="I44" s="0" t="n">
        <v>0.0495393735533777</v>
      </c>
      <c r="K44" s="0" t="n">
        <v>14.0666666666667</v>
      </c>
      <c r="L44" s="0" t="n">
        <v>13.6777777777778</v>
      </c>
      <c r="M44" s="0" t="n">
        <v>13.5133333333333</v>
      </c>
    </row>
    <row collapsed="false" customFormat="false" customHeight="true" hidden="false" ht="12" outlineLevel="0" r="45">
      <c r="A45" s="0" t="n">
        <v>1969</v>
      </c>
      <c r="F45" s="0" t="n">
        <v>1969</v>
      </c>
      <c r="G45" s="0" t="n">
        <v>-0.00507460917209868</v>
      </c>
      <c r="H45" s="0" t="n">
        <v>0.0725163549611234</v>
      </c>
      <c r="I45" s="0" t="n">
        <v>0.0127557898440652</v>
      </c>
      <c r="K45" s="0" t="n">
        <v>13.5</v>
      </c>
      <c r="L45" s="0" t="n">
        <v>13.4</v>
      </c>
      <c r="M45" s="0" t="n">
        <v>13.52</v>
      </c>
    </row>
    <row collapsed="false" customFormat="false" customHeight="true" hidden="false" ht="12" outlineLevel="0" r="46">
      <c r="A46" s="0" t="n">
        <v>1968</v>
      </c>
      <c r="F46" s="0" t="n">
        <v>1968</v>
      </c>
      <c r="G46" s="0" t="n">
        <v>0.293243987149858</v>
      </c>
      <c r="H46" s="0" t="n">
        <v>-0.0294026115590617</v>
      </c>
      <c r="I46" s="0" t="n">
        <v>-0.11030022101451</v>
      </c>
      <c r="K46" s="0" t="n">
        <v>12.6333333333333</v>
      </c>
      <c r="L46" s="0" t="n">
        <v>13.3555555555556</v>
      </c>
      <c r="M46" s="0" t="n">
        <v>13.38</v>
      </c>
    </row>
    <row collapsed="false" customFormat="false" customHeight="true" hidden="false" ht="12" outlineLevel="0" r="47">
      <c r="A47" s="0" t="n">
        <v>1967</v>
      </c>
      <c r="F47" s="0" t="n">
        <v>1967</v>
      </c>
      <c r="G47" s="0" t="n">
        <v>-0.376377212654944</v>
      </c>
      <c r="H47" s="0" t="n">
        <v>-0.158602060935355</v>
      </c>
      <c r="I47" s="0" t="n">
        <v>-0.125416270348917</v>
      </c>
      <c r="K47" s="0" t="n">
        <v>13.9333333333333</v>
      </c>
      <c r="L47" s="0" t="n">
        <v>13.1111111111111</v>
      </c>
      <c r="M47" s="0" t="n">
        <v>13.3166666666667</v>
      </c>
    </row>
    <row collapsed="false" customFormat="false" customHeight="true" hidden="false" ht="12" outlineLevel="0" r="48">
      <c r="A48" s="0" t="n">
        <v>1966</v>
      </c>
      <c r="F48" s="0" t="n">
        <v>1966</v>
      </c>
      <c r="G48" s="0" t="n">
        <v>-0.392672957300978</v>
      </c>
      <c r="H48" s="0" t="n">
        <v>-0.305083576574115</v>
      </c>
      <c r="I48" s="0" t="n">
        <v>-0.136525660242467</v>
      </c>
      <c r="K48" s="0" t="n">
        <v>12.7666666666667</v>
      </c>
      <c r="L48" s="0" t="n">
        <v>13.4833333333333</v>
      </c>
      <c r="M48" s="0" t="n">
        <v>13.2033333333333</v>
      </c>
    </row>
    <row collapsed="false" customFormat="false" customHeight="true" hidden="false" ht="12" outlineLevel="0" r="49">
      <c r="A49" s="0" t="n">
        <v>1965</v>
      </c>
      <c r="F49" s="0" t="n">
        <v>1965</v>
      </c>
      <c r="G49" s="0" t="n">
        <v>-0.146200559766424</v>
      </c>
      <c r="H49" s="0" t="n">
        <v>-0.199831691902416</v>
      </c>
      <c r="I49" s="0" t="n">
        <v>-0.0480360651822939</v>
      </c>
      <c r="K49" s="0" t="n">
        <v>13.75</v>
      </c>
      <c r="L49" s="0" t="n">
        <v>13.15</v>
      </c>
      <c r="M49" s="0" t="n">
        <v>13.2633333333333</v>
      </c>
    </row>
    <row collapsed="false" customFormat="false" customHeight="true" hidden="false" ht="12" outlineLevel="0" r="50">
      <c r="A50" s="0" t="n">
        <v>1964</v>
      </c>
      <c r="F50" s="0" t="n">
        <v>1964</v>
      </c>
      <c r="G50" s="0" t="n">
        <v>-0.0606215586398477</v>
      </c>
      <c r="H50" s="0" t="n">
        <v>0.176289948014817</v>
      </c>
      <c r="I50" s="0" t="n">
        <v>0.0349499229395428</v>
      </c>
      <c r="K50" s="0" t="n">
        <v>12.9333333333333</v>
      </c>
      <c r="L50" s="0" t="n">
        <v>13.2055555555556</v>
      </c>
      <c r="M50" s="0" t="n">
        <v>13.3966666666667</v>
      </c>
    </row>
    <row collapsed="false" customFormat="false" customHeight="true" hidden="false" ht="12" outlineLevel="0" r="51">
      <c r="A51" s="0" t="n">
        <v>1963</v>
      </c>
      <c r="F51" s="0" t="n">
        <v>1963</v>
      </c>
      <c r="G51" s="0" t="n">
        <v>0.735691962450724</v>
      </c>
      <c r="H51" s="0" t="n">
        <v>0.237874377255039</v>
      </c>
      <c r="I51" s="0" t="n">
        <v>0.323825799088404</v>
      </c>
      <c r="K51" s="0" t="n">
        <v>12.9333333333333</v>
      </c>
      <c r="L51" s="0" t="n">
        <v>13.4888888888889</v>
      </c>
    </row>
    <row collapsed="false" customFormat="false" customHeight="true" hidden="false" ht="12" outlineLevel="0" r="52">
      <c r="A52" s="0" t="n">
        <v>1962</v>
      </c>
      <c r="F52" s="0" t="n">
        <v>1962</v>
      </c>
      <c r="G52" s="0" t="n">
        <v>0.0385527279542394</v>
      </c>
      <c r="H52" s="0" t="n">
        <v>0.608650371282765</v>
      </c>
      <c r="I52" s="0" t="n">
        <v>0.117117516550482</v>
      </c>
      <c r="K52" s="0" t="n">
        <v>14.6</v>
      </c>
    </row>
    <row collapsed="false" customFormat="false" customHeight="true" hidden="false" ht="12" outlineLevel="0" r="53">
      <c r="A53" s="0" t="n">
        <v>1961</v>
      </c>
      <c r="F53" s="0" t="n">
        <v>1961</v>
      </c>
      <c r="G53" s="0" t="n">
        <v>1.05170642344333</v>
      </c>
      <c r="H53" s="0" t="n">
        <v>-0.0298276070194883</v>
      </c>
    </row>
    <row collapsed="false" customFormat="false" customHeight="true" hidden="false" ht="12" outlineLevel="0" r="54">
      <c r="A54" s="0" t="n">
        <v>1960</v>
      </c>
      <c r="F54" s="0" t="n">
        <v>1960</v>
      </c>
      <c r="G54" s="0" t="n">
        <v>-1.17974197245604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75" zoomScaleNormal="75" zoomScalePageLayoutView="100">
      <selection activeCell="K5" activeCellId="0" pane="topLeft" sqref="K5"/>
    </sheetView>
  </sheetViews>
  <cols>
    <col collapsed="false" hidden="false" max="1025" min="1" style="0" width="10.7254901960784"/>
  </cols>
  <sheetData>
    <row collapsed="false" customFormat="false" customHeight="true" hidden="false" ht="12" outlineLevel="0" r="4">
      <c r="A4" s="0" t="s">
        <v>110</v>
      </c>
      <c r="B4" s="0" t="s">
        <v>170</v>
      </c>
      <c r="C4" s="0" t="s">
        <v>170</v>
      </c>
      <c r="D4" s="0" t="s">
        <v>170</v>
      </c>
      <c r="F4" s="0" t="s">
        <v>110</v>
      </c>
      <c r="G4" s="0" t="s">
        <v>187</v>
      </c>
      <c r="H4" s="0" t="s">
        <v>187</v>
      </c>
      <c r="I4" s="0" t="s">
        <v>187</v>
      </c>
      <c r="K4" s="0" t="s">
        <v>27</v>
      </c>
      <c r="L4" s="0" t="s">
        <v>301</v>
      </c>
      <c r="M4" s="0" t="s">
        <v>302</v>
      </c>
    </row>
    <row collapsed="false" customFormat="false" customHeight="true" hidden="false" ht="12" outlineLevel="0" r="5">
      <c r="A5" s="0" t="n">
        <v>2009</v>
      </c>
      <c r="B5" s="0" t="n">
        <v>-0.290357581425254</v>
      </c>
      <c r="F5" s="0" t="n">
        <v>2009</v>
      </c>
      <c r="K5" s="0" t="n">
        <v>84.4</v>
      </c>
      <c r="L5" s="0" t="n">
        <v>80.6333333333333</v>
      </c>
      <c r="M5" s="0" t="n">
        <v>80.42</v>
      </c>
    </row>
    <row collapsed="false" customFormat="false" customHeight="true" hidden="false" ht="12" outlineLevel="0" r="6">
      <c r="A6" s="0" t="n">
        <v>2008</v>
      </c>
      <c r="B6" s="0" t="n">
        <v>0.239226391218053</v>
      </c>
      <c r="C6" s="0" t="n">
        <v>0.197798021478592</v>
      </c>
      <c r="F6" s="0" t="n">
        <v>2008</v>
      </c>
      <c r="K6" s="0" t="n">
        <v>79.8</v>
      </c>
      <c r="L6" s="0" t="n">
        <v>79.9444444444444</v>
      </c>
      <c r="M6" s="0" t="n">
        <v>79.9133333333333</v>
      </c>
    </row>
    <row collapsed="false" customFormat="false" customHeight="true" hidden="false" ht="12" outlineLevel="0" r="7">
      <c r="A7" s="0" t="n">
        <v>2007</v>
      </c>
      <c r="B7" s="0" t="n">
        <v>0.644525254642978</v>
      </c>
      <c r="C7" s="0" t="n">
        <v>-0.0774244529056648</v>
      </c>
      <c r="D7" s="0" t="n">
        <v>-0.162286386423285</v>
      </c>
      <c r="F7" s="0" t="n">
        <v>2007</v>
      </c>
      <c r="K7" s="0" t="n">
        <v>78.4</v>
      </c>
      <c r="L7" s="0" t="n">
        <v>78.5</v>
      </c>
      <c r="M7" s="0" t="n">
        <v>79.4333333333333</v>
      </c>
    </row>
    <row collapsed="false" customFormat="false" customHeight="true" hidden="false" ht="12" outlineLevel="0" r="8">
      <c r="A8" s="0" t="n">
        <v>2006</v>
      </c>
      <c r="B8" s="0" t="n">
        <v>-1.11602500457803</v>
      </c>
      <c r="C8" s="0" t="n">
        <v>-0.253433580636408</v>
      </c>
      <c r="D8" s="0" t="n">
        <v>-0.0651539097937784</v>
      </c>
      <c r="F8" s="0" t="n">
        <v>2006</v>
      </c>
      <c r="K8" s="0" t="n">
        <v>81.25</v>
      </c>
      <c r="L8" s="0" t="n">
        <v>78.6111111111111</v>
      </c>
      <c r="M8" s="0" t="n">
        <v>78.2333333333333</v>
      </c>
    </row>
    <row collapsed="false" customFormat="false" customHeight="true" hidden="false" ht="12" outlineLevel="0" r="9">
      <c r="A9" s="0" t="n">
        <v>2005</v>
      </c>
      <c r="B9" s="0" t="n">
        <v>-0.288800991974175</v>
      </c>
      <c r="C9" s="0" t="n">
        <v>-0.403173731609974</v>
      </c>
      <c r="D9" s="0" t="n">
        <v>-0.255067536268001</v>
      </c>
      <c r="F9" s="0" t="n">
        <v>2005</v>
      </c>
      <c r="K9" s="0" t="n">
        <v>81.3</v>
      </c>
      <c r="L9" s="0" t="n">
        <v>78.2777777777778</v>
      </c>
      <c r="M9" s="0" t="n">
        <v>78.38</v>
      </c>
    </row>
    <row collapsed="false" customFormat="false" customHeight="true" hidden="false" ht="12" outlineLevel="0" r="10">
      <c r="A10" s="0" t="n">
        <v>2004</v>
      </c>
      <c r="B10" s="0" t="n">
        <v>0.195304801722278</v>
      </c>
      <c r="C10" s="0" t="n">
        <v>-0.267945977134985</v>
      </c>
      <c r="D10" s="0" t="n">
        <v>-0.283055482492939</v>
      </c>
      <c r="F10" s="0" t="n">
        <v>2004</v>
      </c>
      <c r="K10" s="0" t="n">
        <v>79.2</v>
      </c>
      <c r="L10" s="0" t="n">
        <v>78.0777777777778</v>
      </c>
      <c r="M10" s="0" t="n">
        <v>77.66</v>
      </c>
    </row>
    <row collapsed="false" customFormat="false" customHeight="true" hidden="false" ht="12" outlineLevel="0" r="11">
      <c r="A11" s="0" t="n">
        <v>2003</v>
      </c>
      <c r="B11" s="0" t="n">
        <v>-0.710341741153059</v>
      </c>
      <c r="C11" s="0" t="n">
        <v>-0.00348380530416451</v>
      </c>
      <c r="D11" s="0" t="n">
        <v>-0.0673433659722948</v>
      </c>
      <c r="F11" s="0" t="n">
        <v>2003</v>
      </c>
      <c r="K11" s="0" t="n">
        <v>81</v>
      </c>
      <c r="L11" s="0" t="n">
        <v>76.9888888888889</v>
      </c>
      <c r="M11" s="0" t="n">
        <v>77.4333333333333</v>
      </c>
    </row>
    <row collapsed="false" customFormat="false" customHeight="true" hidden="false" ht="12" outlineLevel="0" r="12">
      <c r="A12" s="0" t="n">
        <v>2002</v>
      </c>
      <c r="B12" s="0" t="n">
        <v>0.504585523518288</v>
      </c>
      <c r="C12" s="0" t="n">
        <v>-0.0810735465365255</v>
      </c>
      <c r="D12" s="0" t="n">
        <v>0.145287279823797</v>
      </c>
      <c r="F12" s="0" t="n">
        <v>2002</v>
      </c>
      <c r="K12" s="0" t="n">
        <v>75.7</v>
      </c>
      <c r="L12" s="0" t="n">
        <v>77.1666666666666</v>
      </c>
      <c r="M12" s="0" t="n">
        <v>77.3333333333333</v>
      </c>
    </row>
    <row collapsed="false" customFormat="false" customHeight="true" hidden="false" ht="12" outlineLevel="0" r="13">
      <c r="A13" s="0" t="n">
        <v>2001</v>
      </c>
      <c r="B13" s="0" t="n">
        <v>-0.0374644219748053</v>
      </c>
      <c r="C13" s="0" t="n">
        <v>0.413824446183256</v>
      </c>
      <c r="D13" s="0" t="n">
        <v>0.0957138678473367</v>
      </c>
      <c r="F13" s="0" t="n">
        <v>2001</v>
      </c>
      <c r="K13" s="0" t="n">
        <v>79.7</v>
      </c>
      <c r="L13" s="0" t="n">
        <v>76.8666666666667</v>
      </c>
      <c r="M13" s="0" t="n">
        <v>77.7333333333333</v>
      </c>
    </row>
    <row collapsed="false" customFormat="false" customHeight="true" hidden="false" ht="12" outlineLevel="0" r="14">
      <c r="A14" s="0" t="n">
        <v>2000</v>
      </c>
      <c r="B14" s="0" t="n">
        <v>0.774352237006285</v>
      </c>
      <c r="C14" s="0" t="n">
        <v>0.228108518957152</v>
      </c>
      <c r="D14" s="0" t="n">
        <v>0.183052777004868</v>
      </c>
      <c r="F14" s="0" t="n">
        <v>2000</v>
      </c>
      <c r="K14" s="0" t="n">
        <v>78.35</v>
      </c>
      <c r="L14" s="0" t="n">
        <v>78.4</v>
      </c>
      <c r="M14" s="0" t="n">
        <v>77.72</v>
      </c>
    </row>
    <row collapsed="false" customFormat="false" customHeight="true" hidden="false" ht="12" outlineLevel="0" r="15">
      <c r="A15" s="0" t="n">
        <v>1999</v>
      </c>
      <c r="B15" s="0" t="n">
        <v>-0.0525622581600255</v>
      </c>
      <c r="C15" s="0" t="n">
        <v>0.149380927826952</v>
      </c>
      <c r="D15" s="0" t="n">
        <v>-0.00931843880057593</v>
      </c>
      <c r="F15" s="0" t="n">
        <v>1999</v>
      </c>
      <c r="K15" s="0" t="n">
        <v>79.75</v>
      </c>
      <c r="L15" s="0" t="n">
        <v>78.5555555555556</v>
      </c>
      <c r="M15" s="0" t="n">
        <v>78.7266666666667</v>
      </c>
    </row>
    <row collapsed="false" customFormat="false" customHeight="true" hidden="false" ht="12" outlineLevel="0" r="16">
      <c r="A16" s="0" t="n">
        <v>1998</v>
      </c>
      <c r="B16" s="0" t="n">
        <v>-0.273647195365403</v>
      </c>
      <c r="C16" s="0" t="n">
        <v>-0.261160003011453</v>
      </c>
      <c r="D16" s="0" t="n">
        <v>-0.030212023310125</v>
      </c>
      <c r="F16" s="0" t="n">
        <v>1998</v>
      </c>
      <c r="K16" s="0" t="n">
        <v>80.15</v>
      </c>
      <c r="L16" s="0" t="n">
        <v>79.3111111111111</v>
      </c>
      <c r="M16" s="0" t="n">
        <v>78.5066666666667</v>
      </c>
    </row>
    <row collapsed="false" customFormat="false" customHeight="true" hidden="false" ht="12" outlineLevel="0" r="17">
      <c r="A17" s="0" t="n">
        <v>1997</v>
      </c>
      <c r="B17" s="0" t="n">
        <v>-0.457270555508932</v>
      </c>
      <c r="C17" s="0" t="n">
        <v>-0.290950031798962</v>
      </c>
      <c r="D17" s="0" t="n">
        <v>-0.198601536431457</v>
      </c>
      <c r="F17" s="0" t="n">
        <v>1997</v>
      </c>
      <c r="K17" s="0" t="n">
        <v>81.45</v>
      </c>
      <c r="L17" s="0" t="n">
        <v>78.4555555555556</v>
      </c>
      <c r="M17" s="0" t="n">
        <v>78.8866666666667</v>
      </c>
    </row>
    <row collapsed="false" customFormat="false" customHeight="true" hidden="false" ht="12" outlineLevel="0" r="18">
      <c r="A18" s="0" t="n">
        <v>1996</v>
      </c>
      <c r="B18" s="0" t="n">
        <v>-0.141932344522551</v>
      </c>
      <c r="C18" s="0" t="n">
        <v>-0.222266076210618</v>
      </c>
      <c r="D18" s="0" t="n">
        <v>-0.0749591310729175</v>
      </c>
      <c r="F18" s="0" t="n">
        <v>1996</v>
      </c>
      <c r="K18" s="0" t="n">
        <v>79.7</v>
      </c>
      <c r="L18" s="0" t="n">
        <v>78.8111111111111</v>
      </c>
      <c r="M18" s="0" t="n">
        <v>78.74</v>
      </c>
    </row>
    <row collapsed="false" customFormat="false" customHeight="true" hidden="false" ht="12" outlineLevel="0" r="19">
      <c r="A19" s="0" t="n">
        <v>1995</v>
      </c>
      <c r="B19" s="0" t="n">
        <v>-0.0675953286003726</v>
      </c>
      <c r="C19" s="0" t="n">
        <v>0.118707365169916</v>
      </c>
      <c r="D19" s="0" t="n">
        <v>0.125209171132614</v>
      </c>
      <c r="F19" s="0" t="n">
        <v>1995</v>
      </c>
      <c r="G19" s="0" t="n">
        <v>0.24734605506512</v>
      </c>
      <c r="K19" s="0" t="n">
        <v>80.8</v>
      </c>
      <c r="L19" s="0" t="n">
        <v>78.4222222222222</v>
      </c>
      <c r="M19" s="0" t="n">
        <v>78.0933333333333</v>
      </c>
    </row>
    <row collapsed="false" customFormat="false" customHeight="true" hidden="false" ht="12" outlineLevel="0" r="20">
      <c r="A20" s="0" t="n">
        <v>1994</v>
      </c>
      <c r="B20" s="0" t="n">
        <v>0.56564976863267</v>
      </c>
      <c r="C20" s="0" t="n">
        <v>0.408416251898184</v>
      </c>
      <c r="D20" s="0" t="n">
        <v>0.315527580806515</v>
      </c>
      <c r="F20" s="0" t="n">
        <v>1994</v>
      </c>
      <c r="G20" s="0" t="n">
        <v>0.107018947076846</v>
      </c>
      <c r="H20" s="0" t="n">
        <v>0.135530477208596</v>
      </c>
      <c r="K20" s="0" t="n">
        <v>80.35</v>
      </c>
      <c r="L20" s="0" t="n">
        <v>77.8666666666667</v>
      </c>
      <c r="M20" s="0" t="n">
        <v>77.9133333333333</v>
      </c>
    </row>
    <row collapsed="false" customFormat="false" customHeight="true" hidden="false" ht="12" outlineLevel="0" r="21">
      <c r="A21" s="0" t="n">
        <v>1993</v>
      </c>
      <c r="B21" s="0" t="n">
        <v>0.727194315662255</v>
      </c>
      <c r="C21" s="0" t="n">
        <v>0.595721859051833</v>
      </c>
      <c r="D21" s="0" t="n">
        <v>0.474970132624124</v>
      </c>
      <c r="F21" s="0" t="n">
        <v>1993</v>
      </c>
      <c r="G21" s="0" t="n">
        <v>0.0522264294838219</v>
      </c>
      <c r="H21" s="0" t="n">
        <v>-0.173889591832438</v>
      </c>
      <c r="I21" s="0" t="n">
        <v>0.0231737318667579</v>
      </c>
      <c r="K21" s="0" t="n">
        <v>76.05</v>
      </c>
      <c r="L21" s="0" t="n">
        <v>77.6888888888889</v>
      </c>
      <c r="M21" s="0" t="n">
        <v>77.9133333333333</v>
      </c>
    </row>
    <row collapsed="false" customFormat="false" customHeight="true" hidden="false" ht="12" outlineLevel="0" r="22">
      <c r="A22" s="0" t="n">
        <v>1992</v>
      </c>
      <c r="B22" s="0" t="n">
        <v>0.494321492860573</v>
      </c>
      <c r="C22" s="0" t="n">
        <v>0.625598741029441</v>
      </c>
      <c r="D22" s="0" t="n">
        <v>0.519970090490435</v>
      </c>
      <c r="F22" s="0" t="n">
        <v>1992</v>
      </c>
      <c r="G22" s="0" t="n">
        <v>-0.680914152057983</v>
      </c>
      <c r="H22" s="0" t="n">
        <v>-0.0794987809360589</v>
      </c>
      <c r="I22" s="0" t="n">
        <v>0.163663051642638</v>
      </c>
      <c r="K22" s="0" t="n">
        <v>80.3</v>
      </c>
      <c r="L22" s="0" t="n">
        <v>77.0777777777778</v>
      </c>
      <c r="M22" s="0" t="n">
        <v>77.6466666666667</v>
      </c>
    </row>
    <row collapsed="false" customFormat="false" customHeight="true" hidden="false" ht="12" outlineLevel="0" r="23">
      <c r="A23" s="0" t="n">
        <v>1991</v>
      </c>
      <c r="B23" s="0" t="n">
        <v>0.655280414565495</v>
      </c>
      <c r="C23" s="0" t="n">
        <v>0.43566878938575</v>
      </c>
      <c r="D23" s="0" t="n">
        <v>0.486053554958598</v>
      </c>
      <c r="F23" s="0" t="n">
        <v>1991</v>
      </c>
      <c r="G23" s="0" t="n">
        <v>0.390191379765985</v>
      </c>
      <c r="H23" s="0" t="n">
        <v>0.219689960550841</v>
      </c>
      <c r="I23" s="0" t="n">
        <v>0.0426158032705497</v>
      </c>
      <c r="K23" s="0" t="n">
        <v>78.7</v>
      </c>
      <c r="L23" s="0" t="n">
        <v>78.0666666666667</v>
      </c>
      <c r="M23" s="0" t="n">
        <v>77.0666666666667</v>
      </c>
    </row>
    <row collapsed="false" customFormat="false" customHeight="true" hidden="false" ht="12" outlineLevel="0" r="24">
      <c r="A24" s="0" t="n">
        <v>1990</v>
      </c>
      <c r="B24" s="0" t="n">
        <v>0.157404460731182</v>
      </c>
      <c r="C24" s="0" t="n">
        <v>0.402917322090053</v>
      </c>
      <c r="D24" s="0" t="n">
        <v>0.33730456560475</v>
      </c>
      <c r="F24" s="0" t="n">
        <v>1990</v>
      </c>
      <c r="G24" s="0" t="n">
        <v>0.949792653944522</v>
      </c>
      <c r="H24" s="0" t="n">
        <v>0.280588912975637</v>
      </c>
      <c r="I24" s="0" t="n">
        <v>-0.111957696282532</v>
      </c>
      <c r="K24" s="0" t="n">
        <v>78.9</v>
      </c>
      <c r="L24" s="0" t="n">
        <v>77.0111111111111</v>
      </c>
      <c r="M24" s="0" t="n">
        <v>77.78</v>
      </c>
    </row>
    <row collapsed="false" customFormat="false" customHeight="true" hidden="false" ht="12" outlineLevel="0" r="25">
      <c r="A25" s="0" t="n">
        <v>1989</v>
      </c>
      <c r="B25" s="0" t="n">
        <v>0.396067090973483</v>
      </c>
      <c r="C25" s="0" t="n">
        <v>0.178973640199227</v>
      </c>
      <c r="D25" s="0" t="n">
        <v>0.208456339809203</v>
      </c>
      <c r="F25" s="0" t="n">
        <v>1989</v>
      </c>
      <c r="G25" s="0" t="n">
        <v>-0.498217294783597</v>
      </c>
      <c r="H25" s="0" t="n">
        <v>-0.0896885697068879</v>
      </c>
      <c r="I25" s="0" t="n">
        <v>-0.0167802671255483</v>
      </c>
      <c r="K25" s="0" t="n">
        <v>77.85</v>
      </c>
      <c r="L25" s="0" t="n">
        <v>77.6444444444445</v>
      </c>
      <c r="M25" s="0" t="n">
        <v>77.8866666666667</v>
      </c>
    </row>
    <row collapsed="false" customFormat="false" customHeight="true" hidden="false" ht="12" outlineLevel="0" r="26">
      <c r="A26" s="0" t="n">
        <v>1988</v>
      </c>
      <c r="B26" s="0" t="n">
        <v>-0.0165506311069828</v>
      </c>
      <c r="C26" s="0" t="n">
        <v>0.0765322745831129</v>
      </c>
      <c r="D26" s="0" t="n">
        <v>0.0465817739528901</v>
      </c>
      <c r="F26" s="0" t="n">
        <v>1988</v>
      </c>
      <c r="G26" s="0" t="n">
        <v>-0.720641068281589</v>
      </c>
      <c r="H26" s="0" t="n">
        <v>-0.474628456446083</v>
      </c>
      <c r="I26" s="0" t="n">
        <v>-0.0940865260930163</v>
      </c>
      <c r="K26" s="0" t="n">
        <v>79.1</v>
      </c>
      <c r="L26" s="0" t="n">
        <v>78.0888888888889</v>
      </c>
      <c r="M26" s="0" t="n">
        <v>78.1733333333333</v>
      </c>
    </row>
    <row collapsed="false" customFormat="false" customHeight="true" hidden="false" ht="12" outlineLevel="0" r="27">
      <c r="A27" s="0" t="n">
        <v>1987</v>
      </c>
      <c r="B27" s="0" t="n">
        <v>-0.149919636117161</v>
      </c>
      <c r="C27" s="0" t="n">
        <v>-0.106854227313405</v>
      </c>
      <c r="D27" s="0" t="n">
        <v>0.0123323742275663</v>
      </c>
      <c r="F27" s="0" t="n">
        <v>1987</v>
      </c>
      <c r="G27" s="0" t="n">
        <v>-0.205027006273063</v>
      </c>
      <c r="H27" s="0" t="n">
        <v>-0.307335996542002</v>
      </c>
      <c r="I27" s="0" t="n">
        <v>-0.443590085215116</v>
      </c>
      <c r="K27" s="0" t="n">
        <v>80.1</v>
      </c>
      <c r="L27" s="0" t="n">
        <v>78.9222222222222</v>
      </c>
      <c r="M27" s="0" t="n">
        <v>78.6</v>
      </c>
    </row>
    <row collapsed="false" customFormat="false" customHeight="true" hidden="false" ht="12" outlineLevel="0" r="28">
      <c r="A28" s="0" t="n">
        <v>1986</v>
      </c>
      <c r="B28" s="0" t="n">
        <v>-0.15409241471607</v>
      </c>
      <c r="C28" s="0" t="n">
        <v>-0.105951529576223</v>
      </c>
      <c r="D28" s="0" t="n">
        <v>-0.100142480606787</v>
      </c>
      <c r="F28" s="0" t="n">
        <v>1986</v>
      </c>
      <c r="G28" s="0" t="n">
        <v>0.00366008492864509</v>
      </c>
      <c r="H28" s="0" t="n">
        <v>-0.333030687670132</v>
      </c>
      <c r="I28" s="0" t="n">
        <v>-0.291683742360981</v>
      </c>
      <c r="K28" s="0" t="n">
        <v>79.4</v>
      </c>
      <c r="L28" s="0" t="n">
        <v>79.4333333333333</v>
      </c>
      <c r="M28" s="0" t="n">
        <v>79.4866666666667</v>
      </c>
    </row>
    <row collapsed="false" customFormat="false" customHeight="true" hidden="false" ht="12" outlineLevel="0" r="29">
      <c r="A29" s="0" t="n">
        <v>1985</v>
      </c>
      <c r="B29" s="0" t="n">
        <v>-0.013842537895437</v>
      </c>
      <c r="C29" s="0" t="n">
        <v>-0.111414045269931</v>
      </c>
      <c r="D29" s="0" t="n">
        <v>-0.261190633747636</v>
      </c>
      <c r="F29" s="0" t="n">
        <v>1985</v>
      </c>
      <c r="G29" s="0" t="n">
        <v>-0.797725141665978</v>
      </c>
      <c r="H29" s="0" t="n">
        <v>-0.177583545750084</v>
      </c>
      <c r="I29" s="0" t="n">
        <v>-0.174332352093902</v>
      </c>
      <c r="K29" s="0" t="n">
        <v>79.3</v>
      </c>
      <c r="L29" s="0" t="n">
        <v>79.6777777777778</v>
      </c>
      <c r="M29" s="0" t="n">
        <v>80.0733333333333</v>
      </c>
    </row>
    <row collapsed="false" customFormat="false" customHeight="true" hidden="false" ht="12" outlineLevel="0" r="30">
      <c r="A30" s="0" t="n">
        <v>1984</v>
      </c>
      <c r="B30" s="0" t="n">
        <v>-0.166307183198284</v>
      </c>
      <c r="C30" s="0" t="n">
        <v>-0.333980372634982</v>
      </c>
      <c r="D30" s="0" t="n">
        <v>-0.265079962943144</v>
      </c>
      <c r="F30" s="0" t="n">
        <v>1984</v>
      </c>
      <c r="G30" s="0" t="n">
        <v>0.26131441948708</v>
      </c>
      <c r="H30" s="0" t="n">
        <v>-0.223431613041697</v>
      </c>
      <c r="I30" s="0" t="n">
        <v>-0.0568759712027146</v>
      </c>
      <c r="K30" s="0" t="n">
        <v>80.15</v>
      </c>
      <c r="L30" s="0" t="n">
        <v>80.8111111111111</v>
      </c>
      <c r="M30" s="0" t="n">
        <v>80.2333333333333</v>
      </c>
    </row>
    <row collapsed="false" customFormat="false" customHeight="true" hidden="false" ht="12" outlineLevel="0" r="31">
      <c r="A31" s="0" t="n">
        <v>1983</v>
      </c>
      <c r="B31" s="0" t="n">
        <v>-0.821791396811226</v>
      </c>
      <c r="C31" s="0" t="n">
        <v>-0.385821620701405</v>
      </c>
      <c r="F31" s="0" t="n">
        <v>1983</v>
      </c>
      <c r="G31" s="0" t="n">
        <v>-0.133884116946192</v>
      </c>
      <c r="H31" s="0" t="n">
        <v>0.16989506690792</v>
      </c>
      <c r="I31" s="0" t="n">
        <v>0.00972647368146343</v>
      </c>
      <c r="K31" s="0" t="n">
        <v>83.7</v>
      </c>
      <c r="L31" s="0" t="n">
        <v>80.8111111111111</v>
      </c>
      <c r="M31" s="0" t="n">
        <v>80.6266666666667</v>
      </c>
    </row>
    <row collapsed="false" customFormat="false" customHeight="true" hidden="false" ht="12" outlineLevel="0" r="32">
      <c r="A32" s="0" t="n">
        <v>1982</v>
      </c>
      <c r="B32" s="0" t="n">
        <v>-0.169366282094703</v>
      </c>
      <c r="F32" s="0" t="n">
        <v>1982</v>
      </c>
      <c r="G32" s="0" t="n">
        <v>0.382254898182872</v>
      </c>
      <c r="H32" s="0" t="n">
        <v>0.195014363528738</v>
      </c>
      <c r="I32" s="0" t="n">
        <v>0.147891715545135</v>
      </c>
      <c r="K32" s="0" t="n">
        <v>81.25</v>
      </c>
      <c r="L32" s="0" t="n">
        <v>80.8222222222222</v>
      </c>
      <c r="M32" s="0" t="n">
        <v>80.58</v>
      </c>
    </row>
    <row collapsed="false" customFormat="false" customHeight="true" hidden="false" ht="12" outlineLevel="0" r="33">
      <c r="A33" s="0" t="n">
        <v>1981</v>
      </c>
      <c r="F33" s="0" t="n">
        <v>1981</v>
      </c>
      <c r="G33" s="0" t="n">
        <v>0.336672309349535</v>
      </c>
      <c r="H33" s="0" t="n">
        <v>0.204009425061595</v>
      </c>
      <c r="I33" s="0" t="n">
        <v>0.110225411696211</v>
      </c>
      <c r="K33" s="0" t="n">
        <v>79.2</v>
      </c>
      <c r="L33" s="0" t="n">
        <v>80.2777777777778</v>
      </c>
      <c r="M33" s="0" t="n">
        <v>80.7933333333333</v>
      </c>
    </row>
    <row collapsed="false" customFormat="false" customHeight="true" hidden="false" ht="12" outlineLevel="0" r="34">
      <c r="A34" s="0" t="n">
        <v>1980</v>
      </c>
      <c r="F34" s="0" t="n">
        <v>1980</v>
      </c>
      <c r="G34" s="0" t="n">
        <v>-0.106898932347621</v>
      </c>
      <c r="H34" s="0" t="n">
        <v>0.100918759081458</v>
      </c>
      <c r="I34" s="0" t="n">
        <v>0.247222484781609</v>
      </c>
      <c r="K34" s="0" t="n">
        <v>80.4</v>
      </c>
      <c r="L34" s="0" t="n">
        <v>80.6111111111111</v>
      </c>
      <c r="M34" s="0" t="n">
        <v>80.0133333333333</v>
      </c>
    </row>
    <row collapsed="false" customFormat="false" customHeight="true" hidden="false" ht="12" outlineLevel="0" r="35">
      <c r="A35" s="0" t="n">
        <v>1979</v>
      </c>
      <c r="F35" s="0" t="n">
        <v>1979</v>
      </c>
      <c r="G35" s="0" t="n">
        <v>0.0729829002424595</v>
      </c>
      <c r="H35" s="0" t="n">
        <v>0.172395072125213</v>
      </c>
      <c r="I35" s="0" t="n">
        <v>0.0911139476844049</v>
      </c>
      <c r="K35" s="0" t="n">
        <v>80.95</v>
      </c>
      <c r="L35" s="0" t="n">
        <v>79.7888888888889</v>
      </c>
      <c r="M35" s="0" t="n">
        <v>79.56</v>
      </c>
    </row>
    <row collapsed="false" customFormat="false" customHeight="true" hidden="false" ht="12" outlineLevel="0" r="36">
      <c r="A36" s="0" t="n">
        <v>1978</v>
      </c>
      <c r="F36" s="0" t="n">
        <v>1978</v>
      </c>
      <c r="G36" s="0" t="n">
        <v>0.551101248480799</v>
      </c>
      <c r="H36" s="0" t="n">
        <v>0.0752654538067032</v>
      </c>
      <c r="I36" s="0" t="n">
        <v>0.0523426737950937</v>
      </c>
      <c r="K36" s="0" t="n">
        <v>78.1</v>
      </c>
      <c r="L36" s="0" t="n">
        <v>79.1111111111111</v>
      </c>
      <c r="M36" s="0" t="n">
        <v>79.5133333333334</v>
      </c>
    </row>
    <row collapsed="false" customFormat="false" customHeight="true" hidden="false" ht="12" outlineLevel="0" r="37">
      <c r="A37" s="0" t="n">
        <v>1977</v>
      </c>
      <c r="F37" s="0" t="n">
        <v>1977</v>
      </c>
      <c r="G37" s="0" t="n">
        <v>-0.398287787303149</v>
      </c>
      <c r="H37" s="0" t="n">
        <v>0.0985431336935432</v>
      </c>
      <c r="I37" s="0" t="n">
        <v>0.0541805765056947</v>
      </c>
      <c r="K37" s="0" t="n">
        <v>79</v>
      </c>
      <c r="L37" s="0" t="n">
        <v>78.6888888888889</v>
      </c>
      <c r="M37" s="0" t="n">
        <v>79.8666666666667</v>
      </c>
    </row>
    <row collapsed="false" customFormat="false" customHeight="true" hidden="false" ht="12" outlineLevel="0" r="38">
      <c r="A38" s="0" t="n">
        <v>1976</v>
      </c>
      <c r="F38" s="0" t="n">
        <v>1976</v>
      </c>
      <c r="G38" s="0" t="n">
        <v>0.14281593990298</v>
      </c>
      <c r="H38" s="0" t="n">
        <v>-0.117727088731595</v>
      </c>
      <c r="I38" s="0" t="n">
        <v>-0.0541154687828218</v>
      </c>
      <c r="K38" s="0" t="n">
        <v>81.9</v>
      </c>
      <c r="L38" s="0" t="n">
        <v>80.0333333333333</v>
      </c>
      <c r="M38" s="0" t="n">
        <v>79.4533333333333</v>
      </c>
    </row>
    <row collapsed="false" customFormat="false" customHeight="true" hidden="false" ht="12" outlineLevel="0" r="39">
      <c r="A39" s="0" t="n">
        <v>1975</v>
      </c>
      <c r="F39" s="0" t="n">
        <v>1975</v>
      </c>
      <c r="G39" s="0" t="n">
        <v>-0.0977094187946156</v>
      </c>
      <c r="H39" s="0" t="n">
        <v>-0.14113026836392</v>
      </c>
      <c r="I39" s="0" t="n">
        <v>-0.190747138958579</v>
      </c>
      <c r="K39" s="0" t="n">
        <v>81.7</v>
      </c>
      <c r="L39" s="0" t="n">
        <v>80.4333333333333</v>
      </c>
      <c r="M39" s="0" t="n">
        <v>80.4733333333333</v>
      </c>
    </row>
    <row collapsed="false" customFormat="false" customHeight="true" hidden="false" ht="12" outlineLevel="0" r="40">
      <c r="A40" s="0" t="n">
        <v>1974</v>
      </c>
      <c r="F40" s="0" t="n">
        <v>1974</v>
      </c>
      <c r="G40" s="0" t="n">
        <v>-0.468497326200123</v>
      </c>
      <c r="H40" s="0" t="n">
        <v>-0.232754615797576</v>
      </c>
      <c r="I40" s="0" t="n">
        <v>-0.149581440319626</v>
      </c>
      <c r="K40" s="0" t="n">
        <v>80.5</v>
      </c>
      <c r="L40" s="0" t="n">
        <v>81.3888888888889</v>
      </c>
      <c r="M40" s="0" t="n">
        <v>80.5733333333333</v>
      </c>
    </row>
    <row collapsed="false" customFormat="false" customHeight="true" hidden="false" ht="12" outlineLevel="0" r="41">
      <c r="A41" s="0" t="n">
        <v>1973</v>
      </c>
      <c r="F41" s="0" t="n">
        <v>1973</v>
      </c>
      <c r="G41" s="0" t="n">
        <v>-0.132057102397988</v>
      </c>
      <c r="H41" s="0" t="n">
        <v>-0.264337907568831</v>
      </c>
      <c r="I41" s="0" t="n">
        <v>-0.133623208901842</v>
      </c>
      <c r="K41" s="0" t="n">
        <v>84.25</v>
      </c>
      <c r="L41" s="0" t="n">
        <v>80.2888888888889</v>
      </c>
      <c r="M41" s="0" t="n">
        <v>80.3333333333333</v>
      </c>
    </row>
    <row collapsed="false" customFormat="false" customHeight="true" hidden="false" ht="12" outlineLevel="0" r="42">
      <c r="A42" s="0" t="n">
        <v>1972</v>
      </c>
      <c r="F42" s="0" t="n">
        <v>1972</v>
      </c>
      <c r="G42" s="0" t="n">
        <v>-0.192459294108382</v>
      </c>
      <c r="H42" s="0" t="n">
        <v>-0.0339697665048233</v>
      </c>
      <c r="I42" s="0" t="n">
        <v>-0.128205387761796</v>
      </c>
      <c r="K42" s="0" t="n">
        <v>79.3</v>
      </c>
      <c r="L42" s="0" t="n">
        <v>80.1555555555555</v>
      </c>
      <c r="M42" s="0" t="n">
        <v>80.2133333333333</v>
      </c>
    </row>
    <row collapsed="false" customFormat="false" customHeight="true" hidden="false" ht="12" outlineLevel="0" r="43">
      <c r="A43" s="0" t="n">
        <v>1971</v>
      </c>
      <c r="F43" s="0" t="n">
        <v>1971</v>
      </c>
      <c r="G43" s="0" t="n">
        <v>0.2226070969919</v>
      </c>
      <c r="H43" s="0" t="n">
        <v>-0.0134908367369569</v>
      </c>
      <c r="I43" s="0" t="n">
        <v>-0.0355208443561915</v>
      </c>
      <c r="K43" s="0" t="n">
        <v>81.65</v>
      </c>
      <c r="L43" s="0" t="n">
        <v>79.6</v>
      </c>
      <c r="M43" s="0" t="n">
        <v>80.3733333333333</v>
      </c>
    </row>
    <row collapsed="false" customFormat="false" customHeight="true" hidden="false" ht="12" outlineLevel="0" r="44">
      <c r="A44" s="0" t="n">
        <v>1970</v>
      </c>
      <c r="F44" s="0" t="n">
        <v>1970</v>
      </c>
      <c r="G44" s="0" t="n">
        <v>-0.0706203130943888</v>
      </c>
      <c r="H44" s="0" t="n">
        <v>0.0489707249084708</v>
      </c>
      <c r="I44" s="0" t="n">
        <v>0.0495393735533777</v>
      </c>
      <c r="K44" s="0" t="n">
        <v>83.35</v>
      </c>
      <c r="L44" s="0" t="n">
        <v>80.1</v>
      </c>
      <c r="M44" s="0" t="n">
        <v>79.8266666666667</v>
      </c>
    </row>
    <row collapsed="false" customFormat="false" customHeight="true" hidden="false" ht="12" outlineLevel="0" r="45">
      <c r="A45" s="0" t="n">
        <v>1969</v>
      </c>
      <c r="F45" s="0" t="n">
        <v>1969</v>
      </c>
      <c r="G45" s="0" t="n">
        <v>-0.00507460917209868</v>
      </c>
      <c r="H45" s="0" t="n">
        <v>0.0725163549611234</v>
      </c>
      <c r="I45" s="0" t="n">
        <v>0.0127557898440652</v>
      </c>
      <c r="K45" s="0" t="n">
        <v>82.35</v>
      </c>
      <c r="L45" s="0" t="n">
        <v>80.5444444444444</v>
      </c>
      <c r="M45" s="0" t="n">
        <v>80.2066666666667</v>
      </c>
    </row>
    <row collapsed="false" customFormat="false" customHeight="true" hidden="false" ht="12" outlineLevel="0" r="46">
      <c r="A46" s="0" t="n">
        <v>1968</v>
      </c>
      <c r="F46" s="0" t="n">
        <v>1968</v>
      </c>
      <c r="G46" s="0" t="n">
        <v>0.293243987149858</v>
      </c>
      <c r="H46" s="0" t="n">
        <v>-0.0294026115590617</v>
      </c>
      <c r="I46" s="0" t="n">
        <v>-0.11030022101451</v>
      </c>
      <c r="K46" s="0" t="n">
        <v>81.65</v>
      </c>
      <c r="L46" s="0" t="n">
        <v>80.2777777777778</v>
      </c>
      <c r="M46" s="0" t="n">
        <v>80.0733333333333</v>
      </c>
    </row>
    <row collapsed="false" customFormat="false" customHeight="true" hidden="false" ht="12" outlineLevel="0" r="47">
      <c r="A47" s="0" t="n">
        <v>1967</v>
      </c>
      <c r="F47" s="0" t="n">
        <v>1967</v>
      </c>
      <c r="G47" s="0" t="n">
        <v>-0.376377212654944</v>
      </c>
      <c r="H47" s="0" t="n">
        <v>-0.158602060935355</v>
      </c>
      <c r="I47" s="0" t="n">
        <v>-0.125416270348917</v>
      </c>
      <c r="K47" s="0" t="n">
        <v>81.25</v>
      </c>
      <c r="L47" s="0" t="n">
        <v>79.6555555555556</v>
      </c>
    </row>
    <row collapsed="false" customFormat="false" customHeight="true" hidden="false" ht="12" outlineLevel="0" r="48">
      <c r="A48" s="0" t="n">
        <v>1966</v>
      </c>
      <c r="F48" s="0" t="n">
        <v>1966</v>
      </c>
      <c r="G48" s="0" t="n">
        <v>-0.392672957300978</v>
      </c>
      <c r="H48" s="0" t="n">
        <v>-0.305083576574115</v>
      </c>
      <c r="I48" s="0" t="n">
        <v>-0.136525660242467</v>
      </c>
      <c r="K48" s="0" t="n">
        <v>79.7</v>
      </c>
    </row>
    <row collapsed="false" customFormat="false" customHeight="true" hidden="false" ht="12" outlineLevel="0" r="49">
      <c r="A49" s="0" t="n">
        <v>1965</v>
      </c>
      <c r="F49" s="0" t="n">
        <v>1965</v>
      </c>
      <c r="G49" s="0" t="n">
        <v>-0.146200559766424</v>
      </c>
      <c r="H49" s="0" t="n">
        <v>-0.199831691902416</v>
      </c>
      <c r="I49" s="0" t="n">
        <v>-0.0480360651822939</v>
      </c>
    </row>
    <row collapsed="false" customFormat="false" customHeight="true" hidden="false" ht="12" outlineLevel="0" r="50">
      <c r="A50" s="0" t="n">
        <v>1964</v>
      </c>
      <c r="F50" s="0" t="n">
        <v>1964</v>
      </c>
      <c r="G50" s="0" t="n">
        <v>-0.0606215586398477</v>
      </c>
      <c r="H50" s="0" t="n">
        <v>0.176289948014817</v>
      </c>
      <c r="I50" s="0" t="n">
        <v>0.0349499229395428</v>
      </c>
    </row>
    <row collapsed="false" customFormat="false" customHeight="true" hidden="false" ht="12" outlineLevel="0" r="51">
      <c r="A51" s="0" t="n">
        <v>1963</v>
      </c>
      <c r="F51" s="0" t="n">
        <v>1963</v>
      </c>
      <c r="G51" s="0" t="n">
        <v>0.735691962450724</v>
      </c>
      <c r="H51" s="0" t="n">
        <v>0.237874377255039</v>
      </c>
      <c r="I51" s="0" t="n">
        <v>0.323825799088404</v>
      </c>
    </row>
    <row collapsed="false" customFormat="false" customHeight="true" hidden="false" ht="12" outlineLevel="0" r="52">
      <c r="A52" s="0" t="n">
        <v>1962</v>
      </c>
      <c r="F52" s="0" t="n">
        <v>1962</v>
      </c>
      <c r="G52" s="0" t="n">
        <v>0.0385527279542394</v>
      </c>
      <c r="H52" s="0" t="n">
        <v>0.608650371282765</v>
      </c>
      <c r="I52" s="0" t="n">
        <v>0.117117516550482</v>
      </c>
    </row>
    <row collapsed="false" customFormat="false" customHeight="true" hidden="false" ht="12" outlineLevel="0" r="53">
      <c r="A53" s="0" t="n">
        <v>1961</v>
      </c>
      <c r="F53" s="0" t="n">
        <v>1961</v>
      </c>
      <c r="G53" s="0" t="n">
        <v>1.05170642344333</v>
      </c>
      <c r="H53" s="0" t="n">
        <v>-0.0298276070194883</v>
      </c>
    </row>
    <row collapsed="false" customFormat="false" customHeight="true" hidden="false" ht="12" outlineLevel="0" r="54">
      <c r="A54" s="0" t="n">
        <v>1960</v>
      </c>
      <c r="F54" s="0" t="n">
        <v>1960</v>
      </c>
      <c r="G54" s="0" t="n">
        <v>-1.17974197245604</v>
      </c>
    </row>
    <row collapsed="false" customFormat="false" customHeight="true" hidden="false" ht="12" outlineLevel="0" r="60">
      <c r="G60" s="2" t="n">
        <f aca="false">CORREL(G19:G48,K19:K48)</f>
        <v>-0.00856449872865225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025" min="1" style="0" width="10.7254901960784"/>
  </cols>
  <sheetData>
    <row collapsed="false" customFormat="false" customHeight="true" hidden="false" ht="12" outlineLevel="0" r="3">
      <c r="A3" s="0" t="s">
        <v>110</v>
      </c>
      <c r="B3" s="0" t="s">
        <v>27</v>
      </c>
      <c r="C3" s="0" t="s">
        <v>21</v>
      </c>
      <c r="D3" s="0" t="s">
        <v>33</v>
      </c>
      <c r="E3" s="0" t="s">
        <v>115</v>
      </c>
    </row>
    <row collapsed="false" customFormat="false" customHeight="true" hidden="false" ht="12" outlineLevel="0" r="4">
      <c r="A4" s="0" t="n">
        <v>2009</v>
      </c>
      <c r="B4" s="0" t="n">
        <v>84.4</v>
      </c>
      <c r="C4" s="9" t="n">
        <v>14.2666666666667</v>
      </c>
      <c r="D4" s="8" t="n">
        <v>1015.33333333333</v>
      </c>
      <c r="E4" s="8" t="n">
        <v>5.4</v>
      </c>
    </row>
    <row collapsed="false" customFormat="false" customHeight="true" hidden="false" ht="12" outlineLevel="0" r="5">
      <c r="A5" s="0" t="n">
        <v>2008</v>
      </c>
      <c r="B5" s="0" t="n">
        <v>79.8</v>
      </c>
      <c r="C5" s="9" t="n">
        <v>14.6333333333333</v>
      </c>
      <c r="D5" s="8" t="n">
        <v>1018.3</v>
      </c>
      <c r="E5" s="8" t="n">
        <v>5.3</v>
      </c>
    </row>
    <row collapsed="false" customFormat="false" customHeight="true" hidden="false" ht="12" outlineLevel="0" r="6">
      <c r="A6" s="0" t="n">
        <v>2007</v>
      </c>
      <c r="B6" s="0" t="n">
        <v>78.4</v>
      </c>
      <c r="C6" s="9" t="n">
        <v>14.4333333333333</v>
      </c>
      <c r="D6" s="8" t="n">
        <v>1017.1</v>
      </c>
      <c r="E6" s="8" t="n">
        <v>4.93333333333333</v>
      </c>
    </row>
    <row collapsed="false" customFormat="false" customHeight="true" hidden="false" ht="12" outlineLevel="0" r="7">
      <c r="A7" s="0" t="n">
        <v>2006</v>
      </c>
      <c r="B7" s="0" t="n">
        <v>81.25</v>
      </c>
      <c r="C7" s="9" t="n">
        <v>14.8</v>
      </c>
      <c r="D7" s="8" t="n">
        <v>1018.7</v>
      </c>
      <c r="E7" s="8" t="n">
        <v>5.36666666666667</v>
      </c>
    </row>
    <row collapsed="false" customFormat="false" customHeight="true" hidden="false" ht="12" outlineLevel="0" r="8">
      <c r="A8" s="0" t="n">
        <v>2005</v>
      </c>
      <c r="B8" s="0" t="n">
        <v>81.3</v>
      </c>
      <c r="C8" s="9" t="n">
        <v>15.0666666666667</v>
      </c>
      <c r="D8" s="8" t="n">
        <v>1016.16666666667</v>
      </c>
      <c r="E8" s="8" t="n">
        <v>4.93333333333333</v>
      </c>
    </row>
    <row collapsed="false" customFormat="false" customHeight="true" hidden="false" ht="12" outlineLevel="0" r="9">
      <c r="A9" s="0" t="n">
        <v>2004</v>
      </c>
      <c r="B9" s="0" t="n">
        <v>79.2</v>
      </c>
      <c r="C9" s="9" t="n">
        <v>14.3</v>
      </c>
      <c r="D9" s="8" t="n">
        <v>1017</v>
      </c>
      <c r="E9" s="8" t="n">
        <v>5.6</v>
      </c>
    </row>
    <row collapsed="false" customFormat="false" customHeight="true" hidden="false" ht="12" outlineLevel="0" r="10">
      <c r="A10" s="0" t="n">
        <v>2003</v>
      </c>
      <c r="B10" s="0" t="n">
        <v>81</v>
      </c>
      <c r="C10" s="9" t="n">
        <v>14.4333333333333</v>
      </c>
      <c r="D10" s="8" t="n">
        <v>1012.96666666667</v>
      </c>
      <c r="E10" s="8" t="n">
        <v>5.63333333333333</v>
      </c>
    </row>
    <row collapsed="false" customFormat="false" customHeight="true" hidden="false" ht="12" outlineLevel="0" r="11">
      <c r="A11" s="0" t="n">
        <v>2002</v>
      </c>
      <c r="B11" s="0" t="n">
        <v>75.7</v>
      </c>
      <c r="C11" s="9" t="n">
        <v>13.9</v>
      </c>
      <c r="D11" s="8" t="n">
        <v>1015.86666666667</v>
      </c>
      <c r="E11" s="8" t="n">
        <v>5.8</v>
      </c>
    </row>
    <row collapsed="false" customFormat="false" customHeight="true" hidden="false" ht="12" outlineLevel="0" r="12">
      <c r="A12" s="0" t="n">
        <v>2001</v>
      </c>
      <c r="B12" s="0" t="n">
        <v>79.7</v>
      </c>
      <c r="C12" s="9" t="n">
        <v>15.4</v>
      </c>
      <c r="D12" s="8" t="n">
        <v>1017.33333333333</v>
      </c>
      <c r="E12" s="8" t="n">
        <v>4.83333333333333</v>
      </c>
    </row>
    <row collapsed="false" customFormat="false" customHeight="true" hidden="false" ht="12" outlineLevel="0" r="13">
      <c r="A13" s="0" t="n">
        <v>2000</v>
      </c>
      <c r="B13" s="0" t="n">
        <v>78.35</v>
      </c>
      <c r="C13" s="9" t="n">
        <v>14.3333333333333</v>
      </c>
      <c r="D13" s="8" t="n">
        <v>1015.1</v>
      </c>
      <c r="E13" s="8" t="n">
        <v>5.53333333333333</v>
      </c>
    </row>
    <row collapsed="false" customFormat="false" customHeight="true" hidden="false" ht="12" outlineLevel="0" r="14">
      <c r="A14" s="0" t="n">
        <v>1999</v>
      </c>
      <c r="B14" s="0" t="n">
        <v>79.75</v>
      </c>
      <c r="C14" s="9" t="n">
        <v>15.0666666666667</v>
      </c>
      <c r="D14" s="8" t="n">
        <v>1019.6</v>
      </c>
      <c r="E14" s="8" t="n">
        <v>4.7</v>
      </c>
    </row>
    <row collapsed="false" customFormat="false" customHeight="true" hidden="false" ht="12" outlineLevel="0" r="15">
      <c r="A15" s="0" t="n">
        <v>1998</v>
      </c>
      <c r="B15" s="0" t="n">
        <v>80.15</v>
      </c>
      <c r="C15" s="9" t="n">
        <v>15.4666666666667</v>
      </c>
      <c r="D15" s="8" t="n">
        <v>1017.66666666667</v>
      </c>
      <c r="E15" s="8" t="n">
        <v>5.6</v>
      </c>
    </row>
    <row collapsed="false" customFormat="false" customHeight="true" hidden="false" ht="12" outlineLevel="0" r="16">
      <c r="A16" s="0" t="n">
        <v>1997</v>
      </c>
      <c r="B16" s="0" t="n">
        <v>81.45</v>
      </c>
      <c r="C16" s="9" t="n">
        <v>14.2333333333333</v>
      </c>
      <c r="D16" s="8" t="n">
        <v>1016.4</v>
      </c>
      <c r="E16" s="8" t="n">
        <v>5.83333333333333</v>
      </c>
    </row>
    <row collapsed="false" customFormat="false" customHeight="true" hidden="false" ht="12" outlineLevel="0" r="17">
      <c r="A17" s="0" t="n">
        <v>1996</v>
      </c>
      <c r="B17" s="0" t="n">
        <v>79.7</v>
      </c>
      <c r="C17" s="9" t="n">
        <v>14.8666666666667</v>
      </c>
      <c r="D17" s="8" t="n">
        <v>1015.26666666667</v>
      </c>
      <c r="E17" s="8" t="n">
        <v>5.4</v>
      </c>
    </row>
    <row collapsed="false" customFormat="false" customHeight="true" hidden="false" ht="12" outlineLevel="0" r="18">
      <c r="A18" s="0" t="n">
        <v>1995</v>
      </c>
      <c r="B18" s="0" t="n">
        <v>80.8</v>
      </c>
      <c r="C18" s="9" t="n">
        <v>14.2333333333333</v>
      </c>
      <c r="D18" s="8" t="n">
        <v>1017.63333333333</v>
      </c>
      <c r="E18" s="8" t="n">
        <v>4.93333333333333</v>
      </c>
    </row>
    <row collapsed="false" customFormat="false" customHeight="true" hidden="false" ht="12" outlineLevel="0" r="19">
      <c r="A19" s="0" t="n">
        <v>1994</v>
      </c>
      <c r="B19" s="0" t="n">
        <v>80.35</v>
      </c>
      <c r="C19" s="9" t="n">
        <v>13.8333333333333</v>
      </c>
      <c r="D19" s="8" t="n">
        <v>1012.76666666667</v>
      </c>
      <c r="E19" s="8" t="n">
        <v>6.33333333333333</v>
      </c>
    </row>
    <row collapsed="false" customFormat="false" customHeight="true" hidden="false" ht="12" outlineLevel="0" r="20">
      <c r="A20" s="0" t="n">
        <v>1993</v>
      </c>
      <c r="B20" s="0" t="n">
        <v>76.05</v>
      </c>
      <c r="C20" s="40" t="n">
        <v>14.6</v>
      </c>
      <c r="D20" s="8" t="n">
        <v>1016.56666666667</v>
      </c>
      <c r="E20" s="8" t="n">
        <v>5.5</v>
      </c>
    </row>
    <row collapsed="false" customFormat="false" customHeight="true" hidden="false" ht="12" outlineLevel="0" r="21">
      <c r="A21" s="0" t="n">
        <v>1992</v>
      </c>
      <c r="B21" s="0" t="n">
        <v>80.3</v>
      </c>
      <c r="C21" s="9" t="n">
        <v>14.1666666666667</v>
      </c>
      <c r="D21" s="8" t="n">
        <v>1012.5</v>
      </c>
      <c r="E21" s="8" t="n">
        <v>6.13333333333333</v>
      </c>
    </row>
    <row collapsed="false" customFormat="false" customHeight="true" hidden="false" ht="12" outlineLevel="0" r="22">
      <c r="A22" s="0" t="n">
        <v>1991</v>
      </c>
      <c r="B22" s="0" t="n">
        <v>78.7</v>
      </c>
      <c r="C22" s="9" t="n">
        <v>14.5</v>
      </c>
      <c r="D22" s="8" t="n">
        <v>1011.53333333333</v>
      </c>
      <c r="E22" s="8" t="n">
        <v>7.23333333333333</v>
      </c>
    </row>
    <row collapsed="false" customFormat="false" customHeight="true" hidden="false" ht="12" outlineLevel="0" r="23">
      <c r="A23" s="0" t="n">
        <v>1990</v>
      </c>
      <c r="B23" s="0" t="n">
        <v>78.9</v>
      </c>
      <c r="C23" s="9" t="n">
        <v>14.9666666666667</v>
      </c>
      <c r="D23" s="8" t="n">
        <v>1017</v>
      </c>
      <c r="E23" s="8" t="n">
        <v>5.06666666666667</v>
      </c>
    </row>
    <row collapsed="false" customFormat="false" customHeight="true" hidden="false" ht="12" outlineLevel="0" r="24">
      <c r="A24" s="0" t="n">
        <v>1989</v>
      </c>
      <c r="B24" s="0" t="n">
        <v>77.85</v>
      </c>
      <c r="C24" s="9" t="n">
        <v>15.8</v>
      </c>
      <c r="D24" s="8" t="n">
        <v>1014.53333333333</v>
      </c>
      <c r="E24" s="8" t="n">
        <v>6.2</v>
      </c>
    </row>
    <row collapsed="false" customFormat="false" customHeight="true" hidden="false" ht="12" outlineLevel="0" r="25">
      <c r="A25" s="0" t="n">
        <v>1988</v>
      </c>
      <c r="B25" s="0" t="n">
        <v>79.1</v>
      </c>
      <c r="C25" s="9" t="n">
        <v>15.2666666666667</v>
      </c>
      <c r="D25" s="8" t="n">
        <v>1016.4</v>
      </c>
      <c r="E25" s="8" t="n">
        <v>6.9</v>
      </c>
    </row>
    <row collapsed="false" customFormat="false" customHeight="true" hidden="false" ht="12" outlineLevel="0" r="26">
      <c r="A26" s="0" t="n">
        <v>1987</v>
      </c>
      <c r="B26" s="0" t="n">
        <v>80.1</v>
      </c>
      <c r="C26" s="9" t="n">
        <v>14.7</v>
      </c>
      <c r="D26" s="8" t="n">
        <v>1014.76666666667</v>
      </c>
      <c r="E26" s="8" t="n">
        <v>6.53333333333333</v>
      </c>
    </row>
    <row collapsed="false" customFormat="false" customHeight="true" hidden="false" ht="12" outlineLevel="0" r="27">
      <c r="A27" s="0" t="n">
        <v>1986</v>
      </c>
      <c r="B27" s="0" t="n">
        <v>79.4</v>
      </c>
      <c r="C27" s="9" t="n">
        <v>14.6</v>
      </c>
      <c r="D27" s="8" t="n">
        <v>1013.9</v>
      </c>
      <c r="E27" s="8" t="n">
        <v>5.96666666666667</v>
      </c>
    </row>
    <row collapsed="false" customFormat="false" customHeight="true" hidden="false" ht="12" outlineLevel="0" r="28">
      <c r="A28" s="0" t="n">
        <v>1985</v>
      </c>
      <c r="B28" s="0" t="n">
        <v>79.3</v>
      </c>
      <c r="C28" s="9" t="n">
        <v>14.2</v>
      </c>
      <c r="D28" s="8" t="n">
        <v>1018.6</v>
      </c>
      <c r="E28" s="8" t="n">
        <v>6.36666666666667</v>
      </c>
    </row>
    <row collapsed="false" customFormat="false" customHeight="true" hidden="false" ht="12" outlineLevel="0" r="29">
      <c r="A29" s="0" t="n">
        <v>1984</v>
      </c>
      <c r="B29" s="0" t="n">
        <v>80.15</v>
      </c>
      <c r="C29" s="9" t="n">
        <v>14.4666666666667</v>
      </c>
      <c r="D29" s="8" t="n">
        <v>1017.7</v>
      </c>
      <c r="E29" s="8" t="n">
        <v>3.6</v>
      </c>
    </row>
    <row collapsed="false" customFormat="false" customHeight="true" hidden="false" ht="12" outlineLevel="0" r="30">
      <c r="A30" s="0" t="n">
        <v>1983</v>
      </c>
      <c r="B30" s="0" t="n">
        <v>83.7</v>
      </c>
      <c r="C30" s="9" t="n">
        <v>14.6666666666667</v>
      </c>
      <c r="D30" s="8" t="n">
        <v>1017.4</v>
      </c>
      <c r="E30" s="8" t="n">
        <v>5.5</v>
      </c>
    </row>
    <row collapsed="false" customFormat="false" customHeight="true" hidden="false" ht="12" outlineLevel="0" r="31">
      <c r="A31" s="0" t="n">
        <v>1982</v>
      </c>
      <c r="B31" s="0" t="n">
        <v>81.25</v>
      </c>
      <c r="C31" s="9" t="n">
        <v>13.9666666666667</v>
      </c>
      <c r="D31" s="8" t="n">
        <v>1016.13333333333</v>
      </c>
      <c r="E31" s="8" t="n">
        <v>5.3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1999-01-27T23:28:22.00Z</dcterms:created>
  <dc:creator>barbour</dc:creator>
  <cp:lastModifiedBy>Drew Lorrey</cp:lastModifiedBy>
  <cp:lastPrinted>1999-01-28T23:46:12.00Z</cp:lastPrinted>
  <dcterms:modified xsi:type="dcterms:W3CDTF">2013-10-09T02:21:51.00Z</dcterms:modified>
  <cp:revision>0</cp:revision>
</cp:coreProperties>
</file>