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co\TESIS\proyecto\problema de optimizacion\"/>
    </mc:Choice>
  </mc:AlternateContent>
  <xr:revisionPtr revIDLastSave="0" documentId="13_ncr:1_{F9A21AB8-0F08-4132-AF12-C06C0333D547}" xr6:coauthVersionLast="47" xr6:coauthVersionMax="47" xr10:uidLastSave="{00000000-0000-0000-0000-000000000000}"/>
  <bookViews>
    <workbookView xWindow="-108" yWindow="-108" windowWidth="23256" windowHeight="12456" activeTab="7" xr2:uid="{D16B1B65-4F03-4760-B924-39AB27F11C14}"/>
  </bookViews>
  <sheets>
    <sheet name="TV" sheetId="1" r:id="rId1"/>
    <sheet name="lavadora" sheetId="2" r:id="rId2"/>
    <sheet name="nevera" sheetId="3" r:id="rId3"/>
    <sheet name="luz" sheetId="4" r:id="rId4"/>
    <sheet name="aire" sheetId="5" r:id="rId5"/>
    <sheet name="aire DC" sheetId="6" r:id="rId6"/>
    <sheet name="aire_acondicionado_AC" sheetId="7" r:id="rId7"/>
    <sheet name="aire_acondicionado_D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8" l="1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3" i="7"/>
  <c r="U3" i="7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T26" i="8"/>
  <c r="T25" i="8"/>
  <c r="T24" i="8"/>
  <c r="T23" i="8"/>
  <c r="U23" i="8" s="1"/>
  <c r="T22" i="8"/>
  <c r="U22" i="8" s="1"/>
  <c r="T21" i="8"/>
  <c r="U21" i="8" s="1"/>
  <c r="T20" i="8"/>
  <c r="U20" i="8" s="1"/>
  <c r="T19" i="8"/>
  <c r="U19" i="8" s="1"/>
  <c r="T18" i="8"/>
  <c r="U18" i="8" s="1"/>
  <c r="T17" i="8"/>
  <c r="T16" i="8"/>
  <c r="T15" i="8"/>
  <c r="U15" i="8" s="1"/>
  <c r="T14" i="8"/>
  <c r="T13" i="8"/>
  <c r="U13" i="8"/>
  <c r="T7" i="8"/>
  <c r="U7" i="8" s="1"/>
  <c r="T6" i="8"/>
  <c r="U6" i="8" s="1"/>
  <c r="T5" i="8"/>
  <c r="T4" i="8"/>
  <c r="V22" i="8"/>
  <c r="V21" i="8"/>
  <c r="V20" i="8"/>
  <c r="W20" i="7"/>
  <c r="F21" i="7"/>
  <c r="F20" i="7"/>
  <c r="H20" i="7" s="1"/>
  <c r="D26" i="8"/>
  <c r="E26" i="8" s="1"/>
  <c r="D25" i="8"/>
  <c r="E25" i="8" s="1"/>
  <c r="D24" i="8"/>
  <c r="D23" i="8"/>
  <c r="E23" i="8" s="1"/>
  <c r="D22" i="8"/>
  <c r="E22" i="8" s="1"/>
  <c r="D21" i="8"/>
  <c r="D20" i="8"/>
  <c r="E20" i="8" s="1"/>
  <c r="D19" i="8"/>
  <c r="E19" i="8" s="1"/>
  <c r="D18" i="8"/>
  <c r="E18" i="8" s="1"/>
  <c r="D17" i="8"/>
  <c r="E17" i="8" s="1"/>
  <c r="D16" i="8"/>
  <c r="D15" i="8"/>
  <c r="E15" i="8" s="1"/>
  <c r="D14" i="8"/>
  <c r="E14" i="8" s="1"/>
  <c r="E21" i="8"/>
  <c r="D13" i="8"/>
  <c r="E13" i="8" s="1"/>
  <c r="D7" i="8"/>
  <c r="E7" i="8" s="1"/>
  <c r="D6" i="8"/>
  <c r="E6" i="8" s="1"/>
  <c r="D5" i="8"/>
  <c r="E5" i="8" s="1"/>
  <c r="D4" i="8"/>
  <c r="F22" i="8"/>
  <c r="G22" i="8" s="1"/>
  <c r="F21" i="8"/>
  <c r="G21" i="8" s="1"/>
  <c r="F20" i="8"/>
  <c r="G20" i="8" s="1"/>
  <c r="U26" i="7"/>
  <c r="U25" i="7"/>
  <c r="U24" i="7"/>
  <c r="V24" i="7"/>
  <c r="D15" i="7"/>
  <c r="D14" i="7"/>
  <c r="D13" i="7"/>
  <c r="U23" i="7"/>
  <c r="V23" i="7" s="1"/>
  <c r="U22" i="7"/>
  <c r="V22" i="7" s="1"/>
  <c r="U21" i="7"/>
  <c r="V21" i="7" s="1"/>
  <c r="U20" i="7"/>
  <c r="U19" i="7"/>
  <c r="U18" i="7"/>
  <c r="V18" i="7" s="1"/>
  <c r="U17" i="7"/>
  <c r="U16" i="7"/>
  <c r="V16" i="7" s="1"/>
  <c r="U15" i="7"/>
  <c r="U14" i="7"/>
  <c r="V20" i="7"/>
  <c r="U13" i="7"/>
  <c r="V13" i="7" s="1"/>
  <c r="V3" i="7"/>
  <c r="U4" i="7"/>
  <c r="U7" i="7"/>
  <c r="U6" i="7"/>
  <c r="V6" i="7" s="1"/>
  <c r="U5" i="7"/>
  <c r="V5" i="7" s="1"/>
  <c r="W21" i="7"/>
  <c r="D26" i="7"/>
  <c r="D25" i="7"/>
  <c r="D24" i="7"/>
  <c r="D23" i="7"/>
  <c r="D22" i="7"/>
  <c r="D21" i="7"/>
  <c r="D20" i="7"/>
  <c r="D19" i="7"/>
  <c r="D18" i="7"/>
  <c r="D17" i="7"/>
  <c r="D16" i="7"/>
  <c r="D7" i="7"/>
  <c r="D6" i="7"/>
  <c r="D5" i="7"/>
  <c r="D4" i="7"/>
  <c r="F23" i="7"/>
  <c r="F22" i="7"/>
  <c r="H21" i="7"/>
  <c r="V26" i="8"/>
  <c r="V25" i="8"/>
  <c r="W25" i="8" s="1"/>
  <c r="V24" i="8"/>
  <c r="V23" i="8"/>
  <c r="W22" i="8"/>
  <c r="W20" i="8"/>
  <c r="W19" i="8"/>
  <c r="AC26" i="8"/>
  <c r="AC25" i="8"/>
  <c r="AC24" i="8"/>
  <c r="AD24" i="8" s="1"/>
  <c r="AC23" i="8"/>
  <c r="AD23" i="8" s="1"/>
  <c r="AC22" i="8"/>
  <c r="AC21" i="8"/>
  <c r="AD21" i="8" s="1"/>
  <c r="AC20" i="8"/>
  <c r="AC19" i="8"/>
  <c r="AC18" i="8"/>
  <c r="AD18" i="8" s="1"/>
  <c r="AC17" i="8"/>
  <c r="AD17" i="8" s="1"/>
  <c r="AC16" i="8"/>
  <c r="AC15" i="8"/>
  <c r="AD15" i="8" s="1"/>
  <c r="AC14" i="8"/>
  <c r="AD14" i="8" s="1"/>
  <c r="AC13" i="8"/>
  <c r="AD13" i="8" s="1"/>
  <c r="AC12" i="8"/>
  <c r="AD12" i="8" s="1"/>
  <c r="AC11" i="8"/>
  <c r="AD11" i="8" s="1"/>
  <c r="AC10" i="8"/>
  <c r="AD10" i="8" s="1"/>
  <c r="AC9" i="8"/>
  <c r="AC8" i="8"/>
  <c r="AD8" i="8" s="1"/>
  <c r="AC7" i="8"/>
  <c r="AD7" i="8" s="1"/>
  <c r="AC6" i="8"/>
  <c r="AD6" i="8" s="1"/>
  <c r="AC5" i="8"/>
  <c r="AC4" i="8"/>
  <c r="AC3" i="8"/>
  <c r="V7" i="8"/>
  <c r="V6" i="8"/>
  <c r="W6" i="8" s="1"/>
  <c r="V5" i="8"/>
  <c r="W5" i="8" s="1"/>
  <c r="V4" i="8"/>
  <c r="W4" i="8" s="1"/>
  <c r="V3" i="8"/>
  <c r="W3" i="8" s="1"/>
  <c r="U4" i="8"/>
  <c r="U5" i="8"/>
  <c r="U11" i="8"/>
  <c r="U12" i="8"/>
  <c r="U24" i="8"/>
  <c r="U25" i="8"/>
  <c r="T3" i="8"/>
  <c r="U3" i="8" s="1"/>
  <c r="F26" i="8"/>
  <c r="F25" i="8"/>
  <c r="F24" i="8"/>
  <c r="G24" i="8" s="1"/>
  <c r="F23" i="8"/>
  <c r="M26" i="8"/>
  <c r="M25" i="8"/>
  <c r="N25" i="8" s="1"/>
  <c r="M24" i="8"/>
  <c r="N24" i="8" s="1"/>
  <c r="M23" i="8"/>
  <c r="M22" i="8"/>
  <c r="N22" i="8" s="1"/>
  <c r="M21" i="8"/>
  <c r="N21" i="8" s="1"/>
  <c r="M20" i="8"/>
  <c r="M19" i="8"/>
  <c r="N19" i="8" s="1"/>
  <c r="M18" i="8"/>
  <c r="M17" i="8"/>
  <c r="N17" i="8" s="1"/>
  <c r="M16" i="8"/>
  <c r="N16" i="8" s="1"/>
  <c r="M15" i="8"/>
  <c r="M14" i="8"/>
  <c r="N14" i="8" s="1"/>
  <c r="M13" i="8"/>
  <c r="M12" i="8"/>
  <c r="N12" i="8" s="1"/>
  <c r="M11" i="8"/>
  <c r="N11" i="8" s="1"/>
  <c r="M10" i="8"/>
  <c r="N10" i="8" s="1"/>
  <c r="M9" i="8"/>
  <c r="M8" i="8"/>
  <c r="N8" i="8" s="1"/>
  <c r="M7" i="8"/>
  <c r="M6" i="8"/>
  <c r="M5" i="8"/>
  <c r="M4" i="8"/>
  <c r="M3" i="8"/>
  <c r="N3" i="8" s="1"/>
  <c r="F7" i="8"/>
  <c r="G7" i="8" s="1"/>
  <c r="F6" i="8"/>
  <c r="F5" i="8"/>
  <c r="F4" i="8"/>
  <c r="F3" i="8"/>
  <c r="G3" i="8" s="1"/>
  <c r="E4" i="8"/>
  <c r="E10" i="8"/>
  <c r="E24" i="8"/>
  <c r="D3" i="8"/>
  <c r="E3" i="8" s="1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W26" i="7"/>
  <c r="W25" i="7"/>
  <c r="W24" i="7"/>
  <c r="W23" i="7"/>
  <c r="W22" i="7"/>
  <c r="X19" i="7"/>
  <c r="W7" i="7"/>
  <c r="W6" i="7"/>
  <c r="W5" i="7"/>
  <c r="W4" i="7"/>
  <c r="W3" i="7"/>
  <c r="V4" i="7"/>
  <c r="V12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F26" i="7"/>
  <c r="F25" i="7"/>
  <c r="F24" i="7"/>
  <c r="F7" i="7"/>
  <c r="F6" i="7"/>
  <c r="F5" i="7"/>
  <c r="F4" i="7"/>
  <c r="F3" i="7"/>
  <c r="D3" i="7"/>
  <c r="AD19" i="8"/>
  <c r="AD16" i="8"/>
  <c r="AD5" i="8"/>
  <c r="AD4" i="8"/>
  <c r="AD3" i="8"/>
  <c r="AD26" i="8"/>
  <c r="AD25" i="8"/>
  <c r="AD22" i="8"/>
  <c r="AD20" i="8"/>
  <c r="AD9" i="8"/>
  <c r="W26" i="8"/>
  <c r="W24" i="8"/>
  <c r="W21" i="8"/>
  <c r="W23" i="8"/>
  <c r="U9" i="8"/>
  <c r="U10" i="8"/>
  <c r="U16" i="8"/>
  <c r="U17" i="8"/>
  <c r="U26" i="8"/>
  <c r="U14" i="8"/>
  <c r="U8" i="8"/>
  <c r="W7" i="8"/>
  <c r="N26" i="8"/>
  <c r="N23" i="8"/>
  <c r="N20" i="8"/>
  <c r="N15" i="8"/>
  <c r="N7" i="8"/>
  <c r="N6" i="8"/>
  <c r="N5" i="8"/>
  <c r="N4" i="8"/>
  <c r="G26" i="8"/>
  <c r="G25" i="8"/>
  <c r="G23" i="8"/>
  <c r="G19" i="8"/>
  <c r="G6" i="8"/>
  <c r="G5" i="8"/>
  <c r="G11" i="8"/>
  <c r="G14" i="8"/>
  <c r="G17" i="8"/>
  <c r="G4" i="8"/>
  <c r="N13" i="8"/>
  <c r="N18" i="8"/>
  <c r="N9" i="8"/>
  <c r="G8" i="8"/>
  <c r="G10" i="8"/>
  <c r="G13" i="8"/>
  <c r="E8" i="8"/>
  <c r="E11" i="8"/>
  <c r="G18" i="8"/>
  <c r="G16" i="8"/>
  <c r="E16" i="8"/>
  <c r="G15" i="8"/>
  <c r="G12" i="8"/>
  <c r="E12" i="8"/>
  <c r="G9" i="8"/>
  <c r="E9" i="8"/>
  <c r="V7" i="7"/>
  <c r="V8" i="7"/>
  <c r="V9" i="7"/>
  <c r="V10" i="7"/>
  <c r="V11" i="7"/>
  <c r="V14" i="7"/>
  <c r="V15" i="7"/>
  <c r="V17" i="7"/>
  <c r="V19" i="7"/>
  <c r="V25" i="7"/>
  <c r="V26" i="7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3" i="5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3" i="6"/>
  <c r="H19" i="7"/>
  <c r="H8" i="7"/>
  <c r="H9" i="7"/>
  <c r="H10" i="7"/>
  <c r="H11" i="7"/>
  <c r="H12" i="7"/>
  <c r="H13" i="7"/>
  <c r="H14" i="7"/>
  <c r="H15" i="7"/>
  <c r="H16" i="7"/>
  <c r="H17" i="7"/>
  <c r="H18" i="7"/>
  <c r="X26" i="7" l="1"/>
  <c r="X25" i="7"/>
  <c r="X24" i="7"/>
  <c r="X23" i="7"/>
  <c r="X22" i="7"/>
  <c r="X21" i="7"/>
  <c r="X20" i="7"/>
  <c r="AE3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X7" i="7"/>
  <c r="X6" i="7"/>
  <c r="X5" i="7"/>
  <c r="X4" i="7"/>
  <c r="X3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H26" i="7"/>
  <c r="H25" i="7"/>
  <c r="H24" i="7"/>
  <c r="H23" i="7"/>
  <c r="H22" i="7"/>
  <c r="H7" i="7"/>
  <c r="H6" i="7"/>
  <c r="H5" i="7"/>
  <c r="H4" i="7"/>
  <c r="H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4" i="7"/>
  <c r="E3" i="7"/>
</calcChain>
</file>

<file path=xl/sharedStrings.xml><?xml version="1.0" encoding="utf-8"?>
<sst xmlns="http://schemas.openxmlformats.org/spreadsheetml/2006/main" count="130" uniqueCount="45">
  <si>
    <t>horas</t>
  </si>
  <si>
    <t>potencia W</t>
  </si>
  <si>
    <t>etapa de lavado  425</t>
  </si>
  <si>
    <t>aclarado 25</t>
  </si>
  <si>
    <t>centrifugado 50</t>
  </si>
  <si>
    <t>apox 85%</t>
  </si>
  <si>
    <t>w por lavado 500</t>
  </si>
  <si>
    <t>potencia</t>
  </si>
  <si>
    <t xml:space="preserve">voltaje nominal 12V DC </t>
  </si>
  <si>
    <t>voltaje nominal  12/24 VDC</t>
  </si>
  <si>
    <t>voltaje nominal 110/120V</t>
  </si>
  <si>
    <t>voltaje nominal 110/127V</t>
  </si>
  <si>
    <t>https://www.poweresim.com/</t>
  </si>
  <si>
    <t>HORA</t>
  </si>
  <si>
    <t>Dia laboral invierno</t>
  </si>
  <si>
    <t>Dia NO laboral invierno</t>
  </si>
  <si>
    <t>Dia laboral verano</t>
  </si>
  <si>
    <t>Dia NO laboral verano</t>
  </si>
  <si>
    <t xml:space="preserve">horas de uso </t>
  </si>
  <si>
    <t>horas de uso</t>
  </si>
  <si>
    <t xml:space="preserve">consumo con un encendico constante (kWh/mes) </t>
  </si>
  <si>
    <t>consumo con un encendico constante (kWh/mes)</t>
  </si>
  <si>
    <t>POTENCIA Wh</t>
  </si>
  <si>
    <t>Potencia en kWh</t>
  </si>
  <si>
    <t>Dia laboral invierno aire acondicionado AC</t>
  </si>
  <si>
    <t>Temperatura</t>
  </si>
  <si>
    <t>Hora</t>
  </si>
  <si>
    <t>Dia laboral invierno aire acondicionado DC</t>
  </si>
  <si>
    <t>consumo sin tener en cuenta la inercia termica  (kWh/mes)</t>
  </si>
  <si>
    <t>consumo teniendio en cuenta la inercia termica y el uso del sistema PV (kWh/mes)</t>
  </si>
  <si>
    <t>kWh</t>
  </si>
  <si>
    <t>Potencia kWh</t>
  </si>
  <si>
    <t>Consumo con un encendico constante (kWh/mes)</t>
  </si>
  <si>
    <t>Consumo con un encendico constante (kWh/día)</t>
  </si>
  <si>
    <t>consumo teniendio en cuenta la inercia térmica y el uso del sistema PV (kWh/día)</t>
  </si>
  <si>
    <t>consumo sin tener en cuenta la inercia térmica (kWh/día)</t>
  </si>
  <si>
    <t>Consumo teniendio en cuenta la inercia térmica y el uso del sistema PV (kWh/mes)</t>
  </si>
  <si>
    <t>Consumo sin tener en cuenta la inercia térmica  (kWh/mes)</t>
  </si>
  <si>
    <t>Consumo teniendio en cuenta la inercia térmica y el uso del sistema PV (kWh/día)</t>
  </si>
  <si>
    <t>Consumo sin tener en cuenta la inercia térmica  (kWh/día)</t>
  </si>
  <si>
    <t xml:space="preserve">consumo con un encendico constante (kWh/día) </t>
  </si>
  <si>
    <t>Consumo sin tener en cuenta la inercia térmica (kWh/día)</t>
  </si>
  <si>
    <t>Horas de uso</t>
  </si>
  <si>
    <t>Consumo con un encendido constante (kWh/día)</t>
  </si>
  <si>
    <t xml:space="preserve">Consumo con un encendido constante (kWh/día)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</si>
</sst>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0" borderId="2" xfId="0" applyBorder="1"/>
    <xf numFmtId="0" fontId="0" fillId="0" borderId="6" xfId="0" applyBorder="1"/>
    <xf numFmtId="1" fontId="0" fillId="0" borderId="0" xfId="0" applyNumberFormat="1"/>
    <xf numFmtId="0" fontId="0" fillId="3" borderId="3" xfId="0" applyFill="1" applyBorder="1"/>
    <xf numFmtId="0" fontId="0" fillId="3" borderId="5" xfId="0" applyFill="1" applyBorder="1"/>
    <xf numFmtId="0" fontId="0" fillId="2" borderId="5" xfId="0" applyFill="1" applyBorder="1"/>
    <xf numFmtId="0" fontId="0" fillId="3" borderId="7" xfId="0" applyFill="1" applyBorder="1"/>
    <xf numFmtId="0" fontId="0" fillId="2" borderId="6" xfId="0" applyFill="1" applyBorder="1"/>
    <xf numFmtId="0" fontId="0" fillId="2" borderId="6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3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3" borderId="7" xfId="0" applyFont="1" applyFill="1" applyBorder="1"/>
    <xf numFmtId="0" fontId="1" fillId="5" borderId="2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 TV W (Dia laboral)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TV!$B$1</c:f>
              <c:strCache>
                <c:ptCount val="1"/>
                <c:pt idx="0">
                  <c:v>potencia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TV!$B$2:$B$25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313</c:v>
                </c:pt>
                <c:pt idx="6">
                  <c:v>313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313</c:v>
                </c:pt>
                <c:pt idx="15">
                  <c:v>313</c:v>
                </c:pt>
                <c:pt idx="16">
                  <c:v>313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E-4988-B0F6-EA7A4191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92959"/>
        <c:axId val="537133151"/>
      </c:scatterChart>
      <c:valAx>
        <c:axId val="7673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133151"/>
        <c:crosses val="autoZero"/>
        <c:crossBetween val="midCat"/>
      </c:valAx>
      <c:valAx>
        <c:axId val="5371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3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 acondicionado (día NO laboral de invierno)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aire!$I$2</c:f>
              <c:strCache>
                <c:ptCount val="1"/>
                <c:pt idx="0">
                  <c:v>Potencia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aire!$F$3:$F$26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aire!$I$3:$I$26</c:f>
              <c:numCache>
                <c:formatCode>General</c:formatCode>
                <c:ptCount val="24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0.44900000000000001</c:v>
                </c:pt>
                <c:pt idx="5">
                  <c:v>0.44900000000000001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0.65</c:v>
                </c:pt>
                <c:pt idx="9">
                  <c:v>0.9</c:v>
                </c:pt>
                <c:pt idx="10">
                  <c:v>0.91</c:v>
                </c:pt>
                <c:pt idx="11">
                  <c:v>1.2</c:v>
                </c:pt>
                <c:pt idx="12">
                  <c:v>1.2</c:v>
                </c:pt>
                <c:pt idx="13">
                  <c:v>1</c:v>
                </c:pt>
                <c:pt idx="14">
                  <c:v>0.95</c:v>
                </c:pt>
                <c:pt idx="15">
                  <c:v>0.8</c:v>
                </c:pt>
                <c:pt idx="16">
                  <c:v>0.72</c:v>
                </c:pt>
                <c:pt idx="17">
                  <c:v>0.6</c:v>
                </c:pt>
                <c:pt idx="18">
                  <c:v>0.59799999999999998</c:v>
                </c:pt>
                <c:pt idx="19">
                  <c:v>0.59699999999999998</c:v>
                </c:pt>
                <c:pt idx="20">
                  <c:v>0.59699999999999998</c:v>
                </c:pt>
                <c:pt idx="21">
                  <c:v>0.45</c:v>
                </c:pt>
                <c:pt idx="22">
                  <c:v>0.45100000000000001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4-42FA-9657-D50E2C4A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644671"/>
        <c:axId val="1898918671"/>
      </c:lineChart>
      <c:lineChart>
        <c:grouping val="standard"/>
        <c:varyColors val="0"/>
        <c:ser>
          <c:idx val="0"/>
          <c:order val="0"/>
          <c:tx>
            <c:strRef>
              <c:f>aire!$G$2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aire!$F$3:$F$26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aire!$G$3:$G$26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4-42FA-9657-D50E2C4A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562079"/>
        <c:axId val="26129631"/>
      </c:lineChart>
      <c:catAx>
        <c:axId val="18906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918671"/>
        <c:crosses val="autoZero"/>
        <c:auto val="1"/>
        <c:lblAlgn val="ctr"/>
        <c:lblOffset val="100"/>
        <c:noMultiLvlLbl val="0"/>
      </c:catAx>
      <c:valAx>
        <c:axId val="18989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644671"/>
        <c:crosses val="autoZero"/>
        <c:crossBetween val="between"/>
      </c:valAx>
      <c:valAx>
        <c:axId val="26129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562079"/>
        <c:crosses val="max"/>
        <c:crossBetween val="between"/>
      </c:valAx>
      <c:catAx>
        <c:axId val="1980562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2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</a:t>
            </a:r>
            <a:r>
              <a:rPr lang="es-CO" baseline="0"/>
              <a:t> acondicionado (día laboral de verano)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aire!$N$2</c:f>
              <c:strCache>
                <c:ptCount val="1"/>
                <c:pt idx="0">
                  <c:v>Potencia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aire!$K$3:$K$26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aire!$N$3:$N$26</c:f>
              <c:numCache>
                <c:formatCode>General</c:formatCode>
                <c:ptCount val="24"/>
                <c:pt idx="0">
                  <c:v>0.59799999999999998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0.59799999999999998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0.65</c:v>
                </c:pt>
                <c:pt idx="18">
                  <c:v>0.64</c:v>
                </c:pt>
                <c:pt idx="19">
                  <c:v>0.64</c:v>
                </c:pt>
                <c:pt idx="20">
                  <c:v>0.63</c:v>
                </c:pt>
                <c:pt idx="21">
                  <c:v>0.62</c:v>
                </c:pt>
                <c:pt idx="22">
                  <c:v>0.62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8BC-BDA6-326A1C11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642271"/>
        <c:axId val="1898913711"/>
      </c:lineChart>
      <c:lineChart>
        <c:grouping val="standard"/>
        <c:varyColors val="0"/>
        <c:ser>
          <c:idx val="0"/>
          <c:order val="0"/>
          <c:tx>
            <c:strRef>
              <c:f>aire!$L$2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aire!$K$3:$K$26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aire!$L$3:$L$26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8BC-BDA6-326A1C11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26095"/>
        <c:axId val="217237295"/>
      </c:lineChart>
      <c:catAx>
        <c:axId val="18906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913711"/>
        <c:crosses val="autoZero"/>
        <c:auto val="1"/>
        <c:lblAlgn val="ctr"/>
        <c:lblOffset val="100"/>
        <c:noMultiLvlLbl val="0"/>
      </c:catAx>
      <c:valAx>
        <c:axId val="18989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642271"/>
        <c:crosses val="autoZero"/>
        <c:crossBetween val="between"/>
      </c:valAx>
      <c:valAx>
        <c:axId val="21723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0426095"/>
        <c:crosses val="max"/>
        <c:crossBetween val="between"/>
      </c:valAx>
      <c:catAx>
        <c:axId val="167042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3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 acondicionado (día</a:t>
            </a:r>
            <a:r>
              <a:rPr lang="es-CO" baseline="0"/>
              <a:t> NO laboral de verano)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aire!$S$2</c:f>
              <c:strCache>
                <c:ptCount val="1"/>
                <c:pt idx="0">
                  <c:v>Potencia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aire!$P$3:$P$26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aire!$S$3:$S$26</c:f>
              <c:numCache>
                <c:formatCode>General</c:formatCode>
                <c:ptCount val="24"/>
                <c:pt idx="0">
                  <c:v>0.59799999999999998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0.59799999999999998</c:v>
                </c:pt>
                <c:pt idx="5">
                  <c:v>0.6</c:v>
                </c:pt>
                <c:pt idx="6">
                  <c:v>0.6</c:v>
                </c:pt>
                <c:pt idx="7">
                  <c:v>0.63</c:v>
                </c:pt>
                <c:pt idx="8">
                  <c:v>0.75</c:v>
                </c:pt>
                <c:pt idx="9">
                  <c:v>0.92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0.93</c:v>
                </c:pt>
                <c:pt idx="16">
                  <c:v>0.91</c:v>
                </c:pt>
                <c:pt idx="17">
                  <c:v>0.65</c:v>
                </c:pt>
                <c:pt idx="18">
                  <c:v>0.64</c:v>
                </c:pt>
                <c:pt idx="19">
                  <c:v>0.64</c:v>
                </c:pt>
                <c:pt idx="20">
                  <c:v>0.63</c:v>
                </c:pt>
                <c:pt idx="21">
                  <c:v>0.62</c:v>
                </c:pt>
                <c:pt idx="22">
                  <c:v>0.62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D-4EA1-83EC-4F607598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007183"/>
        <c:axId val="28247663"/>
      </c:lineChart>
      <c:lineChart>
        <c:grouping val="standard"/>
        <c:varyColors val="0"/>
        <c:ser>
          <c:idx val="0"/>
          <c:order val="0"/>
          <c:tx>
            <c:strRef>
              <c:f>aire!$Q$2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aire!$P$3:$P$26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aire!$Q$3:$Q$26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D-4EA1-83EC-4F607598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33359"/>
        <c:axId val="210822719"/>
      </c:lineChart>
      <c:catAx>
        <c:axId val="19750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63"/>
        <c:crosses val="autoZero"/>
        <c:auto val="1"/>
        <c:lblAlgn val="ctr"/>
        <c:lblOffset val="100"/>
        <c:noMultiLvlLbl val="0"/>
      </c:catAx>
      <c:valAx>
        <c:axId val="282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007183"/>
        <c:crosses val="autoZero"/>
        <c:crossBetween val="between"/>
      </c:valAx>
      <c:valAx>
        <c:axId val="21082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°C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533359"/>
        <c:crosses val="max"/>
        <c:crossBetween val="between"/>
      </c:valAx>
      <c:catAx>
        <c:axId val="21853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2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</a:t>
            </a:r>
            <a:r>
              <a:rPr lang="es-CO" baseline="0"/>
              <a:t> acondicionado DC (día laboral de invierno)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'aire DC'!$D$2</c:f>
              <c:strCache>
                <c:ptCount val="1"/>
                <c:pt idx="0">
                  <c:v>Potencia en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'aire DC'!$A$3:$A$26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DC'!$D$3:$D$26</c:f>
              <c:numCache>
                <c:formatCode>General</c:formatCode>
                <c:ptCount val="24"/>
                <c:pt idx="0">
                  <c:v>0.32</c:v>
                </c:pt>
                <c:pt idx="1">
                  <c:v>0.318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0.64</c:v>
                </c:pt>
                <c:pt idx="18">
                  <c:v>0.5</c:v>
                </c:pt>
                <c:pt idx="19">
                  <c:v>0.48</c:v>
                </c:pt>
                <c:pt idx="20">
                  <c:v>0.47499999999999998</c:v>
                </c:pt>
                <c:pt idx="21">
                  <c:v>0.46</c:v>
                </c:pt>
                <c:pt idx="22">
                  <c:v>0.45800000000000002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F-4733-944D-FDD2C574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434031"/>
        <c:axId val="1901079455"/>
      </c:lineChart>
      <c:lineChart>
        <c:grouping val="standard"/>
        <c:varyColors val="0"/>
        <c:ser>
          <c:idx val="0"/>
          <c:order val="0"/>
          <c:tx>
            <c:strRef>
              <c:f>'aire DC'!$B$2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'aire DC'!$A$3:$A$26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DC'!$B$3:$B$26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F-4733-944D-FDD2C574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59343"/>
        <c:axId val="1975445599"/>
      </c:lineChart>
      <c:catAx>
        <c:axId val="19764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79455"/>
        <c:crosses val="autoZero"/>
        <c:auto val="1"/>
        <c:lblAlgn val="ctr"/>
        <c:lblOffset val="100"/>
        <c:noMultiLvlLbl val="0"/>
      </c:catAx>
      <c:valAx>
        <c:axId val="19010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6434031"/>
        <c:crosses val="autoZero"/>
        <c:crossBetween val="between"/>
      </c:valAx>
      <c:valAx>
        <c:axId val="1975445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459343"/>
        <c:crosses val="max"/>
        <c:crossBetween val="between"/>
      </c:valAx>
      <c:catAx>
        <c:axId val="21545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44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 acondicionado DC (día NO</a:t>
            </a:r>
            <a:r>
              <a:rPr lang="es-CO" baseline="0"/>
              <a:t> laboral invierno)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'aire DC'!$I$2</c:f>
              <c:strCache>
                <c:ptCount val="1"/>
                <c:pt idx="0">
                  <c:v>Potencia en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'aire DC'!$F$3:$F$26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DC'!$I$3:$I$26</c:f>
              <c:numCache>
                <c:formatCode>General</c:formatCode>
                <c:ptCount val="24"/>
                <c:pt idx="0">
                  <c:v>0.32</c:v>
                </c:pt>
                <c:pt idx="1">
                  <c:v>0.318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0.27900000000000003</c:v>
                </c:pt>
                <c:pt idx="6">
                  <c:v>0.3</c:v>
                </c:pt>
                <c:pt idx="7">
                  <c:v>0.502</c:v>
                </c:pt>
                <c:pt idx="8">
                  <c:v>0.6</c:v>
                </c:pt>
                <c:pt idx="9">
                  <c:v>0.7</c:v>
                </c:pt>
                <c:pt idx="10">
                  <c:v>0.85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</c:v>
                </c:pt>
                <c:pt idx="15">
                  <c:v>0.88900000000000001</c:v>
                </c:pt>
                <c:pt idx="16">
                  <c:v>0.68899999999999995</c:v>
                </c:pt>
                <c:pt idx="17">
                  <c:v>0.62</c:v>
                </c:pt>
                <c:pt idx="18">
                  <c:v>0.5</c:v>
                </c:pt>
                <c:pt idx="19">
                  <c:v>0.48</c:v>
                </c:pt>
                <c:pt idx="20">
                  <c:v>0.47499999999999998</c:v>
                </c:pt>
                <c:pt idx="21">
                  <c:v>0.46</c:v>
                </c:pt>
                <c:pt idx="22">
                  <c:v>0.45800000000000002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E-4DC4-89C9-1BA4C2B5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653311"/>
        <c:axId val="1667891055"/>
      </c:lineChart>
      <c:lineChart>
        <c:grouping val="standard"/>
        <c:varyColors val="0"/>
        <c:ser>
          <c:idx val="0"/>
          <c:order val="0"/>
          <c:tx>
            <c:strRef>
              <c:f>'aire DC'!$G$2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'aire DC'!$F$3:$F$26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DC'!$G$3:$G$26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E-4DC4-89C9-1BA4C2B5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27119"/>
        <c:axId val="217242255"/>
      </c:lineChart>
      <c:catAx>
        <c:axId val="189065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891055"/>
        <c:crosses val="autoZero"/>
        <c:auto val="1"/>
        <c:lblAlgn val="ctr"/>
        <c:lblOffset val="100"/>
        <c:noMultiLvlLbl val="0"/>
      </c:catAx>
      <c:valAx>
        <c:axId val="16678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</a:t>
                </a:r>
                <a:r>
                  <a:rPr lang="es-CO" baseline="0"/>
                  <a:t>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653311"/>
        <c:crosses val="autoZero"/>
        <c:crossBetween val="between"/>
      </c:valAx>
      <c:valAx>
        <c:axId val="217242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5927119"/>
        <c:crosses val="max"/>
        <c:crossBetween val="between"/>
      </c:valAx>
      <c:catAx>
        <c:axId val="198592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42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 acondicionado DC (día laboral</a:t>
            </a:r>
            <a:r>
              <a:rPr lang="es-CO" baseline="0"/>
              <a:t> de verano)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'aire DC'!$N$2</c:f>
              <c:strCache>
                <c:ptCount val="1"/>
                <c:pt idx="0">
                  <c:v>Potencia en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'aire DC'!$K$3:$K$26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DC'!$N$3:$N$26</c:f>
              <c:numCache>
                <c:formatCode>General</c:formatCode>
                <c:ptCount val="24"/>
                <c:pt idx="0">
                  <c:v>0.52</c:v>
                </c:pt>
                <c:pt idx="1">
                  <c:v>0.6</c:v>
                </c:pt>
                <c:pt idx="2">
                  <c:v>0.505</c:v>
                </c:pt>
                <c:pt idx="3">
                  <c:v>0.49</c:v>
                </c:pt>
                <c:pt idx="4">
                  <c:v>0.54500000000000004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0.68899999999999995</c:v>
                </c:pt>
                <c:pt idx="18">
                  <c:v>0.65</c:v>
                </c:pt>
                <c:pt idx="19">
                  <c:v>0.64</c:v>
                </c:pt>
                <c:pt idx="20">
                  <c:v>0.63</c:v>
                </c:pt>
                <c:pt idx="21">
                  <c:v>0.62</c:v>
                </c:pt>
                <c:pt idx="22">
                  <c:v>0.62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8-484C-8790-6192D5C3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1743"/>
        <c:axId val="1895115759"/>
      </c:lineChart>
      <c:lineChart>
        <c:grouping val="standard"/>
        <c:varyColors val="0"/>
        <c:ser>
          <c:idx val="0"/>
          <c:order val="0"/>
          <c:tx>
            <c:strRef>
              <c:f>'aire DC'!$L$2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'aire DC'!$K$3:$K$26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DC'!$L$3:$L$26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8-484C-8790-6192D5C3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48255"/>
        <c:axId val="26131615"/>
      </c:lineChart>
      <c:catAx>
        <c:axId val="2154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115759"/>
        <c:crosses val="autoZero"/>
        <c:auto val="1"/>
        <c:lblAlgn val="ctr"/>
        <c:lblOffset val="100"/>
        <c:noMultiLvlLbl val="0"/>
      </c:catAx>
      <c:valAx>
        <c:axId val="18951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461743"/>
        <c:crosses val="autoZero"/>
        <c:crossBetween val="between"/>
      </c:valAx>
      <c:valAx>
        <c:axId val="261316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248255"/>
        <c:crosses val="max"/>
        <c:crossBetween val="between"/>
      </c:valAx>
      <c:catAx>
        <c:axId val="25248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3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 acondicionado DC (día</a:t>
            </a:r>
            <a:r>
              <a:rPr lang="es-CO" baseline="0"/>
              <a:t> no laboral verano)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'aire DC'!$S$2</c:f>
              <c:strCache>
                <c:ptCount val="1"/>
                <c:pt idx="0">
                  <c:v>Potencia en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'aire DC'!$P$3:$P$26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DC'!$S$3:$S$26</c:f>
              <c:numCache>
                <c:formatCode>General</c:formatCode>
                <c:ptCount val="24"/>
                <c:pt idx="0">
                  <c:v>0.52</c:v>
                </c:pt>
                <c:pt idx="1">
                  <c:v>0.6</c:v>
                </c:pt>
                <c:pt idx="2">
                  <c:v>0.505</c:v>
                </c:pt>
                <c:pt idx="3">
                  <c:v>0.49</c:v>
                </c:pt>
                <c:pt idx="4">
                  <c:v>0.54500000000000004</c:v>
                </c:pt>
                <c:pt idx="5">
                  <c:v>0.54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0.82</c:v>
                </c:pt>
                <c:pt idx="9">
                  <c:v>0.82</c:v>
                </c:pt>
                <c:pt idx="10">
                  <c:v>0.92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0.81</c:v>
                </c:pt>
                <c:pt idx="17">
                  <c:v>0.68899999999999995</c:v>
                </c:pt>
                <c:pt idx="18">
                  <c:v>0.65</c:v>
                </c:pt>
                <c:pt idx="19">
                  <c:v>0.64</c:v>
                </c:pt>
                <c:pt idx="20">
                  <c:v>0.63</c:v>
                </c:pt>
                <c:pt idx="21">
                  <c:v>0.62</c:v>
                </c:pt>
                <c:pt idx="22">
                  <c:v>0.62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2-4417-A5AF-CB03AAC9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26159"/>
        <c:axId val="239969999"/>
      </c:lineChart>
      <c:lineChart>
        <c:grouping val="standard"/>
        <c:varyColors val="0"/>
        <c:ser>
          <c:idx val="0"/>
          <c:order val="0"/>
          <c:tx>
            <c:strRef>
              <c:f>'aire DC'!$Q$2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'aire DC'!$P$3:$P$26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'aire DC'!$Q$3:$Q$26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2-4417-A5AF-CB03AAC9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8463"/>
        <c:axId val="209986703"/>
      </c:lineChart>
      <c:catAx>
        <c:axId val="19859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969999"/>
        <c:crosses val="autoZero"/>
        <c:auto val="1"/>
        <c:lblAlgn val="ctr"/>
        <c:lblOffset val="100"/>
        <c:noMultiLvlLbl val="0"/>
      </c:catAx>
      <c:valAx>
        <c:axId val="2399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5926159"/>
        <c:crosses val="autoZero"/>
        <c:crossBetween val="between"/>
      </c:valAx>
      <c:valAx>
        <c:axId val="209986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468463"/>
        <c:crosses val="max"/>
        <c:crossBetween val="between"/>
      </c:valAx>
      <c:catAx>
        <c:axId val="21546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8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 dirty="0">
                <a:solidFill>
                  <a:srgbClr val="000000">
                    <a:lumMod val="65000"/>
                    <a:lumOff val="35000"/>
                  </a:srgbClr>
                </a:solidFill>
              </a:rPr>
              <a:t>Consumo aire acondicionado día NO laboral invierno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aire_acondicionado_AC!$O$2</c:f>
              <c:strCache>
                <c:ptCount val="1"/>
                <c:pt idx="0">
                  <c:v>Consumo con un encendico constante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aire_acondicionado_AC!$K$3:$K$26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aire_acondicionado_AC!$O$3:$O$26</c:f>
              <c:numCache>
                <c:formatCode>General</c:formatCode>
                <c:ptCount val="24"/>
                <c:pt idx="0">
                  <c:v>3.1635120000000012</c:v>
                </c:pt>
                <c:pt idx="1">
                  <c:v>0.46997280000000058</c:v>
                </c:pt>
                <c:pt idx="2">
                  <c:v>0.45904320000000015</c:v>
                </c:pt>
                <c:pt idx="3">
                  <c:v>0.4517567999999999</c:v>
                </c:pt>
                <c:pt idx="4">
                  <c:v>0.44689920000000044</c:v>
                </c:pt>
                <c:pt idx="5">
                  <c:v>0.44204160000000103</c:v>
                </c:pt>
                <c:pt idx="6">
                  <c:v>0.45722160000000012</c:v>
                </c:pt>
                <c:pt idx="7">
                  <c:v>0.54101519999999892</c:v>
                </c:pt>
                <c:pt idx="8">
                  <c:v>0.63391680000000028</c:v>
                </c:pt>
                <c:pt idx="9">
                  <c:v>0.72621120000000094</c:v>
                </c:pt>
                <c:pt idx="10">
                  <c:v>0.79664640000000075</c:v>
                </c:pt>
                <c:pt idx="11">
                  <c:v>0.84097200000000094</c:v>
                </c:pt>
                <c:pt idx="12">
                  <c:v>0.87193920000000003</c:v>
                </c:pt>
                <c:pt idx="13">
                  <c:v>0.84218640000000033</c:v>
                </c:pt>
                <c:pt idx="14">
                  <c:v>0.8051472000000004</c:v>
                </c:pt>
                <c:pt idx="15">
                  <c:v>0.75110639999999906</c:v>
                </c:pt>
                <c:pt idx="16">
                  <c:v>0.68249279999999923</c:v>
                </c:pt>
                <c:pt idx="17">
                  <c:v>0.59869920000000043</c:v>
                </c:pt>
                <c:pt idx="18">
                  <c:v>0.54283679999999912</c:v>
                </c:pt>
                <c:pt idx="19">
                  <c:v>0.52522799999999903</c:v>
                </c:pt>
                <c:pt idx="20">
                  <c:v>0.51794160000000089</c:v>
                </c:pt>
                <c:pt idx="21">
                  <c:v>0.51126239999999923</c:v>
                </c:pt>
                <c:pt idx="22">
                  <c:v>0.50336880000000028</c:v>
                </c:pt>
                <c:pt idx="23">
                  <c:v>0.49243919999999991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6-44C2-8183-6490513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550559"/>
        <c:axId val="214826399"/>
      </c:lineChart>
      <c:lineChart>
        <c:grouping val="standard"/>
        <c:varyColors val="0"/>
        <c:ser>
          <c:idx val="0"/>
          <c:order val="0"/>
          <c:tx>
            <c:strRef>
              <c:f>aire_acondicionado_AC!$L$2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aire_acondicionado_AC!$K$3:$K$26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aire_acondicionado_AC!$L$3:$L$26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6-44C2-8183-6490513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7023"/>
        <c:axId val="1975451551"/>
      </c:lineChart>
      <c:catAx>
        <c:axId val="198055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26399"/>
        <c:crosses val="autoZero"/>
        <c:auto val="1"/>
        <c:lblAlgn val="ctr"/>
        <c:lblOffset val="100"/>
        <c:noMultiLvlLbl val="0"/>
      </c:catAx>
      <c:valAx>
        <c:axId val="214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con un encendico constante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550559"/>
        <c:crosses val="autoZero"/>
        <c:crossBetween val="between"/>
      </c:valAx>
      <c:valAx>
        <c:axId val="1975451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467023"/>
        <c:crosses val="max"/>
        <c:crossBetween val="between"/>
      </c:valAx>
      <c:catAx>
        <c:axId val="21546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45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aire acondicionado AC en priorizando el uso de la inercia termica y de la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aire_acondicionado_AC!$V$2</c:f>
              <c:strCache>
                <c:ptCount val="1"/>
                <c:pt idx="0">
                  <c:v>Consumo teniendio en cuenta la inercia térmica y el uso del sistema PV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aire_acondicionado_AC!$R$3:$R$26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aire_acondicionado_AC!$V$3:$V$26</c:f>
              <c:numCache>
                <c:formatCode>General</c:formatCode>
                <c:ptCount val="24"/>
                <c:pt idx="0">
                  <c:v>3.697848</c:v>
                </c:pt>
                <c:pt idx="1">
                  <c:v>0.55315920000000096</c:v>
                </c:pt>
                <c:pt idx="2">
                  <c:v>0.54405120000000051</c:v>
                </c:pt>
                <c:pt idx="3">
                  <c:v>0.53797919999999955</c:v>
                </c:pt>
                <c:pt idx="4">
                  <c:v>0.53433599999999937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5.5194480000000006</c:v>
                </c:pt>
                <c:pt idx="11">
                  <c:v>0.8877263999999998</c:v>
                </c:pt>
                <c:pt idx="12">
                  <c:v>0.91079999999999994</c:v>
                </c:pt>
                <c:pt idx="13">
                  <c:v>0.90351359999999981</c:v>
                </c:pt>
                <c:pt idx="14">
                  <c:v>0.86951039999999924</c:v>
                </c:pt>
                <c:pt idx="15">
                  <c:v>0.8191128000000002</c:v>
                </c:pt>
                <c:pt idx="16">
                  <c:v>0.75535679999999994</c:v>
                </c:pt>
                <c:pt idx="17">
                  <c:v>0.68249279999999923</c:v>
                </c:pt>
                <c:pt idx="18">
                  <c:v>0.62237999999999916</c:v>
                </c:pt>
                <c:pt idx="19">
                  <c:v>0.60234240000000061</c:v>
                </c:pt>
                <c:pt idx="20">
                  <c:v>0.59202000000000088</c:v>
                </c:pt>
                <c:pt idx="21">
                  <c:v>0.5877696</c:v>
                </c:pt>
                <c:pt idx="22">
                  <c:v>0.58169759999999904</c:v>
                </c:pt>
                <c:pt idx="23">
                  <c:v>0.57258960000000081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4-4347-94A9-8652E9B5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79727"/>
        <c:axId val="216848143"/>
      </c:lineChart>
      <c:lineChart>
        <c:grouping val="standard"/>
        <c:varyColors val="0"/>
        <c:ser>
          <c:idx val="0"/>
          <c:order val="0"/>
          <c:tx>
            <c:strRef>
              <c:f>aire_acondicionado_AC!$S$2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aire_acondicionado_AC!$R$3:$R$26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aire_acondicionado_AC!$S$3:$S$26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4-4347-94A9-8652E9B5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28495"/>
        <c:axId val="239970991"/>
      </c:lineChart>
      <c:catAx>
        <c:axId val="19766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6848143"/>
        <c:crosses val="autoZero"/>
        <c:auto val="1"/>
        <c:lblAlgn val="ctr"/>
        <c:lblOffset val="100"/>
        <c:noMultiLvlLbl val="0"/>
      </c:catAx>
      <c:valAx>
        <c:axId val="2168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6679727"/>
        <c:crosses val="autoZero"/>
        <c:crossBetween val="between"/>
      </c:valAx>
      <c:valAx>
        <c:axId val="239970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0428495"/>
        <c:crosses val="max"/>
        <c:crossBetween val="between"/>
      </c:valAx>
      <c:catAx>
        <c:axId val="167042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970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sin tener en cuenta uso de inercia termica ni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aire_acondicionado_AC!$X$2</c:f>
              <c:strCache>
                <c:ptCount val="1"/>
                <c:pt idx="0">
                  <c:v>Consumo sin tener en cuenta la inercia térmica 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aire_acondicionado_AC!$R$3:$R$26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aire_acondicionado_AC!$X$3:$X$26</c:f>
              <c:numCache>
                <c:formatCode>General</c:formatCode>
                <c:ptCount val="24"/>
                <c:pt idx="0">
                  <c:v>3.697848</c:v>
                </c:pt>
                <c:pt idx="1">
                  <c:v>0.55315920000000096</c:v>
                </c:pt>
                <c:pt idx="2">
                  <c:v>0.54405120000000051</c:v>
                </c:pt>
                <c:pt idx="3">
                  <c:v>0.53797919999999955</c:v>
                </c:pt>
                <c:pt idx="4">
                  <c:v>0.53433599999999937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4.4811360000000002</c:v>
                </c:pt>
                <c:pt idx="18">
                  <c:v>0.62420159999999925</c:v>
                </c:pt>
                <c:pt idx="19">
                  <c:v>0.60234240000000061</c:v>
                </c:pt>
                <c:pt idx="20">
                  <c:v>0.59202000000000088</c:v>
                </c:pt>
                <c:pt idx="21">
                  <c:v>0.5877696</c:v>
                </c:pt>
                <c:pt idx="22">
                  <c:v>0.58169759999999904</c:v>
                </c:pt>
                <c:pt idx="23">
                  <c:v>0.57258960000000081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415D-9AD6-914CEE7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553919"/>
        <c:axId val="25975119"/>
      </c:lineChart>
      <c:lineChart>
        <c:grouping val="standard"/>
        <c:varyColors val="0"/>
        <c:ser>
          <c:idx val="0"/>
          <c:order val="0"/>
          <c:tx>
            <c:strRef>
              <c:f>aire_acondicionado_AC!$S$2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aire_acondicionado_AC!$R$3:$R$26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aire_acondicionado_AC!$S$3:$S$26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1-415D-9AD6-914CEE7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26639"/>
        <c:axId val="217237791"/>
      </c:lineChart>
      <c:catAx>
        <c:axId val="19805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75119"/>
        <c:crosses val="autoZero"/>
        <c:auto val="1"/>
        <c:lblAlgn val="ctr"/>
        <c:lblOffset val="100"/>
        <c:noMultiLvlLbl val="0"/>
      </c:catAx>
      <c:valAx>
        <c:axId val="259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 (kWh/dia)</a:t>
                </a:r>
              </a:p>
            </c:rich>
          </c:tx>
          <c:layout>
            <c:manualLayout>
              <c:xMode val="edge"/>
              <c:yMode val="edge"/>
              <c:x val="1.9576085954291451E-2"/>
              <c:y val="9.35986401213576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553919"/>
        <c:crosses val="autoZero"/>
        <c:crossBetween val="between"/>
      </c:valAx>
      <c:valAx>
        <c:axId val="2172377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5926639"/>
        <c:crosses val="max"/>
        <c:crossBetween val="between"/>
      </c:valAx>
      <c:catAx>
        <c:axId val="198592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37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W (Dia no laboral)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TV!$L$1</c:f>
              <c:strCache>
                <c:ptCount val="1"/>
                <c:pt idx="0">
                  <c:v>potencia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TV!$L$2:$L$25</c:f>
              <c:numCache>
                <c:formatCode>General</c:formatCode>
                <c:ptCount val="24"/>
                <c:pt idx="0">
                  <c:v>370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0.5</c:v>
                </c:pt>
                <c:pt idx="11">
                  <c:v>0.5</c:v>
                </c:pt>
                <c:pt idx="12">
                  <c:v>313</c:v>
                </c:pt>
                <c:pt idx="13">
                  <c:v>313</c:v>
                </c:pt>
                <c:pt idx="14">
                  <c:v>0.5</c:v>
                </c:pt>
                <c:pt idx="15">
                  <c:v>0.5</c:v>
                </c:pt>
                <c:pt idx="16">
                  <c:v>313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C-4F94-9AD2-4C585FC2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48032"/>
        <c:axId val="148550816"/>
      </c:scatterChart>
      <c:valAx>
        <c:axId val="20891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50816"/>
        <c:crosses val="autoZero"/>
        <c:crossBetween val="midCat"/>
      </c:valAx>
      <c:valAx>
        <c:axId val="148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91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 dirty="0">
                <a:solidFill>
                  <a:srgbClr val="000000">
                    <a:lumMod val="65000"/>
                    <a:lumOff val="35000"/>
                  </a:srgbClr>
                </a:solidFill>
              </a:rPr>
              <a:t>Consumo día NO laboral de verano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aire_acondicionado_AC!$AE$2</c:f>
              <c:strCache>
                <c:ptCount val="1"/>
                <c:pt idx="0">
                  <c:v>consumo con un encendico constante (kWh/día)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aire_acondicionado_AC!$AA$3:$AA$26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aire_acondicionado_AC!$AE$3:$AE$26</c:f>
              <c:numCache>
                <c:formatCode>General</c:formatCode>
                <c:ptCount val="24"/>
                <c:pt idx="0">
                  <c:v>3.697848</c:v>
                </c:pt>
                <c:pt idx="1">
                  <c:v>0.55315920000000096</c:v>
                </c:pt>
                <c:pt idx="2">
                  <c:v>0.54405120000000051</c:v>
                </c:pt>
                <c:pt idx="3">
                  <c:v>0.53797919999999955</c:v>
                </c:pt>
                <c:pt idx="4">
                  <c:v>0.53433599999999937</c:v>
                </c:pt>
                <c:pt idx="5">
                  <c:v>0.5306927999999993</c:v>
                </c:pt>
                <c:pt idx="6">
                  <c:v>0.55862400000000112</c:v>
                </c:pt>
                <c:pt idx="7">
                  <c:v>0.616915199999999</c:v>
                </c:pt>
                <c:pt idx="8">
                  <c:v>0.7741799999999992</c:v>
                </c:pt>
                <c:pt idx="9">
                  <c:v>0.77782319999999916</c:v>
                </c:pt>
                <c:pt idx="10">
                  <c:v>0.83732880000000098</c:v>
                </c:pt>
                <c:pt idx="11">
                  <c:v>0.88529759999999913</c:v>
                </c:pt>
                <c:pt idx="12">
                  <c:v>0.91079999999999994</c:v>
                </c:pt>
                <c:pt idx="13">
                  <c:v>0.87922560000000027</c:v>
                </c:pt>
                <c:pt idx="14">
                  <c:v>0.86951039999999924</c:v>
                </c:pt>
                <c:pt idx="15">
                  <c:v>0.8191128000000002</c:v>
                </c:pt>
                <c:pt idx="16">
                  <c:v>0.75535679999999994</c:v>
                </c:pt>
                <c:pt idx="17">
                  <c:v>0.68249279999999923</c:v>
                </c:pt>
                <c:pt idx="18">
                  <c:v>0.62237999999999916</c:v>
                </c:pt>
                <c:pt idx="19">
                  <c:v>0.60234240000000061</c:v>
                </c:pt>
                <c:pt idx="20">
                  <c:v>0.59202000000000088</c:v>
                </c:pt>
                <c:pt idx="21">
                  <c:v>0.5877696</c:v>
                </c:pt>
                <c:pt idx="22">
                  <c:v>0.58169759999999904</c:v>
                </c:pt>
                <c:pt idx="23">
                  <c:v>0.57258960000000081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47F8-8112-B599C7B9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963183"/>
        <c:axId val="1898927103"/>
      </c:lineChart>
      <c:lineChart>
        <c:grouping val="standard"/>
        <c:varyColors val="0"/>
        <c:ser>
          <c:idx val="0"/>
          <c:order val="0"/>
          <c:tx>
            <c:strRef>
              <c:f>aire_acondicionado_AC!$AB$2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aire_acondicionado_AC!$AA$3:$AA$26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aire_acondicionado_AC!$AB$3:$AB$26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7F8-8112-B599C7B9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553439"/>
        <c:axId val="26128639"/>
      </c:lineChart>
      <c:catAx>
        <c:axId val="18909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927103"/>
        <c:crosses val="autoZero"/>
        <c:auto val="1"/>
        <c:lblAlgn val="ctr"/>
        <c:lblOffset val="100"/>
        <c:noMultiLvlLbl val="0"/>
      </c:catAx>
      <c:valAx>
        <c:axId val="18989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con un encendico constante (kWh/dia)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963183"/>
        <c:crosses val="autoZero"/>
        <c:crossBetween val="between"/>
      </c:valAx>
      <c:valAx>
        <c:axId val="2612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553439"/>
        <c:crosses val="max"/>
        <c:crossBetween val="between"/>
      </c:valAx>
      <c:catAx>
        <c:axId val="198055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28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aire acondicionado AC priorizando el uso de la inercia termica y de la energia PV</a:t>
            </a:r>
          </a:p>
        </c:rich>
      </c:tx>
      <c:layout>
        <c:manualLayout>
          <c:xMode val="edge"/>
          <c:yMode val="edge"/>
          <c:x val="0.1021122630064978"/>
          <c:y val="3.0256663464304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aire_acondicionado_AC!$E$2</c:f>
              <c:strCache>
                <c:ptCount val="1"/>
                <c:pt idx="0">
                  <c:v>consumo teniendio en cuenta la inercia térmica y el uso del sistema PV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aire_acondicionado_AC!$E$3:$E$26</c:f>
              <c:numCache>
                <c:formatCode>General</c:formatCode>
                <c:ptCount val="24"/>
                <c:pt idx="0">
                  <c:v>3.1635120000000012</c:v>
                </c:pt>
                <c:pt idx="1">
                  <c:v>0.46997280000000058</c:v>
                </c:pt>
                <c:pt idx="2">
                  <c:v>0.45904320000000015</c:v>
                </c:pt>
                <c:pt idx="3">
                  <c:v>0.4517567999999999</c:v>
                </c:pt>
                <c:pt idx="4">
                  <c:v>0.44689920000000044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5.2522799999999989</c:v>
                </c:pt>
                <c:pt idx="11">
                  <c:v>0.84340079999999973</c:v>
                </c:pt>
                <c:pt idx="12">
                  <c:v>0.87193920000000003</c:v>
                </c:pt>
                <c:pt idx="13">
                  <c:v>0.84218640000000033</c:v>
                </c:pt>
                <c:pt idx="14">
                  <c:v>0.8051472000000004</c:v>
                </c:pt>
                <c:pt idx="15">
                  <c:v>0.75110639999999906</c:v>
                </c:pt>
                <c:pt idx="16">
                  <c:v>0.68249279999999923</c:v>
                </c:pt>
                <c:pt idx="17">
                  <c:v>0.59869920000000043</c:v>
                </c:pt>
                <c:pt idx="18">
                  <c:v>0.54283679999999912</c:v>
                </c:pt>
                <c:pt idx="19">
                  <c:v>0.52522799999999903</c:v>
                </c:pt>
                <c:pt idx="20">
                  <c:v>0.51794160000000089</c:v>
                </c:pt>
                <c:pt idx="21">
                  <c:v>0.51126239999999923</c:v>
                </c:pt>
                <c:pt idx="22">
                  <c:v>0.50336880000000028</c:v>
                </c:pt>
                <c:pt idx="23">
                  <c:v>0.49243919999999991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F-43C0-8389-DB7A477E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240847"/>
        <c:axId val="1225249487"/>
      </c:lineChart>
      <c:lineChart>
        <c:grouping val="standard"/>
        <c:varyColors val="0"/>
        <c:ser>
          <c:idx val="0"/>
          <c:order val="0"/>
          <c:tx>
            <c:strRef>
              <c:f>aire_acondicionado_AC!$B$2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aire_acondicionado_AC!$B$3:$B$26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43C0-8389-DB7A477E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220687"/>
        <c:axId val="1225228367"/>
      </c:lineChart>
      <c:catAx>
        <c:axId val="122524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49487"/>
        <c:crosses val="autoZero"/>
        <c:auto val="1"/>
        <c:lblAlgn val="ctr"/>
        <c:lblOffset val="100"/>
        <c:noMultiLvlLbl val="0"/>
      </c:catAx>
      <c:valAx>
        <c:axId val="12252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en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40847"/>
        <c:crosses val="autoZero"/>
        <c:crossBetween val="between"/>
      </c:valAx>
      <c:valAx>
        <c:axId val="122522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20687"/>
        <c:crosses val="max"/>
        <c:crossBetween val="between"/>
      </c:valAx>
      <c:catAx>
        <c:axId val="1225220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522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sin tener en cuenta uso de inercia termica ni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aire_acondicionado_AC!$H$2</c:f>
              <c:strCache>
                <c:ptCount val="1"/>
                <c:pt idx="0">
                  <c:v>consumo sin tener en cuenta la inercia térmica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aire_acondicionado_AC!$H$3:$H$26</c:f>
              <c:numCache>
                <c:formatCode>General</c:formatCode>
                <c:ptCount val="24"/>
                <c:pt idx="0">
                  <c:v>3.1635120000000012</c:v>
                </c:pt>
                <c:pt idx="1">
                  <c:v>0.46997280000000058</c:v>
                </c:pt>
                <c:pt idx="2">
                  <c:v>0.45904320000000015</c:v>
                </c:pt>
                <c:pt idx="3">
                  <c:v>0.4517567999999999</c:v>
                </c:pt>
                <c:pt idx="4">
                  <c:v>0.44689920000000044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3.9285839999999994</c:v>
                </c:pt>
                <c:pt idx="18">
                  <c:v>0.54405120000000051</c:v>
                </c:pt>
                <c:pt idx="19">
                  <c:v>0.52583519999999984</c:v>
                </c:pt>
                <c:pt idx="20">
                  <c:v>0.51794160000000089</c:v>
                </c:pt>
                <c:pt idx="21">
                  <c:v>0.51126239999999923</c:v>
                </c:pt>
                <c:pt idx="22">
                  <c:v>0.50336880000000028</c:v>
                </c:pt>
                <c:pt idx="23">
                  <c:v>0.49243919999999991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7-49F2-93F1-5DE6D310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231727"/>
        <c:axId val="1225228847"/>
      </c:lineChart>
      <c:lineChart>
        <c:grouping val="standard"/>
        <c:varyColors val="0"/>
        <c:ser>
          <c:idx val="0"/>
          <c:order val="0"/>
          <c:tx>
            <c:strRef>
              <c:f>aire_acondicionado_AC!$B$2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aire_acondicionado_AC!$A$3:$A$26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aire_acondicionado_AC!$B$3:$B$26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7-49F2-93F1-5DE6D310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75807"/>
        <c:axId val="1186081567"/>
      </c:lineChart>
      <c:catAx>
        <c:axId val="12252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28847"/>
        <c:crosses val="autoZero"/>
        <c:auto val="1"/>
        <c:lblAlgn val="ctr"/>
        <c:lblOffset val="100"/>
        <c:noMultiLvlLbl val="0"/>
      </c:catAx>
      <c:valAx>
        <c:axId val="12252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en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31727"/>
        <c:crosses val="autoZero"/>
        <c:crossBetween val="between"/>
      </c:valAx>
      <c:valAx>
        <c:axId val="11860815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075807"/>
        <c:crosses val="max"/>
        <c:crossBetween val="between"/>
      </c:valAx>
      <c:catAx>
        <c:axId val="118607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08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aire_acondicionado_DC!$N$2</c:f>
              <c:strCache>
                <c:ptCount val="1"/>
                <c:pt idx="0">
                  <c:v>Consumo con un encendido constante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aire_acondicionado_DC!$N$3:$N$26</c:f>
              <c:numCache>
                <c:formatCode>General</c:formatCode>
                <c:ptCount val="24"/>
                <c:pt idx="0">
                  <c:v>2.9071800000000008</c:v>
                </c:pt>
                <c:pt idx="1">
                  <c:v>0.4318920000000005</c:v>
                </c:pt>
                <c:pt idx="2">
                  <c:v>0.42184800000000011</c:v>
                </c:pt>
                <c:pt idx="3">
                  <c:v>0.41515199999999985</c:v>
                </c:pt>
                <c:pt idx="4">
                  <c:v>0.41068800000000039</c:v>
                </c:pt>
                <c:pt idx="5">
                  <c:v>0.40622400000000081</c:v>
                </c:pt>
                <c:pt idx="6">
                  <c:v>0.42017400000000005</c:v>
                </c:pt>
                <c:pt idx="7">
                  <c:v>0.49717799999999895</c:v>
                </c:pt>
                <c:pt idx="8">
                  <c:v>0.58255200000000029</c:v>
                </c:pt>
                <c:pt idx="9">
                  <c:v>0.66736800000000085</c:v>
                </c:pt>
                <c:pt idx="10">
                  <c:v>0.73209600000000064</c:v>
                </c:pt>
                <c:pt idx="11">
                  <c:v>0.77283000000000079</c:v>
                </c:pt>
                <c:pt idx="12">
                  <c:v>0.80128799999999989</c:v>
                </c:pt>
                <c:pt idx="13">
                  <c:v>0.77394600000000024</c:v>
                </c:pt>
                <c:pt idx="14">
                  <c:v>0.73990800000000034</c:v>
                </c:pt>
                <c:pt idx="15">
                  <c:v>0.69024599999999903</c:v>
                </c:pt>
                <c:pt idx="16">
                  <c:v>0.62719199999999931</c:v>
                </c:pt>
                <c:pt idx="17">
                  <c:v>0.55018800000000034</c:v>
                </c:pt>
                <c:pt idx="18">
                  <c:v>0.49885199999999913</c:v>
                </c:pt>
                <c:pt idx="19">
                  <c:v>0.48266999999999904</c:v>
                </c:pt>
                <c:pt idx="20">
                  <c:v>0.47597400000000084</c:v>
                </c:pt>
                <c:pt idx="21">
                  <c:v>0.46983599999999931</c:v>
                </c:pt>
                <c:pt idx="22">
                  <c:v>0.46258200000000027</c:v>
                </c:pt>
                <c:pt idx="23">
                  <c:v>0.45253799999999994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B-40D2-B176-B0E051F8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3392"/>
        <c:axId val="199473872"/>
      </c:lineChart>
      <c:lineChart>
        <c:grouping val="standard"/>
        <c:varyColors val="0"/>
        <c:ser>
          <c:idx val="0"/>
          <c:order val="0"/>
          <c:tx>
            <c:strRef>
              <c:f>aire_acondicionado_DC!$K$2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aire_acondicionado_DC!$K$3:$K$26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B-40D2-B176-B0E051F8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98896"/>
        <c:axId val="712101776"/>
      </c:lineChart>
      <c:catAx>
        <c:axId val="1994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73872"/>
        <c:crosses val="autoZero"/>
        <c:auto val="1"/>
        <c:lblAlgn val="ctr"/>
        <c:lblOffset val="100"/>
        <c:noMultiLvlLbl val="0"/>
      </c:catAx>
      <c:valAx>
        <c:axId val="1994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73392"/>
        <c:crosses val="autoZero"/>
        <c:crossBetween val="between"/>
      </c:valAx>
      <c:valAx>
        <c:axId val="712101776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098896"/>
        <c:crosses val="max"/>
        <c:crossBetween val="between"/>
      </c:valAx>
      <c:catAx>
        <c:axId val="71209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10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aire_acondicionado_DC!$AD$2</c:f>
              <c:strCache>
                <c:ptCount val="1"/>
                <c:pt idx="0">
                  <c:v>Consumo con un encendido constante (kWh/día)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aire_acondicionado_DC!$Z$3:$Z$26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aire_acondicionado_DC!$AD$3:$AD$26</c:f>
              <c:numCache>
                <c:formatCode>General</c:formatCode>
                <c:ptCount val="24"/>
                <c:pt idx="0">
                  <c:v>3.3982200000000002</c:v>
                </c:pt>
                <c:pt idx="1">
                  <c:v>0.50833800000000073</c:v>
                </c:pt>
                <c:pt idx="2">
                  <c:v>0.49996800000000036</c:v>
                </c:pt>
                <c:pt idx="3">
                  <c:v>0.49438799999999955</c:v>
                </c:pt>
                <c:pt idx="4">
                  <c:v>0.49103999999999937</c:v>
                </c:pt>
                <c:pt idx="5">
                  <c:v>0.48769199999999929</c:v>
                </c:pt>
                <c:pt idx="6">
                  <c:v>0.51336000000000093</c:v>
                </c:pt>
                <c:pt idx="7">
                  <c:v>0.56692799999999899</c:v>
                </c:pt>
                <c:pt idx="8">
                  <c:v>0.99044999999999916</c:v>
                </c:pt>
                <c:pt idx="9">
                  <c:v>0.71479799999999927</c:v>
                </c:pt>
                <c:pt idx="10">
                  <c:v>0.76948200000000067</c:v>
                </c:pt>
                <c:pt idx="11">
                  <c:v>0.81356399999999907</c:v>
                </c:pt>
                <c:pt idx="12">
                  <c:v>0.83699999999999997</c:v>
                </c:pt>
                <c:pt idx="13">
                  <c:v>0.83030399999999971</c:v>
                </c:pt>
                <c:pt idx="14">
                  <c:v>0.7990559999999991</c:v>
                </c:pt>
                <c:pt idx="15">
                  <c:v>0.75274200000000002</c:v>
                </c:pt>
                <c:pt idx="16">
                  <c:v>0.69415199999999977</c:v>
                </c:pt>
                <c:pt idx="17">
                  <c:v>0.62719199999999931</c:v>
                </c:pt>
                <c:pt idx="18">
                  <c:v>0.57194999999999918</c:v>
                </c:pt>
                <c:pt idx="19">
                  <c:v>0.55353600000000047</c:v>
                </c:pt>
                <c:pt idx="20">
                  <c:v>0.5440500000000007</c:v>
                </c:pt>
                <c:pt idx="21">
                  <c:v>0.54014399999999996</c:v>
                </c:pt>
                <c:pt idx="22">
                  <c:v>0.53456399999999915</c:v>
                </c:pt>
                <c:pt idx="23">
                  <c:v>0.52619400000000072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0-4B2B-8B71-8D5791D1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42624"/>
        <c:axId val="705138304"/>
      </c:lineChart>
      <c:lineChart>
        <c:grouping val="standard"/>
        <c:varyColors val="0"/>
        <c:ser>
          <c:idx val="0"/>
          <c:order val="0"/>
          <c:tx>
            <c:strRef>
              <c:f>aire_acondicionado_DC!$AA$2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aire_acondicionado_DC!$Z$3:$Z$26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aire_acondicionado_DC!$AA$3:$AA$26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0-4B2B-8B71-8D5791D1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396432"/>
        <c:axId val="709395472"/>
      </c:lineChart>
      <c:catAx>
        <c:axId val="7051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138304"/>
        <c:crosses val="autoZero"/>
        <c:auto val="1"/>
        <c:lblAlgn val="ctr"/>
        <c:lblOffset val="100"/>
        <c:noMultiLvlLbl val="0"/>
      </c:catAx>
      <c:valAx>
        <c:axId val="7051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142624"/>
        <c:crosses val="autoZero"/>
        <c:crossBetween val="between"/>
      </c:valAx>
      <c:valAx>
        <c:axId val="70939547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396432"/>
        <c:crosses val="max"/>
        <c:crossBetween val="between"/>
      </c:valAx>
      <c:catAx>
        <c:axId val="70939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39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aire acondicionado DC priorizando el uso de la inercia termica y de la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aire_acondicionado_DC!$E$2</c:f>
              <c:strCache>
                <c:ptCount val="1"/>
                <c:pt idx="0">
                  <c:v>Consumo teniendio en cuenta la inercia térmica y el uso del sistema PV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aire_acondicionado_DC!$E$3:$E$26</c:f>
              <c:numCache>
                <c:formatCode>General</c:formatCode>
                <c:ptCount val="24"/>
                <c:pt idx="0">
                  <c:v>2.9071800000000008</c:v>
                </c:pt>
                <c:pt idx="1">
                  <c:v>0.4318920000000005</c:v>
                </c:pt>
                <c:pt idx="2">
                  <c:v>0.42184800000000011</c:v>
                </c:pt>
                <c:pt idx="3">
                  <c:v>0.41515199999999985</c:v>
                </c:pt>
                <c:pt idx="4">
                  <c:v>0.41068800000000039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4.8266999999999998</c:v>
                </c:pt>
                <c:pt idx="11">
                  <c:v>0.7750619999999997</c:v>
                </c:pt>
                <c:pt idx="12">
                  <c:v>0.80128799999999989</c:v>
                </c:pt>
                <c:pt idx="13">
                  <c:v>0.77394600000000024</c:v>
                </c:pt>
                <c:pt idx="14">
                  <c:v>0.73990800000000034</c:v>
                </c:pt>
                <c:pt idx="15">
                  <c:v>0.69024599999999903</c:v>
                </c:pt>
                <c:pt idx="16">
                  <c:v>0.62719199999999931</c:v>
                </c:pt>
                <c:pt idx="17">
                  <c:v>0.55018800000000034</c:v>
                </c:pt>
                <c:pt idx="18">
                  <c:v>0.49885199999999913</c:v>
                </c:pt>
                <c:pt idx="19">
                  <c:v>0.48266999999999904</c:v>
                </c:pt>
                <c:pt idx="20">
                  <c:v>0.47597400000000084</c:v>
                </c:pt>
                <c:pt idx="21">
                  <c:v>0.46983599999999931</c:v>
                </c:pt>
                <c:pt idx="22">
                  <c:v>0.46258200000000027</c:v>
                </c:pt>
                <c:pt idx="23">
                  <c:v>0.45253799999999994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8-4011-9F77-011EA2AF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54623"/>
        <c:axId val="1237455103"/>
      </c:lineChart>
      <c:lineChart>
        <c:grouping val="standard"/>
        <c:varyColors val="0"/>
        <c:ser>
          <c:idx val="0"/>
          <c:order val="0"/>
          <c:tx>
            <c:strRef>
              <c:f>aire_acondicionado_DC!$B$2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aire_acondicionado_DC!$B$3:$B$26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8-4011-9F77-011EA2AF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34943"/>
        <c:axId val="1237429183"/>
      </c:lineChart>
      <c:catAx>
        <c:axId val="123745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455103"/>
        <c:crosses val="autoZero"/>
        <c:auto val="1"/>
        <c:lblAlgn val="ctr"/>
        <c:lblOffset val="100"/>
        <c:noMultiLvlLbl val="0"/>
      </c:catAx>
      <c:valAx>
        <c:axId val="12374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en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454623"/>
        <c:crosses val="autoZero"/>
        <c:crossBetween val="between"/>
      </c:valAx>
      <c:valAx>
        <c:axId val="12374291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434943"/>
        <c:crosses val="max"/>
        <c:crossBetween val="between"/>
      </c:valAx>
      <c:catAx>
        <c:axId val="123743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42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aire acondicionado DC en priorizando el uso de la inercia termica y de la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aire_acondicionado_DC!$U$2</c:f>
              <c:strCache>
                <c:ptCount val="1"/>
                <c:pt idx="0">
                  <c:v>Consumo teniendio en cuenta la inercia térmica y el uso del sistema PV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aire_acondicionado_DC!$Q$3:$Q$26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aire_acondicionado_DC!$U$3:$U$26</c:f>
              <c:numCache>
                <c:formatCode>General</c:formatCode>
                <c:ptCount val="24"/>
                <c:pt idx="0">
                  <c:v>3.3982200000000002</c:v>
                </c:pt>
                <c:pt idx="1">
                  <c:v>0.50833800000000073</c:v>
                </c:pt>
                <c:pt idx="2">
                  <c:v>0.49996800000000036</c:v>
                </c:pt>
                <c:pt idx="3">
                  <c:v>0.49438799999999955</c:v>
                </c:pt>
                <c:pt idx="4">
                  <c:v>0.49103999999999937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5.0722200000000006</c:v>
                </c:pt>
                <c:pt idx="11">
                  <c:v>0.81579599999999985</c:v>
                </c:pt>
                <c:pt idx="12">
                  <c:v>0.83699999999999997</c:v>
                </c:pt>
                <c:pt idx="13">
                  <c:v>0.83030399999999971</c:v>
                </c:pt>
                <c:pt idx="14">
                  <c:v>0.7990559999999991</c:v>
                </c:pt>
                <c:pt idx="15">
                  <c:v>0.75274200000000002</c:v>
                </c:pt>
                <c:pt idx="16">
                  <c:v>0.69415199999999977</c:v>
                </c:pt>
                <c:pt idx="17">
                  <c:v>0.62719199999999931</c:v>
                </c:pt>
                <c:pt idx="18">
                  <c:v>0.57194999999999918</c:v>
                </c:pt>
                <c:pt idx="19">
                  <c:v>0.55353600000000047</c:v>
                </c:pt>
                <c:pt idx="20">
                  <c:v>0.5440500000000007</c:v>
                </c:pt>
                <c:pt idx="21">
                  <c:v>0.54014399999999996</c:v>
                </c:pt>
                <c:pt idx="22">
                  <c:v>0.53456399999999915</c:v>
                </c:pt>
                <c:pt idx="23">
                  <c:v>0.52619400000000072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8-413A-83DA-C456141B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095135"/>
        <c:axId val="1220110495"/>
      </c:lineChart>
      <c:lineChart>
        <c:grouping val="standard"/>
        <c:varyColors val="0"/>
        <c:ser>
          <c:idx val="0"/>
          <c:order val="0"/>
          <c:tx>
            <c:strRef>
              <c:f>aire_acondicionado_DC!$R$2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aire_acondicionado_DC!$Q$3:$Q$26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aire_acondicionado_DC!$R$3:$R$26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8-413A-83DA-C456141B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38783"/>
        <c:axId val="1237420543"/>
      </c:lineChart>
      <c:catAx>
        <c:axId val="12200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0110495"/>
        <c:crosses val="autoZero"/>
        <c:auto val="1"/>
        <c:lblAlgn val="ctr"/>
        <c:lblOffset val="100"/>
        <c:noMultiLvlLbl val="0"/>
      </c:catAx>
      <c:valAx>
        <c:axId val="1220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en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0095135"/>
        <c:crosses val="autoZero"/>
        <c:crossBetween val="between"/>
      </c:valAx>
      <c:valAx>
        <c:axId val="1237420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438783"/>
        <c:crosses val="max"/>
        <c:crossBetween val="between"/>
      </c:valAx>
      <c:catAx>
        <c:axId val="1237438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42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sin tener en cuenta uso de inercia termica ni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aire_acondicionado_DC!$W$2</c:f>
              <c:strCache>
                <c:ptCount val="1"/>
                <c:pt idx="0">
                  <c:v>Consumo sin tener en cuenta la inercia térmica 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aire_acondicionado_DC!$Q$3:$Q$26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aire_acondicionado_DC!$W$3:$W$26</c:f>
              <c:numCache>
                <c:formatCode>General</c:formatCode>
                <c:ptCount val="24"/>
                <c:pt idx="0">
                  <c:v>3.3982200000000002</c:v>
                </c:pt>
                <c:pt idx="1">
                  <c:v>0.50833800000000073</c:v>
                </c:pt>
                <c:pt idx="2">
                  <c:v>0.49996800000000036</c:v>
                </c:pt>
                <c:pt idx="3">
                  <c:v>0.49438799999999955</c:v>
                </c:pt>
                <c:pt idx="4">
                  <c:v>0.49103999999999937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4.1180399999999988</c:v>
                </c:pt>
                <c:pt idx="18">
                  <c:v>0.57362399999999913</c:v>
                </c:pt>
                <c:pt idx="19">
                  <c:v>0.55353600000000047</c:v>
                </c:pt>
                <c:pt idx="20">
                  <c:v>0.5440500000000007</c:v>
                </c:pt>
                <c:pt idx="21">
                  <c:v>0.54014399999999996</c:v>
                </c:pt>
                <c:pt idx="22">
                  <c:v>0.53456399999999915</c:v>
                </c:pt>
                <c:pt idx="23">
                  <c:v>0.52619400000000072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9-45BD-A6F4-3057134B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85887"/>
        <c:axId val="1186100767"/>
      </c:lineChart>
      <c:lineChart>
        <c:grouping val="standard"/>
        <c:varyColors val="0"/>
        <c:ser>
          <c:idx val="0"/>
          <c:order val="0"/>
          <c:tx>
            <c:strRef>
              <c:f>aire_acondicionado_DC!$R$2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aire_acondicionado_DC!$Q$3:$Q$26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aire_acondicionado_DC!$R$3:$R$26</c:f>
              <c:numCache>
                <c:formatCode>General</c:formatCode>
                <c:ptCount val="24"/>
                <c:pt idx="0">
                  <c:v>27.09</c:v>
                </c:pt>
                <c:pt idx="1">
                  <c:v>26.98</c:v>
                </c:pt>
                <c:pt idx="2">
                  <c:v>26.89</c:v>
                </c:pt>
                <c:pt idx="3">
                  <c:v>26.83</c:v>
                </c:pt>
                <c:pt idx="4">
                  <c:v>26.79</c:v>
                </c:pt>
                <c:pt idx="5">
                  <c:v>26.75</c:v>
                </c:pt>
                <c:pt idx="6">
                  <c:v>27.06</c:v>
                </c:pt>
                <c:pt idx="7">
                  <c:v>27.7</c:v>
                </c:pt>
                <c:pt idx="8">
                  <c:v>29.43</c:v>
                </c:pt>
                <c:pt idx="9">
                  <c:v>29.43</c:v>
                </c:pt>
                <c:pt idx="10">
                  <c:v>30.09</c:v>
                </c:pt>
                <c:pt idx="11">
                  <c:v>30.61</c:v>
                </c:pt>
                <c:pt idx="12">
                  <c:v>30.88</c:v>
                </c:pt>
                <c:pt idx="13">
                  <c:v>30.79</c:v>
                </c:pt>
                <c:pt idx="14">
                  <c:v>30.42</c:v>
                </c:pt>
                <c:pt idx="15">
                  <c:v>29.87</c:v>
                </c:pt>
                <c:pt idx="16">
                  <c:v>29.17</c:v>
                </c:pt>
                <c:pt idx="17">
                  <c:v>28.38</c:v>
                </c:pt>
                <c:pt idx="18">
                  <c:v>27.73</c:v>
                </c:pt>
                <c:pt idx="19">
                  <c:v>27.52</c:v>
                </c:pt>
                <c:pt idx="20">
                  <c:v>27.41</c:v>
                </c:pt>
                <c:pt idx="21">
                  <c:v>27.37</c:v>
                </c:pt>
                <c:pt idx="22">
                  <c:v>27.3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9-45BD-A6F4-3057134B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31583"/>
        <c:axId val="1237419583"/>
      </c:lineChart>
      <c:catAx>
        <c:axId val="11860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100767"/>
        <c:crosses val="autoZero"/>
        <c:auto val="1"/>
        <c:lblAlgn val="ctr"/>
        <c:lblOffset val="100"/>
        <c:noMultiLvlLbl val="0"/>
      </c:catAx>
      <c:valAx>
        <c:axId val="11861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en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085887"/>
        <c:crosses val="autoZero"/>
        <c:crossBetween val="between"/>
      </c:valAx>
      <c:valAx>
        <c:axId val="1237419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431583"/>
        <c:crosses val="max"/>
        <c:crossBetween val="between"/>
      </c:valAx>
      <c:catAx>
        <c:axId val="123743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41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sin tener en cuenta uso de inercia termica ni energia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aire_acondicionado_DC!$G$2</c:f>
              <c:strCache>
                <c:ptCount val="1"/>
                <c:pt idx="0">
                  <c:v>Consumo sin tener en cuenta la inercia térmica (kWh/día)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aire_acondicionado_DC!$G$3:$G$26</c:f>
              <c:numCache>
                <c:formatCode>General</c:formatCode>
                <c:ptCount val="24"/>
                <c:pt idx="0">
                  <c:v>2.9071800000000008</c:v>
                </c:pt>
                <c:pt idx="1">
                  <c:v>0.4318920000000005</c:v>
                </c:pt>
                <c:pt idx="2">
                  <c:v>0.42184800000000011</c:v>
                </c:pt>
                <c:pt idx="3">
                  <c:v>0.41515199999999985</c:v>
                </c:pt>
                <c:pt idx="4">
                  <c:v>0.41068800000000039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3.6102599999999994</c:v>
                </c:pt>
                <c:pt idx="18">
                  <c:v>0.49996800000000036</c:v>
                </c:pt>
                <c:pt idx="19">
                  <c:v>0.48322799999999977</c:v>
                </c:pt>
                <c:pt idx="20">
                  <c:v>0.47597400000000084</c:v>
                </c:pt>
                <c:pt idx="21">
                  <c:v>0.46983599999999931</c:v>
                </c:pt>
                <c:pt idx="22">
                  <c:v>0.46258200000000027</c:v>
                </c:pt>
                <c:pt idx="23">
                  <c:v>0.45253799999999994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8-415B-B3D6-789DFB0F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00655"/>
        <c:axId val="1217202095"/>
      </c:lineChart>
      <c:lineChart>
        <c:grouping val="standard"/>
        <c:varyColors val="0"/>
        <c:ser>
          <c:idx val="0"/>
          <c:order val="0"/>
          <c:tx>
            <c:strRef>
              <c:f>aire_acondicionado_DC!$B$2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aire_acondicionado_DC!$A$3:$A$26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aire_acondicionado_DC!$B$3:$B$26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8-415B-B3D6-789DFB0F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35423"/>
        <c:axId val="1237452703"/>
      </c:lineChart>
      <c:catAx>
        <c:axId val="121720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202095"/>
        <c:crosses val="autoZero"/>
        <c:auto val="1"/>
        <c:lblAlgn val="ctr"/>
        <c:lblOffset val="100"/>
        <c:noMultiLvlLbl val="0"/>
      </c:catAx>
      <c:valAx>
        <c:axId val="12172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en (kWh/dia)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200655"/>
        <c:crosses val="autoZero"/>
        <c:crossBetween val="between"/>
      </c:valAx>
      <c:valAx>
        <c:axId val="123745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Temoperatura°C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435423"/>
        <c:crosses val="max"/>
        <c:crossBetween val="between"/>
      </c:valAx>
      <c:catAx>
        <c:axId val="123743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45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lavadora W (dia laboral)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lavadora!$B$1</c:f>
              <c:strCache>
                <c:ptCount val="1"/>
                <c:pt idx="0">
                  <c:v>potencia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lavadora!$A$2:$A$25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lavadora!$B$2:$B$25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437.5</c:v>
                </c:pt>
                <c:pt idx="10">
                  <c:v>62.5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0AA-9428-8C185496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87904"/>
        <c:axId val="594806416"/>
      </c:scatterChart>
      <c:valAx>
        <c:axId val="8144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806416"/>
        <c:crosses val="autoZero"/>
        <c:crossBetween val="midCat"/>
      </c:valAx>
      <c:valAx>
        <c:axId val="594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44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 W (Dia no laboral)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lavadora!$L$1</c:f>
              <c:strCache>
                <c:ptCount val="1"/>
                <c:pt idx="0">
                  <c:v>potencia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lavadora!$K$2:$K$25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lavadora!$L$2:$L$25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437.5</c:v>
                </c:pt>
                <c:pt idx="13">
                  <c:v>62.5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437.5</c:v>
                </c:pt>
                <c:pt idx="19">
                  <c:v>62.5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8-4B3A-8347-F58655FA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89984"/>
        <c:axId val="149500000"/>
      </c:scatterChart>
      <c:valAx>
        <c:axId val="2643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500000"/>
        <c:crosses val="autoZero"/>
        <c:crossBetween val="midCat"/>
      </c:valAx>
      <c:valAx>
        <c:axId val="14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3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nevera en W(Dia Laboral)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nevera!$B$1</c:f>
              <c:strCache>
                <c:ptCount val="1"/>
                <c:pt idx="0">
                  <c:v>potencia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nevera!$A$2:$A$25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nevera!$B$2:$B$25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22</c:v>
                </c:pt>
                <c:pt idx="22">
                  <c:v>11</c:v>
                </c:pt>
                <c:pt idx="2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C-4E1E-A470-4A23D19C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84352"/>
        <c:axId val="480245792"/>
      </c:scatterChart>
      <c:valAx>
        <c:axId val="16776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245792"/>
        <c:crosses val="autoZero"/>
        <c:crossBetween val="midCat"/>
      </c:valAx>
      <c:valAx>
        <c:axId val="480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6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(Dia no</a:t>
            </a:r>
            <a:r>
              <a:rPr lang="es-CO" baseline="0"/>
              <a:t> laboral)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nevera!$L$1</c:f>
              <c:strCache>
                <c:ptCount val="1"/>
                <c:pt idx="0">
                  <c:v>potencia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nevera!$K$2:$K$25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nevera!$L$2:$L$25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11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4-4822-8DA4-546508E9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66320"/>
        <c:axId val="147552992"/>
      </c:scatterChart>
      <c:valAx>
        <c:axId val="2643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52992"/>
        <c:crosses val="autoZero"/>
        <c:crossBetween val="midCat"/>
      </c:valAx>
      <c:valAx>
        <c:axId val="1475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3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luminaria</a:t>
            </a:r>
            <a:r>
              <a:rPr lang="es-CO" baseline="0"/>
              <a:t> en W(Dia Laboral)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luz!$B$1</c:f>
              <c:strCache>
                <c:ptCount val="1"/>
                <c:pt idx="0">
                  <c:v>potencia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luz!$A$2:$A$25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luz!$B$2:$B$25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0-425E-A2D5-D7628FC5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71488"/>
        <c:axId val="366243392"/>
      </c:scatterChart>
      <c:valAx>
        <c:axId val="4912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243392"/>
        <c:crosses val="autoZero"/>
        <c:crossBetween val="midCat"/>
      </c:valAx>
      <c:valAx>
        <c:axId val="3662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2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 (Dia no laboral)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luz!$K$1</c:f>
              <c:strCache>
                <c:ptCount val="1"/>
                <c:pt idx="0">
                  <c:v>potencia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luz!$J$2:$J$25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luz!$K$2:$K$25</c:f>
              <c:numCache>
                <c:formatCode>General</c:formatCode>
                <c:ptCount val="2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7-437F-A1D9-3F4B1657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87856"/>
        <c:axId val="259865040"/>
      </c:scatterChart>
      <c:valAx>
        <c:axId val="2645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65040"/>
        <c:crosses val="autoZero"/>
        <c:crossBetween val="midCat"/>
      </c:valAx>
      <c:valAx>
        <c:axId val="2598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5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Aire acondicionado (día</a:t>
            </a:r>
            <a:r>
              <a:rPr lang="es-CO" baseline="0"/>
              <a:t> laboral invierno)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aire!$D$2</c:f>
              <c:strCache>
                <c:ptCount val="1"/>
                <c:pt idx="0">
                  <c:v>Potencia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aire!$D$3:$D$26</c:f>
              <c:numCache>
                <c:formatCode>General</c:formatCode>
                <c:ptCount val="24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0.44900000000000001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0.59799999999999998</c:v>
                </c:pt>
                <c:pt idx="19">
                  <c:v>0.59699999999999998</c:v>
                </c:pt>
                <c:pt idx="20">
                  <c:v>0.59699999999999998</c:v>
                </c:pt>
                <c:pt idx="21">
                  <c:v>0.45</c:v>
                </c:pt>
                <c:pt idx="22">
                  <c:v>0.45100000000000001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C-4E4E-9BFB-A559C310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28591"/>
        <c:axId val="217232335"/>
      </c:lineChart>
      <c:lineChart>
        <c:grouping val="standard"/>
        <c:varyColors val="0"/>
        <c:ser>
          <c:idx val="0"/>
          <c:order val="0"/>
          <c:tx>
            <c:strRef>
              <c:f>aire!$B$2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aire!$B$3:$B$26</c:f>
              <c:numCache>
                <c:formatCode>General</c:formatCode>
                <c:ptCount val="24"/>
                <c:pt idx="0">
                  <c:v>26.21</c:v>
                </c:pt>
                <c:pt idx="1">
                  <c:v>26.08</c:v>
                </c:pt>
                <c:pt idx="2">
                  <c:v>25.97</c:v>
                </c:pt>
                <c:pt idx="3">
                  <c:v>25.89</c:v>
                </c:pt>
                <c:pt idx="4">
                  <c:v>25.84</c:v>
                </c:pt>
                <c:pt idx="5">
                  <c:v>25.79</c:v>
                </c:pt>
                <c:pt idx="6">
                  <c:v>25.96</c:v>
                </c:pt>
                <c:pt idx="7">
                  <c:v>26.88</c:v>
                </c:pt>
                <c:pt idx="8">
                  <c:v>27.89</c:v>
                </c:pt>
                <c:pt idx="9">
                  <c:v>28.89</c:v>
                </c:pt>
                <c:pt idx="10">
                  <c:v>29.65</c:v>
                </c:pt>
                <c:pt idx="11">
                  <c:v>30.13</c:v>
                </c:pt>
                <c:pt idx="12">
                  <c:v>30.46</c:v>
                </c:pt>
                <c:pt idx="13">
                  <c:v>30.12</c:v>
                </c:pt>
                <c:pt idx="14">
                  <c:v>29.72</c:v>
                </c:pt>
                <c:pt idx="15">
                  <c:v>29.13</c:v>
                </c:pt>
                <c:pt idx="16">
                  <c:v>28.38</c:v>
                </c:pt>
                <c:pt idx="17">
                  <c:v>27.47</c:v>
                </c:pt>
                <c:pt idx="18">
                  <c:v>26.87</c:v>
                </c:pt>
                <c:pt idx="19">
                  <c:v>26.69</c:v>
                </c:pt>
                <c:pt idx="20">
                  <c:v>26.61</c:v>
                </c:pt>
                <c:pt idx="21">
                  <c:v>26.54</c:v>
                </c:pt>
                <c:pt idx="22">
                  <c:v>26.45</c:v>
                </c:pt>
                <c:pt idx="23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C-4E4E-9BFB-A559C310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68223"/>
        <c:axId val="217229359"/>
      </c:lineChart>
      <c:catAx>
        <c:axId val="2546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232335"/>
        <c:crosses val="autoZero"/>
        <c:auto val="1"/>
        <c:lblAlgn val="ctr"/>
        <c:lblOffset val="100"/>
        <c:noMultiLvlLbl val="0"/>
      </c:catAx>
      <c:valAx>
        <c:axId val="2172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Potencia (kWh/día)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628591"/>
        <c:crosses val="autoZero"/>
        <c:crossBetween val="between"/>
      </c:valAx>
      <c:valAx>
        <c:axId val="217229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8868223"/>
        <c:crosses val="max"/>
        <c:crossBetween val="between"/>
      </c:valAx>
      <c:catAx>
        <c:axId val="24886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29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72390</xdr:rowOff>
    </xdr:from>
    <xdr:to>
      <xdr:col>9</xdr:col>
      <xdr:colOff>198120</xdr:colOff>
      <xdr:row>18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9F8485-C76A-328B-257A-D06724C4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220980</xdr:colOff>
      <xdr:row>19</xdr:row>
      <xdr:rowOff>76200</xdr:rowOff>
    </xdr:from>
    <xdr:to>
      <xdr:col>6</xdr:col>
      <xdr:colOff>655320</xdr:colOff>
      <xdr:row>32</xdr:row>
      <xdr:rowOff>91818</xdr:rowOff>
    </xdr:to>
    <xdr:pic>
      <xdr:nvPicPr>
        <xdr:cNvPr id="3" name="Imagen 2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278B1292-9E97-C121-0AEA-970ED6B2B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891"/>
        <a:stretch/>
      </xdr:blipFill>
      <xdr:spPr>
        <a:xfrm>
          <a:off x="4183380" y="3550920"/>
          <a:ext cx="1226820" cy="2393058"/>
        </a:xfrm>
        <a:prstGeom prst="rect">
          <a:avLst/>
        </a:prstGeom>
      </xdr:spPr>
    </xdr:pic>
    <xdr:clientData/>
  </xdr:twoCellAnchor>
  <xdr:twoCellAnchor>
    <xdr:from>
      <xdr:col>13</xdr:col>
      <xdr:colOff>274320</xdr:colOff>
      <xdr:row>4</xdr:row>
      <xdr:rowOff>11430</xdr:rowOff>
    </xdr:from>
    <xdr:to>
      <xdr:col>19</xdr:col>
      <xdr:colOff>91440</xdr:colOff>
      <xdr:row>19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DC0E1-0C03-F3ED-4AFA-6F06CD8BF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19050</xdr:rowOff>
    </xdr:from>
    <xdr:to>
      <xdr:col>9</xdr:col>
      <xdr:colOff>281940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E0BA9D-3231-FC10-A170-E2559D3C7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6</xdr:row>
      <xdr:rowOff>3810</xdr:rowOff>
    </xdr:from>
    <xdr:to>
      <xdr:col>19</xdr:col>
      <xdr:colOff>213360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A5327-1840-60DE-213D-591C65A6C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156210</xdr:rowOff>
    </xdr:from>
    <xdr:to>
      <xdr:col>9</xdr:col>
      <xdr:colOff>160020</xdr:colOff>
      <xdr:row>18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C0346-C95D-21E7-9233-F3122AB45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4</xdr:row>
      <xdr:rowOff>64770</xdr:rowOff>
    </xdr:from>
    <xdr:to>
      <xdr:col>20</xdr:col>
      <xdr:colOff>167640</xdr:colOff>
      <xdr:row>19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D7F71-8BAC-46AD-F1E0-1B591B16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3</xdr:row>
      <xdr:rowOff>19050</xdr:rowOff>
    </xdr:from>
    <xdr:to>
      <xdr:col>8</xdr:col>
      <xdr:colOff>441960</xdr:colOff>
      <xdr:row>17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AB8964-0BE1-E020-F907-DEE9D5324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4</xdr:row>
      <xdr:rowOff>64770</xdr:rowOff>
    </xdr:from>
    <xdr:to>
      <xdr:col>17</xdr:col>
      <xdr:colOff>769620</xdr:colOff>
      <xdr:row>19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6672F-69FC-DC98-9F7B-FBC36825B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179070</xdr:rowOff>
    </xdr:from>
    <xdr:to>
      <xdr:col>6</xdr:col>
      <xdr:colOff>762000</xdr:colOff>
      <xdr:row>46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137353-360A-07D1-A1C5-B4CF3FE5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26</xdr:row>
      <xdr:rowOff>171450</xdr:rowOff>
    </xdr:from>
    <xdr:to>
      <xdr:col>13</xdr:col>
      <xdr:colOff>701040</xdr:colOff>
      <xdr:row>47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3F71E9-F3BB-76C3-4D34-9B1FB528A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47</xdr:row>
      <xdr:rowOff>72390</xdr:rowOff>
    </xdr:from>
    <xdr:to>
      <xdr:col>6</xdr:col>
      <xdr:colOff>746760</xdr:colOff>
      <xdr:row>67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D1DA0D-BA73-E204-9842-7D763490D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426720</xdr:colOff>
      <xdr:row>47</xdr:row>
      <xdr:rowOff>140970</xdr:rowOff>
    </xdr:from>
    <xdr:to>
      <xdr:col>13</xdr:col>
      <xdr:colOff>685800</xdr:colOff>
      <xdr:row>67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19A15D-29E1-666E-7DF2-69F52182E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28</xdr:row>
      <xdr:rowOff>80010</xdr:rowOff>
    </xdr:from>
    <xdr:to>
      <xdr:col>6</xdr:col>
      <xdr:colOff>647700</xdr:colOff>
      <xdr:row>46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26D9D1-22C1-FF51-E3E8-7B2960322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28</xdr:row>
      <xdr:rowOff>95250</xdr:rowOff>
    </xdr:from>
    <xdr:to>
      <xdr:col>13</xdr:col>
      <xdr:colOff>586740</xdr:colOff>
      <xdr:row>47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FAAB07-B38D-96F1-DCF1-BA0150228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640080</xdr:colOff>
      <xdr:row>47</xdr:row>
      <xdr:rowOff>163830</xdr:rowOff>
    </xdr:from>
    <xdr:to>
      <xdr:col>6</xdr:col>
      <xdr:colOff>815340</xdr:colOff>
      <xdr:row>67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D49A5C-C8DC-CF1A-0BEF-F419D69B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48</xdr:row>
      <xdr:rowOff>11430</xdr:rowOff>
    </xdr:from>
    <xdr:to>
      <xdr:col>13</xdr:col>
      <xdr:colOff>426720</xdr:colOff>
      <xdr:row>66</xdr:row>
      <xdr:rowOff>137160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4C22D5-5FFC-4293-CFC1-581343F9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757719</xdr:colOff>
      <xdr:row>28</xdr:row>
      <xdr:rowOff>126713</xdr:rowOff>
    </xdr:from>
    <xdr:to>
      <xdr:col>14</xdr:col>
      <xdr:colOff>1335641</xdr:colOff>
      <xdr:row>46</xdr:row>
      <xdr:rowOff>111304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8781E7-9EB6-5883-B2EC-C2A2954C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175517</xdr:colOff>
      <xdr:row>27</xdr:row>
      <xdr:rowOff>32535</xdr:rowOff>
    </xdr:from>
    <xdr:to>
      <xdr:col>23</xdr:col>
      <xdr:colOff>496585</xdr:colOff>
      <xdr:row>48</xdr:row>
      <xdr:rowOff>94180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5463A3-32AC-DFF6-7252-4296152A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175518</xdr:colOff>
      <xdr:row>49</xdr:row>
      <xdr:rowOff>66781</xdr:rowOff>
    </xdr:from>
    <xdr:to>
      <xdr:col>23</xdr:col>
      <xdr:colOff>539394</xdr:colOff>
      <xdr:row>67</xdr:row>
      <xdr:rowOff>111303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B3C35F7-3003-BEDC-88BE-A3765D98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757719</xdr:colOff>
      <xdr:row>27</xdr:row>
      <xdr:rowOff>49659</xdr:rowOff>
    </xdr:from>
    <xdr:to>
      <xdr:col>31</xdr:col>
      <xdr:colOff>128427</xdr:colOff>
      <xdr:row>46</xdr:row>
      <xdr:rowOff>162674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EA899DC-2658-7122-68C3-703C22F2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175515</xdr:colOff>
      <xdr:row>26</xdr:row>
      <xdr:rowOff>143838</xdr:rowOff>
    </xdr:from>
    <xdr:to>
      <xdr:col>7</xdr:col>
      <xdr:colOff>231167</xdr:colOff>
      <xdr:row>45</xdr:row>
      <xdr:rowOff>85619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D28186-1FE0-4F27-F861-9E7C3B89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329627</xdr:colOff>
      <xdr:row>47</xdr:row>
      <xdr:rowOff>6851</xdr:rowOff>
    </xdr:from>
    <xdr:to>
      <xdr:col>7</xdr:col>
      <xdr:colOff>393841</xdr:colOff>
      <xdr:row>64</xdr:row>
      <xdr:rowOff>119867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736717-FC9C-9DA3-0350-8B299300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624840</xdr:colOff>
      <xdr:row>27</xdr:row>
      <xdr:rowOff>102870</xdr:rowOff>
    </xdr:from>
    <xdr:to>
      <xdr:col>14</xdr:col>
      <xdr:colOff>190500</xdr:colOff>
      <xdr:row>42</xdr:row>
      <xdr:rowOff>102870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AFFCF4-309E-5C96-F54D-EF595C7FA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236220</xdr:colOff>
      <xdr:row>27</xdr:row>
      <xdr:rowOff>102870</xdr:rowOff>
    </xdr:from>
    <xdr:to>
      <xdr:col>30</xdr:col>
      <xdr:colOff>365760</xdr:colOff>
      <xdr:row>42</xdr:row>
      <xdr:rowOff>102870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5847CD9-7B5E-2851-5C90-37D7D728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472440</xdr:colOff>
      <xdr:row>26</xdr:row>
      <xdr:rowOff>125730</xdr:rowOff>
    </xdr:from>
    <xdr:to>
      <xdr:col>6</xdr:col>
      <xdr:colOff>114300</xdr:colOff>
      <xdr:row>41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9EC794-27FA-1698-6EA9-68E5997C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373380</xdr:colOff>
      <xdr:row>27</xdr:row>
      <xdr:rowOff>118110</xdr:rowOff>
    </xdr:from>
    <xdr:to>
      <xdr:col>22</xdr:col>
      <xdr:colOff>190500</xdr:colOff>
      <xdr:row>42</xdr:row>
      <xdr:rowOff>118110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54E4E6-6DFB-26CA-89CE-0441F40C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411480</xdr:colOff>
      <xdr:row>43</xdr:row>
      <xdr:rowOff>11430</xdr:rowOff>
    </xdr:from>
    <xdr:to>
      <xdr:col>22</xdr:col>
      <xdr:colOff>228600</xdr:colOff>
      <xdr:row>58</xdr:row>
      <xdr:rowOff>11430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0DECFE8-CBCE-3AD7-96A3-02B326C15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655320</xdr:colOff>
      <xdr:row>43</xdr:row>
      <xdr:rowOff>34290</xdr:rowOff>
    </xdr:from>
    <xdr:to>
      <xdr:col>5</xdr:col>
      <xdr:colOff>457200</xdr:colOff>
      <xdr:row>58</xdr:row>
      <xdr:rowOff>34290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21C9A18-3CB7-4D9E-743A-66407C87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5876-BA4D-4DE8-A638-7C40116281FF}">
  <dimension ref="A1:M25"/>
  <sheetViews>
    <sheetView workbookViewId="0">
      <selection activeCell="J22" sqref="J22"/>
    </sheetView>
  </sheetViews>
  <sheetFormatPr baseColWidth="10" defaultColWidth="11.5546875" defaultRowHeight="14.4" x14ac:dyDescent="0.3"/>
  <sheetData>
    <row r="1" spans="1:13" x14ac:dyDescent="0.3">
      <c r="A1" s="1" t="s">
        <v>0</v>
      </c>
      <c r="B1" s="1" t="s">
        <v>1</v>
      </c>
      <c r="C1" s="1" t="s">
        <v>30</v>
      </c>
      <c r="K1" s="1" t="s">
        <v>0</v>
      </c>
      <c r="L1" s="1" t="s">
        <v>1</v>
      </c>
      <c r="M1" s="1" t="s">
        <v>30</v>
      </c>
    </row>
    <row r="2" spans="1:13" x14ac:dyDescent="0.3">
      <c r="A2" s="1">
        <v>1</v>
      </c>
      <c r="B2" s="1">
        <v>0.5</v>
      </c>
      <c r="C2" s="1">
        <f>(B2/1000)</f>
        <v>5.0000000000000001E-4</v>
      </c>
      <c r="K2" s="1">
        <v>1</v>
      </c>
      <c r="L2" s="1">
        <v>370</v>
      </c>
      <c r="M2" s="1">
        <f>(L2/1000)</f>
        <v>0.37</v>
      </c>
    </row>
    <row r="3" spans="1:13" x14ac:dyDescent="0.3">
      <c r="A3" s="1">
        <v>2</v>
      </c>
      <c r="B3" s="1">
        <v>0.5</v>
      </c>
      <c r="C3" s="1">
        <f t="shared" ref="C3:C25" si="0">(B3/1000)</f>
        <v>5.0000000000000001E-4</v>
      </c>
      <c r="K3" s="1">
        <v>2</v>
      </c>
      <c r="L3" s="1">
        <v>0.5</v>
      </c>
      <c r="M3" s="1">
        <f t="shared" ref="M3:M25" si="1">(L3/1000)</f>
        <v>5.0000000000000001E-4</v>
      </c>
    </row>
    <row r="4" spans="1:13" x14ac:dyDescent="0.3">
      <c r="A4" s="1">
        <v>3</v>
      </c>
      <c r="B4" s="1">
        <v>0.5</v>
      </c>
      <c r="C4" s="1">
        <f t="shared" si="0"/>
        <v>5.0000000000000001E-4</v>
      </c>
      <c r="K4" s="1">
        <v>3</v>
      </c>
      <c r="L4" s="1">
        <v>0.5</v>
      </c>
      <c r="M4" s="1">
        <f t="shared" si="1"/>
        <v>5.0000000000000001E-4</v>
      </c>
    </row>
    <row r="5" spans="1:13" x14ac:dyDescent="0.3">
      <c r="A5" s="1">
        <v>4</v>
      </c>
      <c r="B5" s="1">
        <v>0.5</v>
      </c>
      <c r="C5" s="1">
        <f t="shared" si="0"/>
        <v>5.0000000000000001E-4</v>
      </c>
      <c r="K5" s="1">
        <v>4</v>
      </c>
      <c r="L5" s="1">
        <v>0.5</v>
      </c>
      <c r="M5" s="1">
        <f t="shared" si="1"/>
        <v>5.0000000000000001E-4</v>
      </c>
    </row>
    <row r="6" spans="1:13" x14ac:dyDescent="0.3">
      <c r="A6" s="1">
        <v>5</v>
      </c>
      <c r="B6" s="1">
        <v>0.5</v>
      </c>
      <c r="C6" s="1">
        <f t="shared" si="0"/>
        <v>5.0000000000000001E-4</v>
      </c>
      <c r="K6" s="1">
        <v>5</v>
      </c>
      <c r="L6" s="1">
        <v>0.5</v>
      </c>
      <c r="M6" s="1">
        <f t="shared" si="1"/>
        <v>5.0000000000000001E-4</v>
      </c>
    </row>
    <row r="7" spans="1:13" x14ac:dyDescent="0.3">
      <c r="A7" s="1">
        <v>6</v>
      </c>
      <c r="B7" s="1">
        <v>313</v>
      </c>
      <c r="C7" s="1">
        <f t="shared" si="0"/>
        <v>0.313</v>
      </c>
      <c r="K7" s="1">
        <v>6</v>
      </c>
      <c r="L7" s="1">
        <v>0.5</v>
      </c>
      <c r="M7" s="1">
        <f t="shared" si="1"/>
        <v>5.0000000000000001E-4</v>
      </c>
    </row>
    <row r="8" spans="1:13" x14ac:dyDescent="0.3">
      <c r="A8" s="1">
        <v>7</v>
      </c>
      <c r="B8" s="1">
        <v>313</v>
      </c>
      <c r="C8" s="1">
        <f t="shared" si="0"/>
        <v>0.313</v>
      </c>
      <c r="K8" s="1">
        <v>7</v>
      </c>
      <c r="L8" s="1">
        <v>0.5</v>
      </c>
      <c r="M8" s="1">
        <f t="shared" si="1"/>
        <v>5.0000000000000001E-4</v>
      </c>
    </row>
    <row r="9" spans="1:13" x14ac:dyDescent="0.3">
      <c r="A9" s="1">
        <v>8</v>
      </c>
      <c r="B9" s="1">
        <v>0.5</v>
      </c>
      <c r="C9" s="1">
        <f t="shared" si="0"/>
        <v>5.0000000000000001E-4</v>
      </c>
      <c r="K9" s="1">
        <v>8</v>
      </c>
      <c r="L9" s="1">
        <v>313</v>
      </c>
      <c r="M9" s="1">
        <f t="shared" si="1"/>
        <v>0.313</v>
      </c>
    </row>
    <row r="10" spans="1:13" x14ac:dyDescent="0.3">
      <c r="A10" s="1">
        <v>9</v>
      </c>
      <c r="B10" s="1">
        <v>0.5</v>
      </c>
      <c r="C10" s="1">
        <f t="shared" si="0"/>
        <v>5.0000000000000001E-4</v>
      </c>
      <c r="K10" s="1">
        <v>9</v>
      </c>
      <c r="L10" s="1">
        <v>313</v>
      </c>
      <c r="M10" s="1">
        <f t="shared" si="1"/>
        <v>0.313</v>
      </c>
    </row>
    <row r="11" spans="1:13" x14ac:dyDescent="0.3">
      <c r="A11" s="1">
        <v>10</v>
      </c>
      <c r="B11" s="1">
        <v>0.5</v>
      </c>
      <c r="C11" s="1">
        <f t="shared" si="0"/>
        <v>5.0000000000000001E-4</v>
      </c>
      <c r="K11" s="1">
        <v>10</v>
      </c>
      <c r="L11" s="1">
        <v>313</v>
      </c>
      <c r="M11" s="1">
        <f t="shared" si="1"/>
        <v>0.313</v>
      </c>
    </row>
    <row r="12" spans="1:13" x14ac:dyDescent="0.3">
      <c r="A12" s="1">
        <v>11</v>
      </c>
      <c r="B12" s="1">
        <v>0.5</v>
      </c>
      <c r="C12" s="1">
        <f t="shared" si="0"/>
        <v>5.0000000000000001E-4</v>
      </c>
      <c r="K12" s="1">
        <v>11</v>
      </c>
      <c r="L12" s="1">
        <v>0.5</v>
      </c>
      <c r="M12" s="1">
        <f t="shared" si="1"/>
        <v>5.0000000000000001E-4</v>
      </c>
    </row>
    <row r="13" spans="1:13" x14ac:dyDescent="0.3">
      <c r="A13" s="1">
        <v>12</v>
      </c>
      <c r="B13" s="1">
        <v>0.5</v>
      </c>
      <c r="C13" s="1">
        <f t="shared" si="0"/>
        <v>5.0000000000000001E-4</v>
      </c>
      <c r="K13" s="1">
        <v>12</v>
      </c>
      <c r="L13" s="1">
        <v>0.5</v>
      </c>
      <c r="M13" s="1">
        <f t="shared" si="1"/>
        <v>5.0000000000000001E-4</v>
      </c>
    </row>
    <row r="14" spans="1:13" x14ac:dyDescent="0.3">
      <c r="A14" s="1">
        <v>13</v>
      </c>
      <c r="B14" s="1">
        <v>0.5</v>
      </c>
      <c r="C14" s="1">
        <f t="shared" si="0"/>
        <v>5.0000000000000001E-4</v>
      </c>
      <c r="K14" s="1">
        <v>13</v>
      </c>
      <c r="L14" s="1">
        <v>313</v>
      </c>
      <c r="M14" s="1">
        <f t="shared" si="1"/>
        <v>0.313</v>
      </c>
    </row>
    <row r="15" spans="1:13" x14ac:dyDescent="0.3">
      <c r="A15" s="1">
        <v>14</v>
      </c>
      <c r="B15" s="1">
        <v>0.5</v>
      </c>
      <c r="C15" s="1">
        <f t="shared" si="0"/>
        <v>5.0000000000000001E-4</v>
      </c>
      <c r="K15" s="1">
        <v>14</v>
      </c>
      <c r="L15" s="1">
        <v>313</v>
      </c>
      <c r="M15" s="1">
        <f t="shared" si="1"/>
        <v>0.313</v>
      </c>
    </row>
    <row r="16" spans="1:13" x14ac:dyDescent="0.3">
      <c r="A16" s="1">
        <v>15</v>
      </c>
      <c r="B16" s="1">
        <v>313</v>
      </c>
      <c r="C16" s="1">
        <f t="shared" si="0"/>
        <v>0.313</v>
      </c>
      <c r="K16" s="1">
        <v>15</v>
      </c>
      <c r="L16" s="1">
        <v>0.5</v>
      </c>
      <c r="M16" s="1">
        <f t="shared" si="1"/>
        <v>5.0000000000000001E-4</v>
      </c>
    </row>
    <row r="17" spans="1:13" x14ac:dyDescent="0.3">
      <c r="A17" s="1">
        <v>16</v>
      </c>
      <c r="B17" s="1">
        <v>313</v>
      </c>
      <c r="C17" s="1">
        <f t="shared" si="0"/>
        <v>0.313</v>
      </c>
      <c r="K17" s="1">
        <v>16</v>
      </c>
      <c r="L17" s="1">
        <v>0.5</v>
      </c>
      <c r="M17" s="1">
        <f t="shared" si="1"/>
        <v>5.0000000000000001E-4</v>
      </c>
    </row>
    <row r="18" spans="1:13" x14ac:dyDescent="0.3">
      <c r="A18" s="1">
        <v>17</v>
      </c>
      <c r="B18" s="1">
        <v>313</v>
      </c>
      <c r="C18" s="1">
        <f t="shared" si="0"/>
        <v>0.313</v>
      </c>
      <c r="K18" s="1">
        <v>17</v>
      </c>
      <c r="L18" s="1">
        <v>313</v>
      </c>
      <c r="M18" s="1">
        <f t="shared" si="1"/>
        <v>0.313</v>
      </c>
    </row>
    <row r="19" spans="1:13" x14ac:dyDescent="0.3">
      <c r="A19" s="1">
        <v>18</v>
      </c>
      <c r="B19" s="1">
        <v>370</v>
      </c>
      <c r="C19" s="1">
        <f t="shared" si="0"/>
        <v>0.37</v>
      </c>
      <c r="K19" s="1">
        <v>18</v>
      </c>
      <c r="L19" s="1">
        <v>370</v>
      </c>
      <c r="M19" s="1">
        <f t="shared" si="1"/>
        <v>0.37</v>
      </c>
    </row>
    <row r="20" spans="1:13" x14ac:dyDescent="0.3">
      <c r="A20" s="1">
        <v>19</v>
      </c>
      <c r="B20" s="1">
        <v>370</v>
      </c>
      <c r="C20" s="1">
        <f t="shared" si="0"/>
        <v>0.37</v>
      </c>
      <c r="K20" s="1">
        <v>19</v>
      </c>
      <c r="L20" s="1">
        <v>370</v>
      </c>
      <c r="M20" s="1">
        <f t="shared" si="1"/>
        <v>0.37</v>
      </c>
    </row>
    <row r="21" spans="1:13" x14ac:dyDescent="0.3">
      <c r="A21" s="1">
        <v>20</v>
      </c>
      <c r="B21" s="1">
        <v>370</v>
      </c>
      <c r="C21" s="1">
        <f t="shared" si="0"/>
        <v>0.37</v>
      </c>
      <c r="D21" t="s">
        <v>11</v>
      </c>
      <c r="K21" s="1">
        <v>20</v>
      </c>
      <c r="L21" s="1">
        <v>370</v>
      </c>
      <c r="M21" s="1">
        <f t="shared" si="1"/>
        <v>0.37</v>
      </c>
    </row>
    <row r="22" spans="1:13" x14ac:dyDescent="0.3">
      <c r="A22" s="1">
        <v>21</v>
      </c>
      <c r="B22" s="1">
        <v>370</v>
      </c>
      <c r="C22" s="1">
        <f t="shared" si="0"/>
        <v>0.37</v>
      </c>
      <c r="K22" s="1">
        <v>21</v>
      </c>
      <c r="L22" s="1">
        <v>370</v>
      </c>
      <c r="M22" s="1">
        <f t="shared" si="1"/>
        <v>0.37</v>
      </c>
    </row>
    <row r="23" spans="1:13" x14ac:dyDescent="0.3">
      <c r="A23" s="1">
        <v>22</v>
      </c>
      <c r="B23" s="1">
        <v>370</v>
      </c>
      <c r="C23" s="1">
        <f t="shared" si="0"/>
        <v>0.37</v>
      </c>
      <c r="K23" s="1">
        <v>22</v>
      </c>
      <c r="L23" s="1">
        <v>370</v>
      </c>
      <c r="M23" s="1">
        <f t="shared" si="1"/>
        <v>0.37</v>
      </c>
    </row>
    <row r="24" spans="1:13" x14ac:dyDescent="0.3">
      <c r="A24" s="1">
        <v>23</v>
      </c>
      <c r="B24" s="1">
        <v>0.5</v>
      </c>
      <c r="C24" s="1">
        <f t="shared" si="0"/>
        <v>5.0000000000000001E-4</v>
      </c>
      <c r="H24" t="s">
        <v>12</v>
      </c>
      <c r="K24" s="1">
        <v>23</v>
      </c>
      <c r="L24" s="1">
        <v>370</v>
      </c>
      <c r="M24" s="1">
        <f t="shared" si="1"/>
        <v>0.37</v>
      </c>
    </row>
    <row r="25" spans="1:13" x14ac:dyDescent="0.3">
      <c r="A25" s="1">
        <v>24</v>
      </c>
      <c r="B25" s="1">
        <v>0.5</v>
      </c>
      <c r="C25" s="1">
        <f t="shared" si="0"/>
        <v>5.0000000000000001E-4</v>
      </c>
      <c r="K25" s="1">
        <v>24</v>
      </c>
      <c r="L25" s="1">
        <v>370</v>
      </c>
      <c r="M25" s="1">
        <f t="shared" si="1"/>
        <v>0.37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E536-9220-40D5-B92E-E5D4942A2615}">
  <dimension ref="A1:M25"/>
  <sheetViews>
    <sheetView workbookViewId="0">
      <selection activeCell="G24" sqref="G24"/>
    </sheetView>
  </sheetViews>
  <sheetFormatPr baseColWidth="10" defaultColWidth="11.5546875" defaultRowHeight="14.4" x14ac:dyDescent="0.3"/>
  <sheetData>
    <row r="1" spans="1:13" x14ac:dyDescent="0.3">
      <c r="A1" s="1" t="s">
        <v>0</v>
      </c>
      <c r="B1" s="1" t="s">
        <v>1</v>
      </c>
      <c r="C1" s="1" t="s">
        <v>30</v>
      </c>
      <c r="G1" t="s">
        <v>2</v>
      </c>
      <c r="I1" t="s">
        <v>5</v>
      </c>
      <c r="K1" s="1" t="s">
        <v>0</v>
      </c>
      <c r="L1" s="1" t="s">
        <v>1</v>
      </c>
      <c r="M1" s="1" t="s">
        <v>30</v>
      </c>
    </row>
    <row r="2" spans="1:13" x14ac:dyDescent="0.3">
      <c r="A2" s="1">
        <v>1</v>
      </c>
      <c r="B2" s="1">
        <v>0</v>
      </c>
      <c r="C2" s="1">
        <f>(B2/1000)</f>
        <v>0</v>
      </c>
      <c r="G2" t="s">
        <v>3</v>
      </c>
      <c r="I2" t="s">
        <v>6</v>
      </c>
      <c r="K2" s="1">
        <v>1</v>
      </c>
      <c r="L2" s="1">
        <v>0</v>
      </c>
      <c r="M2" s="1">
        <f>(L2/1000)</f>
        <v>0</v>
      </c>
    </row>
    <row r="3" spans="1:13" x14ac:dyDescent="0.3">
      <c r="A3" s="1">
        <v>2</v>
      </c>
      <c r="B3" s="1">
        <v>0</v>
      </c>
      <c r="C3" s="1">
        <f t="shared" ref="C3:C25" si="0">(B3/1000)</f>
        <v>0</v>
      </c>
      <c r="G3" t="s">
        <v>4</v>
      </c>
      <c r="I3" s="35" t="s">
        <v>10</v>
      </c>
      <c r="J3" s="35"/>
      <c r="K3" s="1">
        <v>2</v>
      </c>
      <c r="L3" s="1">
        <v>0</v>
      </c>
      <c r="M3" s="1">
        <f t="shared" ref="M3:M25" si="1">(L3/1000)</f>
        <v>0</v>
      </c>
    </row>
    <row r="4" spans="1:13" x14ac:dyDescent="0.3">
      <c r="A4" s="1">
        <v>3</v>
      </c>
      <c r="B4" s="1">
        <v>0</v>
      </c>
      <c r="C4" s="1">
        <f t="shared" si="0"/>
        <v>0</v>
      </c>
      <c r="K4" s="1">
        <v>3</v>
      </c>
      <c r="L4" s="1">
        <v>0</v>
      </c>
      <c r="M4" s="1">
        <f t="shared" si="1"/>
        <v>0</v>
      </c>
    </row>
    <row r="5" spans="1:13" x14ac:dyDescent="0.3">
      <c r="A5" s="1">
        <v>4</v>
      </c>
      <c r="B5" s="1">
        <v>0</v>
      </c>
      <c r="C5" s="1">
        <f t="shared" si="0"/>
        <v>0</v>
      </c>
      <c r="K5" s="1">
        <v>4</v>
      </c>
      <c r="L5" s="1">
        <v>0</v>
      </c>
      <c r="M5" s="1">
        <f t="shared" si="1"/>
        <v>0</v>
      </c>
    </row>
    <row r="6" spans="1:13" x14ac:dyDescent="0.3">
      <c r="A6" s="1">
        <v>5</v>
      </c>
      <c r="B6" s="1">
        <v>0</v>
      </c>
      <c r="C6" s="1">
        <f t="shared" si="0"/>
        <v>0</v>
      </c>
      <c r="K6" s="1">
        <v>5</v>
      </c>
      <c r="L6" s="1">
        <v>0</v>
      </c>
      <c r="M6" s="1">
        <f t="shared" si="1"/>
        <v>0</v>
      </c>
    </row>
    <row r="7" spans="1:13" x14ac:dyDescent="0.3">
      <c r="A7" s="1">
        <v>6</v>
      </c>
      <c r="B7" s="1">
        <v>0</v>
      </c>
      <c r="C7" s="1">
        <f t="shared" si="0"/>
        <v>0</v>
      </c>
      <c r="K7" s="1">
        <v>6</v>
      </c>
      <c r="L7" s="1">
        <v>0</v>
      </c>
      <c r="M7" s="1">
        <f t="shared" si="1"/>
        <v>0</v>
      </c>
    </row>
    <row r="8" spans="1:13" x14ac:dyDescent="0.3">
      <c r="A8" s="1">
        <v>7</v>
      </c>
      <c r="B8" s="1">
        <v>0</v>
      </c>
      <c r="C8" s="1">
        <f t="shared" si="0"/>
        <v>0</v>
      </c>
      <c r="K8" s="1">
        <v>7</v>
      </c>
      <c r="L8" s="1">
        <v>0</v>
      </c>
      <c r="M8" s="1">
        <f t="shared" si="1"/>
        <v>0</v>
      </c>
    </row>
    <row r="9" spans="1:13" x14ac:dyDescent="0.3">
      <c r="A9" s="1">
        <v>8</v>
      </c>
      <c r="B9" s="1">
        <v>0</v>
      </c>
      <c r="C9" s="1">
        <f t="shared" si="0"/>
        <v>0</v>
      </c>
      <c r="K9" s="1">
        <v>8</v>
      </c>
      <c r="L9" s="1">
        <v>0</v>
      </c>
      <c r="M9" s="1">
        <f t="shared" si="1"/>
        <v>0</v>
      </c>
    </row>
    <row r="10" spans="1:13" x14ac:dyDescent="0.3">
      <c r="A10" s="1">
        <v>9</v>
      </c>
      <c r="B10" s="1">
        <v>20</v>
      </c>
      <c r="C10" s="1">
        <f t="shared" si="0"/>
        <v>0.02</v>
      </c>
      <c r="K10" s="1">
        <v>9</v>
      </c>
      <c r="L10" s="1">
        <v>0</v>
      </c>
      <c r="M10" s="1">
        <f t="shared" si="1"/>
        <v>0</v>
      </c>
    </row>
    <row r="11" spans="1:13" x14ac:dyDescent="0.3">
      <c r="A11" s="1">
        <v>10</v>
      </c>
      <c r="B11" s="1">
        <v>437.5</v>
      </c>
      <c r="C11" s="1">
        <f t="shared" si="0"/>
        <v>0.4375</v>
      </c>
      <c r="K11" s="1">
        <v>10</v>
      </c>
      <c r="L11" s="1">
        <v>0</v>
      </c>
      <c r="M11" s="1">
        <f t="shared" si="1"/>
        <v>0</v>
      </c>
    </row>
    <row r="12" spans="1:13" x14ac:dyDescent="0.3">
      <c r="A12" s="1">
        <v>11</v>
      </c>
      <c r="B12" s="1">
        <v>62.5</v>
      </c>
      <c r="C12" s="1">
        <f t="shared" si="0"/>
        <v>6.25E-2</v>
      </c>
      <c r="K12" s="1">
        <v>11</v>
      </c>
      <c r="L12" s="1">
        <v>0</v>
      </c>
      <c r="M12" s="1">
        <f t="shared" si="1"/>
        <v>0</v>
      </c>
    </row>
    <row r="13" spans="1:13" x14ac:dyDescent="0.3">
      <c r="A13" s="1">
        <v>12</v>
      </c>
      <c r="B13" s="1">
        <v>0</v>
      </c>
      <c r="C13" s="1">
        <f t="shared" si="0"/>
        <v>0</v>
      </c>
      <c r="K13" s="1">
        <v>12</v>
      </c>
      <c r="L13" s="1">
        <v>20</v>
      </c>
      <c r="M13" s="1">
        <f t="shared" si="1"/>
        <v>0.02</v>
      </c>
    </row>
    <row r="14" spans="1:13" x14ac:dyDescent="0.3">
      <c r="A14" s="1">
        <v>13</v>
      </c>
      <c r="B14" s="1">
        <v>0</v>
      </c>
      <c r="C14" s="1">
        <f t="shared" si="0"/>
        <v>0</v>
      </c>
      <c r="K14" s="1">
        <v>13</v>
      </c>
      <c r="L14" s="1">
        <v>437.5</v>
      </c>
      <c r="M14" s="1">
        <f t="shared" si="1"/>
        <v>0.4375</v>
      </c>
    </row>
    <row r="15" spans="1:13" x14ac:dyDescent="0.3">
      <c r="A15" s="1">
        <v>14</v>
      </c>
      <c r="B15" s="1">
        <v>0</v>
      </c>
      <c r="C15" s="1">
        <f t="shared" si="0"/>
        <v>0</v>
      </c>
      <c r="K15" s="1">
        <v>14</v>
      </c>
      <c r="L15" s="1">
        <v>62.5</v>
      </c>
      <c r="M15" s="1">
        <f t="shared" si="1"/>
        <v>6.25E-2</v>
      </c>
    </row>
    <row r="16" spans="1:13" x14ac:dyDescent="0.3">
      <c r="A16" s="1">
        <v>15</v>
      </c>
      <c r="B16" s="1">
        <v>0</v>
      </c>
      <c r="C16" s="1">
        <f t="shared" si="0"/>
        <v>0</v>
      </c>
      <c r="K16" s="1">
        <v>15</v>
      </c>
      <c r="L16" s="1">
        <v>0</v>
      </c>
      <c r="M16" s="1">
        <f t="shared" si="1"/>
        <v>0</v>
      </c>
    </row>
    <row r="17" spans="1:13" x14ac:dyDescent="0.3">
      <c r="A17" s="1">
        <v>16</v>
      </c>
      <c r="B17" s="1">
        <v>0</v>
      </c>
      <c r="C17" s="1">
        <f t="shared" si="0"/>
        <v>0</v>
      </c>
      <c r="K17" s="1">
        <v>16</v>
      </c>
      <c r="L17" s="1">
        <v>0</v>
      </c>
      <c r="M17" s="1">
        <f t="shared" si="1"/>
        <v>0</v>
      </c>
    </row>
    <row r="18" spans="1:13" x14ac:dyDescent="0.3">
      <c r="A18" s="1">
        <v>17</v>
      </c>
      <c r="B18" s="1">
        <v>0</v>
      </c>
      <c r="C18" s="1">
        <f t="shared" si="0"/>
        <v>0</v>
      </c>
      <c r="K18" s="1">
        <v>17</v>
      </c>
      <c r="L18" s="1">
        <v>0</v>
      </c>
      <c r="M18" s="1">
        <f t="shared" si="1"/>
        <v>0</v>
      </c>
    </row>
    <row r="19" spans="1:13" x14ac:dyDescent="0.3">
      <c r="A19" s="1">
        <v>18</v>
      </c>
      <c r="B19" s="1">
        <v>0</v>
      </c>
      <c r="C19" s="1">
        <f t="shared" si="0"/>
        <v>0</v>
      </c>
      <c r="K19" s="1">
        <v>18</v>
      </c>
      <c r="L19" s="1">
        <v>20</v>
      </c>
      <c r="M19" s="1">
        <f t="shared" si="1"/>
        <v>0.02</v>
      </c>
    </row>
    <row r="20" spans="1:13" x14ac:dyDescent="0.3">
      <c r="A20" s="1">
        <v>19</v>
      </c>
      <c r="B20" s="1">
        <v>0</v>
      </c>
      <c r="C20" s="1">
        <f t="shared" si="0"/>
        <v>0</v>
      </c>
      <c r="K20" s="1">
        <v>19</v>
      </c>
      <c r="L20" s="1">
        <v>437.5</v>
      </c>
      <c r="M20" s="1">
        <f t="shared" si="1"/>
        <v>0.4375</v>
      </c>
    </row>
    <row r="21" spans="1:13" x14ac:dyDescent="0.3">
      <c r="A21" s="1">
        <v>20</v>
      </c>
      <c r="B21" s="1">
        <v>0</v>
      </c>
      <c r="C21" s="1">
        <f t="shared" si="0"/>
        <v>0</v>
      </c>
      <c r="K21" s="1">
        <v>20</v>
      </c>
      <c r="L21" s="1">
        <v>62.5</v>
      </c>
      <c r="M21" s="1">
        <f t="shared" si="1"/>
        <v>6.25E-2</v>
      </c>
    </row>
    <row r="22" spans="1:13" x14ac:dyDescent="0.3">
      <c r="A22" s="1">
        <v>21</v>
      </c>
      <c r="B22" s="1">
        <v>0</v>
      </c>
      <c r="C22" s="1">
        <f t="shared" si="0"/>
        <v>0</v>
      </c>
      <c r="K22" s="1">
        <v>21</v>
      </c>
      <c r="L22" s="1">
        <v>0</v>
      </c>
      <c r="M22" s="1">
        <f t="shared" si="1"/>
        <v>0</v>
      </c>
    </row>
    <row r="23" spans="1:13" x14ac:dyDescent="0.3">
      <c r="A23" s="1">
        <v>22</v>
      </c>
      <c r="B23" s="1">
        <v>0</v>
      </c>
      <c r="C23" s="1">
        <f t="shared" si="0"/>
        <v>0</v>
      </c>
      <c r="K23" s="1">
        <v>22</v>
      </c>
      <c r="L23" s="1">
        <v>0</v>
      </c>
      <c r="M23" s="1">
        <f t="shared" si="1"/>
        <v>0</v>
      </c>
    </row>
    <row r="24" spans="1:13" x14ac:dyDescent="0.3">
      <c r="A24" s="1">
        <v>23</v>
      </c>
      <c r="B24" s="1">
        <v>0</v>
      </c>
      <c r="C24" s="1">
        <f t="shared" si="0"/>
        <v>0</v>
      </c>
      <c r="K24" s="1">
        <v>23</v>
      </c>
      <c r="L24" s="1">
        <v>0</v>
      </c>
      <c r="M24" s="1">
        <f t="shared" si="1"/>
        <v>0</v>
      </c>
    </row>
    <row r="25" spans="1:13" x14ac:dyDescent="0.3">
      <c r="A25" s="1">
        <v>24</v>
      </c>
      <c r="B25" s="1">
        <v>0</v>
      </c>
      <c r="C25" s="1">
        <f t="shared" si="0"/>
        <v>0</v>
      </c>
      <c r="K25" s="1">
        <v>24</v>
      </c>
      <c r="L25" s="1">
        <v>0</v>
      </c>
      <c r="M25" s="1">
        <f t="shared" si="1"/>
        <v>0</v>
      </c>
    </row>
  </sheetData>
  <mergeCells count="1"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E3F4-5316-45B4-8DE6-47B5912817F4}">
  <dimension ref="A1:M25"/>
  <sheetViews>
    <sheetView workbookViewId="0">
      <selection activeCell="I24" sqref="I24"/>
    </sheetView>
  </sheetViews>
  <sheetFormatPr baseColWidth="10" defaultColWidth="11.5546875" defaultRowHeight="14.4" x14ac:dyDescent="0.3"/>
  <sheetData>
    <row r="1" spans="1:13" x14ac:dyDescent="0.3">
      <c r="A1" s="1" t="s">
        <v>0</v>
      </c>
      <c r="B1" s="1" t="s">
        <v>1</v>
      </c>
      <c r="C1" s="1" t="s">
        <v>30</v>
      </c>
      <c r="K1" s="1" t="s">
        <v>0</v>
      </c>
      <c r="L1" s="1" t="s">
        <v>7</v>
      </c>
      <c r="M1" s="1" t="s">
        <v>30</v>
      </c>
    </row>
    <row r="2" spans="1:13" x14ac:dyDescent="0.3">
      <c r="A2" s="1">
        <v>1</v>
      </c>
      <c r="B2" s="1">
        <v>11</v>
      </c>
      <c r="C2" s="1">
        <f>(B2/1000)</f>
        <v>1.0999999999999999E-2</v>
      </c>
      <c r="K2" s="1">
        <v>1</v>
      </c>
      <c r="L2" s="1">
        <v>11</v>
      </c>
      <c r="M2" s="1">
        <f>(L2/1000)</f>
        <v>1.0999999999999999E-2</v>
      </c>
    </row>
    <row r="3" spans="1:13" x14ac:dyDescent="0.3">
      <c r="A3" s="1">
        <v>2</v>
      </c>
      <c r="B3" s="1">
        <v>11</v>
      </c>
      <c r="C3" s="1">
        <f t="shared" ref="C3:C25" si="0">(B3/1000)</f>
        <v>1.0999999999999999E-2</v>
      </c>
      <c r="K3" s="1">
        <v>2</v>
      </c>
      <c r="L3" s="1">
        <v>11</v>
      </c>
      <c r="M3" s="1">
        <f t="shared" ref="M3:M25" si="1">(L3/1000)</f>
        <v>1.0999999999999999E-2</v>
      </c>
    </row>
    <row r="4" spans="1:13" x14ac:dyDescent="0.3">
      <c r="A4" s="1">
        <v>3</v>
      </c>
      <c r="B4" s="1">
        <v>11</v>
      </c>
      <c r="C4" s="1">
        <f t="shared" si="0"/>
        <v>1.0999999999999999E-2</v>
      </c>
      <c r="K4" s="1">
        <v>3</v>
      </c>
      <c r="L4" s="1">
        <v>11</v>
      </c>
      <c r="M4" s="1">
        <f t="shared" si="1"/>
        <v>1.0999999999999999E-2</v>
      </c>
    </row>
    <row r="5" spans="1:13" x14ac:dyDescent="0.3">
      <c r="A5" s="1">
        <v>4</v>
      </c>
      <c r="B5" s="1">
        <v>11</v>
      </c>
      <c r="C5" s="1">
        <f t="shared" si="0"/>
        <v>1.0999999999999999E-2</v>
      </c>
      <c r="K5" s="1">
        <v>4</v>
      </c>
      <c r="L5" s="1">
        <v>11</v>
      </c>
      <c r="M5" s="1">
        <f t="shared" si="1"/>
        <v>1.0999999999999999E-2</v>
      </c>
    </row>
    <row r="6" spans="1:13" x14ac:dyDescent="0.3">
      <c r="A6" s="1">
        <v>5</v>
      </c>
      <c r="B6" s="1">
        <v>22</v>
      </c>
      <c r="C6" s="1">
        <f t="shared" si="0"/>
        <v>2.1999999999999999E-2</v>
      </c>
      <c r="K6" s="1">
        <v>5</v>
      </c>
      <c r="L6" s="1">
        <v>11</v>
      </c>
      <c r="M6" s="1">
        <f t="shared" si="1"/>
        <v>1.0999999999999999E-2</v>
      </c>
    </row>
    <row r="7" spans="1:13" x14ac:dyDescent="0.3">
      <c r="A7" s="1">
        <v>6</v>
      </c>
      <c r="B7" s="1">
        <v>22</v>
      </c>
      <c r="C7" s="1">
        <f t="shared" si="0"/>
        <v>2.1999999999999999E-2</v>
      </c>
      <c r="K7" s="1">
        <v>6</v>
      </c>
      <c r="L7" s="1">
        <v>22</v>
      </c>
      <c r="M7" s="1">
        <f t="shared" si="1"/>
        <v>2.1999999999999999E-2</v>
      </c>
    </row>
    <row r="8" spans="1:13" x14ac:dyDescent="0.3">
      <c r="A8" s="1">
        <v>7</v>
      </c>
      <c r="B8" s="1">
        <v>22</v>
      </c>
      <c r="C8" s="1">
        <f t="shared" si="0"/>
        <v>2.1999999999999999E-2</v>
      </c>
      <c r="K8" s="1">
        <v>7</v>
      </c>
      <c r="L8" s="1">
        <v>22</v>
      </c>
      <c r="M8" s="1">
        <f t="shared" si="1"/>
        <v>2.1999999999999999E-2</v>
      </c>
    </row>
    <row r="9" spans="1:13" x14ac:dyDescent="0.3">
      <c r="A9" s="1">
        <v>8</v>
      </c>
      <c r="B9" s="1">
        <v>22</v>
      </c>
      <c r="C9" s="1">
        <f t="shared" si="0"/>
        <v>2.1999999999999999E-2</v>
      </c>
      <c r="K9" s="1">
        <v>8</v>
      </c>
      <c r="L9" s="1">
        <v>25</v>
      </c>
      <c r="M9" s="1">
        <f t="shared" si="1"/>
        <v>2.5000000000000001E-2</v>
      </c>
    </row>
    <row r="10" spans="1:13" x14ac:dyDescent="0.3">
      <c r="A10" s="1">
        <v>9</v>
      </c>
      <c r="B10" s="1">
        <v>11</v>
      </c>
      <c r="C10" s="1">
        <f t="shared" si="0"/>
        <v>1.0999999999999999E-2</v>
      </c>
      <c r="K10" s="1">
        <v>9</v>
      </c>
      <c r="L10" s="1">
        <v>25</v>
      </c>
      <c r="M10" s="1">
        <f t="shared" si="1"/>
        <v>2.5000000000000001E-2</v>
      </c>
    </row>
    <row r="11" spans="1:13" x14ac:dyDescent="0.3">
      <c r="A11" s="1">
        <v>10</v>
      </c>
      <c r="B11" s="1">
        <v>11</v>
      </c>
      <c r="C11" s="1">
        <f t="shared" si="0"/>
        <v>1.0999999999999999E-2</v>
      </c>
      <c r="K11" s="1">
        <v>10</v>
      </c>
      <c r="L11" s="1">
        <v>25</v>
      </c>
      <c r="M11" s="1">
        <f t="shared" si="1"/>
        <v>2.5000000000000001E-2</v>
      </c>
    </row>
    <row r="12" spans="1:13" x14ac:dyDescent="0.3">
      <c r="A12" s="1">
        <v>11</v>
      </c>
      <c r="B12" s="1">
        <v>11</v>
      </c>
      <c r="C12" s="1">
        <f t="shared" si="0"/>
        <v>1.0999999999999999E-2</v>
      </c>
      <c r="K12" s="1">
        <v>11</v>
      </c>
      <c r="L12" s="1">
        <v>11</v>
      </c>
      <c r="M12" s="1">
        <f t="shared" si="1"/>
        <v>1.0999999999999999E-2</v>
      </c>
    </row>
    <row r="13" spans="1:13" x14ac:dyDescent="0.3">
      <c r="A13" s="1">
        <v>12</v>
      </c>
      <c r="B13" s="1">
        <v>55</v>
      </c>
      <c r="C13" s="1">
        <f t="shared" si="0"/>
        <v>5.5E-2</v>
      </c>
      <c r="K13" s="1">
        <v>12</v>
      </c>
      <c r="L13" s="1">
        <v>55</v>
      </c>
      <c r="M13" s="1">
        <f t="shared" si="1"/>
        <v>5.5E-2</v>
      </c>
    </row>
    <row r="14" spans="1:13" x14ac:dyDescent="0.3">
      <c r="A14" s="1">
        <v>13</v>
      </c>
      <c r="B14" s="1">
        <v>55</v>
      </c>
      <c r="C14" s="1">
        <f t="shared" si="0"/>
        <v>5.5E-2</v>
      </c>
      <c r="K14" s="1">
        <v>13</v>
      </c>
      <c r="L14" s="1">
        <v>55</v>
      </c>
      <c r="M14" s="1">
        <f t="shared" si="1"/>
        <v>5.5E-2</v>
      </c>
    </row>
    <row r="15" spans="1:13" x14ac:dyDescent="0.3">
      <c r="A15" s="1">
        <v>14</v>
      </c>
      <c r="B15" s="1">
        <v>55</v>
      </c>
      <c r="C15" s="1">
        <f t="shared" si="0"/>
        <v>5.5E-2</v>
      </c>
      <c r="K15" s="1">
        <v>14</v>
      </c>
      <c r="L15" s="1">
        <v>55</v>
      </c>
      <c r="M15" s="1">
        <f t="shared" si="1"/>
        <v>5.5E-2</v>
      </c>
    </row>
    <row r="16" spans="1:13" x14ac:dyDescent="0.3">
      <c r="A16" s="1">
        <v>15</v>
      </c>
      <c r="B16" s="1">
        <v>55</v>
      </c>
      <c r="C16" s="1">
        <f t="shared" si="0"/>
        <v>5.5E-2</v>
      </c>
      <c r="K16" s="1">
        <v>15</v>
      </c>
      <c r="L16" s="1">
        <v>55</v>
      </c>
      <c r="M16" s="1">
        <f t="shared" si="1"/>
        <v>5.5E-2</v>
      </c>
    </row>
    <row r="17" spans="1:13" x14ac:dyDescent="0.3">
      <c r="A17" s="1">
        <v>16</v>
      </c>
      <c r="B17" s="1">
        <v>25</v>
      </c>
      <c r="C17" s="1">
        <f t="shared" si="0"/>
        <v>2.5000000000000001E-2</v>
      </c>
      <c r="K17" s="1">
        <v>16</v>
      </c>
      <c r="L17" s="1">
        <v>25</v>
      </c>
      <c r="M17" s="1">
        <f t="shared" si="1"/>
        <v>2.5000000000000001E-2</v>
      </c>
    </row>
    <row r="18" spans="1:13" x14ac:dyDescent="0.3">
      <c r="A18" s="1">
        <v>17</v>
      </c>
      <c r="B18" s="1">
        <v>25</v>
      </c>
      <c r="C18" s="1">
        <f t="shared" si="0"/>
        <v>2.5000000000000001E-2</v>
      </c>
      <c r="K18" s="1">
        <v>17</v>
      </c>
      <c r="L18" s="1">
        <v>25</v>
      </c>
      <c r="M18" s="1">
        <f t="shared" si="1"/>
        <v>2.5000000000000001E-2</v>
      </c>
    </row>
    <row r="19" spans="1:13" x14ac:dyDescent="0.3">
      <c r="A19" s="1">
        <v>18</v>
      </c>
      <c r="B19" s="1">
        <v>25</v>
      </c>
      <c r="C19" s="1">
        <f t="shared" si="0"/>
        <v>2.5000000000000001E-2</v>
      </c>
      <c r="K19" s="1">
        <v>18</v>
      </c>
      <c r="L19" s="1">
        <v>25</v>
      </c>
      <c r="M19" s="1">
        <f t="shared" si="1"/>
        <v>2.5000000000000001E-2</v>
      </c>
    </row>
    <row r="20" spans="1:13" x14ac:dyDescent="0.3">
      <c r="A20" s="1">
        <v>19</v>
      </c>
      <c r="B20" s="1">
        <v>22</v>
      </c>
      <c r="C20" s="1">
        <f t="shared" si="0"/>
        <v>2.1999999999999999E-2</v>
      </c>
      <c r="K20" s="1">
        <v>19</v>
      </c>
      <c r="L20" s="1">
        <v>25</v>
      </c>
      <c r="M20" s="1">
        <f t="shared" si="1"/>
        <v>2.5000000000000001E-2</v>
      </c>
    </row>
    <row r="21" spans="1:13" x14ac:dyDescent="0.3">
      <c r="A21" s="1">
        <v>20</v>
      </c>
      <c r="B21" s="1">
        <v>25</v>
      </c>
      <c r="C21" s="1">
        <f t="shared" si="0"/>
        <v>2.5000000000000001E-2</v>
      </c>
      <c r="E21" s="35" t="s">
        <v>9</v>
      </c>
      <c r="F21" s="35"/>
      <c r="K21" s="1">
        <v>20</v>
      </c>
      <c r="L21" s="1">
        <v>22</v>
      </c>
      <c r="M21" s="1">
        <f t="shared" si="1"/>
        <v>2.1999999999999999E-2</v>
      </c>
    </row>
    <row r="22" spans="1:13" x14ac:dyDescent="0.3">
      <c r="A22" s="1">
        <v>21</v>
      </c>
      <c r="B22" s="1">
        <v>22</v>
      </c>
      <c r="C22" s="1">
        <f t="shared" si="0"/>
        <v>2.1999999999999999E-2</v>
      </c>
      <c r="K22" s="1">
        <v>21</v>
      </c>
      <c r="L22" s="1">
        <v>22</v>
      </c>
      <c r="M22" s="1">
        <f t="shared" si="1"/>
        <v>2.1999999999999999E-2</v>
      </c>
    </row>
    <row r="23" spans="1:13" x14ac:dyDescent="0.3">
      <c r="A23" s="1">
        <v>22</v>
      </c>
      <c r="B23" s="1">
        <v>22</v>
      </c>
      <c r="C23" s="1">
        <f t="shared" si="0"/>
        <v>2.1999999999999999E-2</v>
      </c>
      <c r="K23" s="1">
        <v>22</v>
      </c>
      <c r="L23" s="1">
        <v>22</v>
      </c>
      <c r="M23" s="1">
        <f t="shared" si="1"/>
        <v>2.1999999999999999E-2</v>
      </c>
    </row>
    <row r="24" spans="1:13" x14ac:dyDescent="0.3">
      <c r="A24" s="1">
        <v>23</v>
      </c>
      <c r="B24" s="1">
        <v>11</v>
      </c>
      <c r="C24" s="1">
        <f t="shared" si="0"/>
        <v>1.0999999999999999E-2</v>
      </c>
      <c r="K24" s="1">
        <v>23</v>
      </c>
      <c r="L24" s="1">
        <v>22</v>
      </c>
      <c r="M24" s="1">
        <f t="shared" si="1"/>
        <v>2.1999999999999999E-2</v>
      </c>
    </row>
    <row r="25" spans="1:13" x14ac:dyDescent="0.3">
      <c r="A25" s="1">
        <v>24</v>
      </c>
      <c r="B25" s="1">
        <v>11</v>
      </c>
      <c r="C25" s="1">
        <f t="shared" si="0"/>
        <v>1.0999999999999999E-2</v>
      </c>
      <c r="K25" s="1">
        <v>24</v>
      </c>
      <c r="L25" s="1">
        <v>11</v>
      </c>
      <c r="M25" s="1">
        <f t="shared" si="1"/>
        <v>1.0999999999999999E-2</v>
      </c>
    </row>
  </sheetData>
  <mergeCells count="1">
    <mergeCell ref="E21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FF28-D65B-43F5-9EE4-ED7D28325415}">
  <dimension ref="A1:L25"/>
  <sheetViews>
    <sheetView workbookViewId="0">
      <selection activeCell="F25" sqref="F25"/>
    </sheetView>
  </sheetViews>
  <sheetFormatPr baseColWidth="10" defaultColWidth="11.5546875" defaultRowHeight="14.4" x14ac:dyDescent="0.3"/>
  <sheetData>
    <row r="1" spans="1:12" x14ac:dyDescent="0.3">
      <c r="A1" s="1" t="s">
        <v>0</v>
      </c>
      <c r="B1" s="1" t="s">
        <v>1</v>
      </c>
      <c r="C1" s="1" t="s">
        <v>30</v>
      </c>
      <c r="J1" s="1" t="s">
        <v>0</v>
      </c>
      <c r="K1" s="1" t="s">
        <v>7</v>
      </c>
      <c r="L1" s="1" t="s">
        <v>30</v>
      </c>
    </row>
    <row r="2" spans="1:12" x14ac:dyDescent="0.3">
      <c r="A2" s="1">
        <v>1</v>
      </c>
      <c r="B2" s="1">
        <v>0</v>
      </c>
      <c r="C2" s="1">
        <f>(B2/1000)</f>
        <v>0</v>
      </c>
      <c r="J2" s="1">
        <v>1</v>
      </c>
      <c r="K2" s="1">
        <v>50</v>
      </c>
      <c r="L2" s="1">
        <f>(K2/1000)</f>
        <v>0.05</v>
      </c>
    </row>
    <row r="3" spans="1:12" x14ac:dyDescent="0.3">
      <c r="A3" s="1">
        <v>2</v>
      </c>
      <c r="B3" s="1">
        <v>0</v>
      </c>
      <c r="C3" s="1">
        <f t="shared" ref="C3:C25" si="0">(B3/1000)</f>
        <v>0</v>
      </c>
      <c r="J3" s="1">
        <v>2</v>
      </c>
      <c r="K3" s="1">
        <v>0</v>
      </c>
      <c r="L3" s="1">
        <f t="shared" ref="L3:L25" si="1">(K3/1000)</f>
        <v>0</v>
      </c>
    </row>
    <row r="4" spans="1:12" x14ac:dyDescent="0.3">
      <c r="A4" s="1">
        <v>3</v>
      </c>
      <c r="B4" s="1">
        <v>0</v>
      </c>
      <c r="C4" s="1">
        <f t="shared" si="0"/>
        <v>0</v>
      </c>
      <c r="J4" s="1">
        <v>3</v>
      </c>
      <c r="K4" s="1">
        <v>0</v>
      </c>
      <c r="L4" s="1">
        <f t="shared" si="1"/>
        <v>0</v>
      </c>
    </row>
    <row r="5" spans="1:12" x14ac:dyDescent="0.3">
      <c r="A5" s="1">
        <v>4</v>
      </c>
      <c r="B5" s="1">
        <v>50</v>
      </c>
      <c r="C5" s="1">
        <f t="shared" si="0"/>
        <v>0.05</v>
      </c>
      <c r="J5" s="1">
        <v>4</v>
      </c>
      <c r="K5" s="1">
        <v>0</v>
      </c>
      <c r="L5" s="1">
        <f t="shared" si="1"/>
        <v>0</v>
      </c>
    </row>
    <row r="6" spans="1:12" x14ac:dyDescent="0.3">
      <c r="A6" s="1">
        <v>5</v>
      </c>
      <c r="B6" s="1">
        <v>50</v>
      </c>
      <c r="C6" s="1">
        <f t="shared" si="0"/>
        <v>0.05</v>
      </c>
      <c r="J6" s="1">
        <v>5</v>
      </c>
      <c r="K6" s="1">
        <v>0</v>
      </c>
      <c r="L6" s="1">
        <f t="shared" si="1"/>
        <v>0</v>
      </c>
    </row>
    <row r="7" spans="1:12" x14ac:dyDescent="0.3">
      <c r="A7" s="1">
        <v>6</v>
      </c>
      <c r="B7" s="1">
        <v>50</v>
      </c>
      <c r="C7" s="1">
        <f t="shared" si="0"/>
        <v>0.05</v>
      </c>
      <c r="J7" s="1">
        <v>6</v>
      </c>
      <c r="K7" s="1">
        <v>0</v>
      </c>
      <c r="L7" s="1">
        <f t="shared" si="1"/>
        <v>0</v>
      </c>
    </row>
    <row r="8" spans="1:12" x14ac:dyDescent="0.3">
      <c r="A8" s="1">
        <v>7</v>
      </c>
      <c r="B8" s="1">
        <v>50</v>
      </c>
      <c r="C8" s="1">
        <f t="shared" si="0"/>
        <v>0.05</v>
      </c>
      <c r="J8" s="1">
        <v>7</v>
      </c>
      <c r="K8" s="1">
        <v>50</v>
      </c>
      <c r="L8" s="1">
        <f t="shared" si="1"/>
        <v>0.05</v>
      </c>
    </row>
    <row r="9" spans="1:12" x14ac:dyDescent="0.3">
      <c r="A9" s="1">
        <v>8</v>
      </c>
      <c r="B9" s="1">
        <v>0</v>
      </c>
      <c r="C9" s="1">
        <f t="shared" si="0"/>
        <v>0</v>
      </c>
      <c r="J9" s="1">
        <v>8</v>
      </c>
      <c r="K9" s="1">
        <v>50</v>
      </c>
      <c r="L9" s="1">
        <f t="shared" si="1"/>
        <v>0.05</v>
      </c>
    </row>
    <row r="10" spans="1:12" x14ac:dyDescent="0.3">
      <c r="A10" s="1">
        <v>9</v>
      </c>
      <c r="B10" s="1">
        <v>0</v>
      </c>
      <c r="C10" s="1">
        <f t="shared" si="0"/>
        <v>0</v>
      </c>
      <c r="J10" s="1">
        <v>9</v>
      </c>
      <c r="K10" s="1">
        <v>0</v>
      </c>
      <c r="L10" s="1">
        <f t="shared" si="1"/>
        <v>0</v>
      </c>
    </row>
    <row r="11" spans="1:12" x14ac:dyDescent="0.3">
      <c r="A11" s="1">
        <v>10</v>
      </c>
      <c r="B11" s="1">
        <v>0</v>
      </c>
      <c r="C11" s="1">
        <f t="shared" si="0"/>
        <v>0</v>
      </c>
      <c r="J11" s="1">
        <v>10</v>
      </c>
      <c r="K11" s="1">
        <v>0</v>
      </c>
      <c r="L11" s="1">
        <f t="shared" si="1"/>
        <v>0</v>
      </c>
    </row>
    <row r="12" spans="1:12" x14ac:dyDescent="0.3">
      <c r="A12" s="1">
        <v>11</v>
      </c>
      <c r="B12" s="1">
        <v>0</v>
      </c>
      <c r="C12" s="1">
        <f t="shared" si="0"/>
        <v>0</v>
      </c>
      <c r="J12" s="1">
        <v>11</v>
      </c>
      <c r="K12" s="1">
        <v>0</v>
      </c>
      <c r="L12" s="1">
        <f t="shared" si="1"/>
        <v>0</v>
      </c>
    </row>
    <row r="13" spans="1:12" x14ac:dyDescent="0.3">
      <c r="A13" s="1">
        <v>12</v>
      </c>
      <c r="B13" s="1">
        <v>0</v>
      </c>
      <c r="C13" s="1">
        <f t="shared" si="0"/>
        <v>0</v>
      </c>
      <c r="J13" s="1">
        <v>12</v>
      </c>
      <c r="K13" s="1">
        <v>0</v>
      </c>
      <c r="L13" s="1">
        <f t="shared" si="1"/>
        <v>0</v>
      </c>
    </row>
    <row r="14" spans="1:12" x14ac:dyDescent="0.3">
      <c r="A14" s="1">
        <v>13</v>
      </c>
      <c r="B14" s="1">
        <v>0</v>
      </c>
      <c r="C14" s="1">
        <f t="shared" si="0"/>
        <v>0</v>
      </c>
      <c r="J14" s="1">
        <v>13</v>
      </c>
      <c r="K14" s="1">
        <v>0</v>
      </c>
      <c r="L14" s="1">
        <f t="shared" si="1"/>
        <v>0</v>
      </c>
    </row>
    <row r="15" spans="1:12" x14ac:dyDescent="0.3">
      <c r="A15" s="1">
        <v>14</v>
      </c>
      <c r="B15" s="1">
        <v>0</v>
      </c>
      <c r="C15" s="1">
        <f t="shared" si="0"/>
        <v>0</v>
      </c>
      <c r="J15" s="1">
        <v>14</v>
      </c>
      <c r="K15" s="1">
        <v>0</v>
      </c>
      <c r="L15" s="1">
        <f t="shared" si="1"/>
        <v>0</v>
      </c>
    </row>
    <row r="16" spans="1:12" x14ac:dyDescent="0.3">
      <c r="A16" s="1">
        <v>15</v>
      </c>
      <c r="B16" s="1">
        <v>0</v>
      </c>
      <c r="C16" s="1">
        <f t="shared" si="0"/>
        <v>0</v>
      </c>
      <c r="J16" s="1">
        <v>15</v>
      </c>
      <c r="K16" s="1">
        <v>0</v>
      </c>
      <c r="L16" s="1">
        <f t="shared" si="1"/>
        <v>0</v>
      </c>
    </row>
    <row r="17" spans="1:12" x14ac:dyDescent="0.3">
      <c r="A17" s="1">
        <v>16</v>
      </c>
      <c r="B17" s="1">
        <v>0</v>
      </c>
      <c r="C17" s="1">
        <f t="shared" si="0"/>
        <v>0</v>
      </c>
      <c r="J17" s="1">
        <v>16</v>
      </c>
      <c r="K17" s="1">
        <v>0</v>
      </c>
      <c r="L17" s="1">
        <f t="shared" si="1"/>
        <v>0</v>
      </c>
    </row>
    <row r="18" spans="1:12" x14ac:dyDescent="0.3">
      <c r="A18" s="1">
        <v>17</v>
      </c>
      <c r="B18" s="1">
        <v>50</v>
      </c>
      <c r="C18" s="1">
        <f t="shared" si="0"/>
        <v>0.05</v>
      </c>
      <c r="J18" s="1">
        <v>17</v>
      </c>
      <c r="K18" s="1">
        <v>50</v>
      </c>
      <c r="L18" s="1">
        <f t="shared" si="1"/>
        <v>0.05</v>
      </c>
    </row>
    <row r="19" spans="1:12" x14ac:dyDescent="0.3">
      <c r="A19" s="1">
        <v>18</v>
      </c>
      <c r="B19" s="1">
        <v>50</v>
      </c>
      <c r="C19" s="1">
        <f t="shared" si="0"/>
        <v>0.05</v>
      </c>
      <c r="J19" s="1">
        <v>18</v>
      </c>
      <c r="K19" s="1">
        <v>50</v>
      </c>
      <c r="L19" s="1">
        <f t="shared" si="1"/>
        <v>0.05</v>
      </c>
    </row>
    <row r="20" spans="1:12" x14ac:dyDescent="0.3">
      <c r="A20" s="1">
        <v>19</v>
      </c>
      <c r="B20" s="1">
        <v>50</v>
      </c>
      <c r="C20" s="1">
        <f t="shared" si="0"/>
        <v>0.05</v>
      </c>
      <c r="J20" s="1">
        <v>19</v>
      </c>
      <c r="K20" s="1">
        <v>50</v>
      </c>
      <c r="L20" s="1">
        <f t="shared" si="1"/>
        <v>0.05</v>
      </c>
    </row>
    <row r="21" spans="1:12" x14ac:dyDescent="0.3">
      <c r="A21" s="1">
        <v>20</v>
      </c>
      <c r="B21" s="1">
        <v>50</v>
      </c>
      <c r="C21" s="1">
        <f t="shared" si="0"/>
        <v>0.05</v>
      </c>
      <c r="D21" s="35" t="s">
        <v>8</v>
      </c>
      <c r="E21" s="35"/>
      <c r="J21" s="1">
        <v>20</v>
      </c>
      <c r="K21" s="1">
        <v>50</v>
      </c>
      <c r="L21" s="1">
        <f t="shared" si="1"/>
        <v>0.05</v>
      </c>
    </row>
    <row r="22" spans="1:12" x14ac:dyDescent="0.3">
      <c r="A22" s="1">
        <v>21</v>
      </c>
      <c r="B22" s="1">
        <v>50</v>
      </c>
      <c r="C22" s="1">
        <f t="shared" si="0"/>
        <v>0.05</v>
      </c>
      <c r="J22" s="1">
        <v>21</v>
      </c>
      <c r="K22" s="1">
        <v>50</v>
      </c>
      <c r="L22" s="1">
        <f t="shared" si="1"/>
        <v>0.05</v>
      </c>
    </row>
    <row r="23" spans="1:12" x14ac:dyDescent="0.3">
      <c r="A23" s="1">
        <v>22</v>
      </c>
      <c r="B23" s="1">
        <v>50</v>
      </c>
      <c r="C23" s="1">
        <f t="shared" si="0"/>
        <v>0.05</v>
      </c>
      <c r="J23" s="1">
        <v>22</v>
      </c>
      <c r="K23" s="1">
        <v>50</v>
      </c>
      <c r="L23" s="1">
        <f t="shared" si="1"/>
        <v>0.05</v>
      </c>
    </row>
    <row r="24" spans="1:12" x14ac:dyDescent="0.3">
      <c r="A24" s="1">
        <v>23</v>
      </c>
      <c r="B24" s="1">
        <v>0</v>
      </c>
      <c r="C24" s="1">
        <f t="shared" si="0"/>
        <v>0</v>
      </c>
      <c r="J24" s="1">
        <v>23</v>
      </c>
      <c r="K24" s="1">
        <v>50</v>
      </c>
      <c r="L24" s="1">
        <f t="shared" si="1"/>
        <v>0.05</v>
      </c>
    </row>
    <row r="25" spans="1:12" x14ac:dyDescent="0.3">
      <c r="A25" s="1">
        <v>24</v>
      </c>
      <c r="B25" s="1">
        <v>0</v>
      </c>
      <c r="C25" s="1">
        <f t="shared" si="0"/>
        <v>0</v>
      </c>
      <c r="J25" s="1">
        <v>24</v>
      </c>
      <c r="K25" s="1">
        <v>50</v>
      </c>
      <c r="L25" s="1">
        <f t="shared" si="1"/>
        <v>0.05</v>
      </c>
    </row>
  </sheetData>
  <mergeCells count="1">
    <mergeCell ref="D21:E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06E6-B478-460D-BC8C-AA855F99C9C2}">
  <dimension ref="A1:S26"/>
  <sheetViews>
    <sheetView topLeftCell="A46" zoomScaleNormal="100" workbookViewId="0">
      <selection activeCell="T20" sqref="T20"/>
    </sheetView>
  </sheetViews>
  <sheetFormatPr baseColWidth="10" defaultColWidth="8.88671875" defaultRowHeight="14.4" x14ac:dyDescent="0.3"/>
  <cols>
    <col min="2" max="2" width="13.77734375" customWidth="1"/>
    <col min="3" max="3" width="12.33203125" customWidth="1"/>
    <col min="4" max="4" width="13.5546875" customWidth="1"/>
    <col min="5" max="5" width="13.44140625" customWidth="1"/>
    <col min="6" max="6" width="13.5546875" customWidth="1"/>
    <col min="7" max="7" width="13" customWidth="1"/>
    <col min="8" max="8" width="13.77734375" customWidth="1"/>
    <col min="9" max="9" width="13.33203125" customWidth="1"/>
    <col min="10" max="10" width="15.21875" customWidth="1"/>
    <col min="11" max="11" width="10.109375" customWidth="1"/>
    <col min="12" max="13" width="13.6640625" customWidth="1"/>
    <col min="14" max="14" width="14.21875" customWidth="1"/>
    <col min="15" max="15" width="10.77734375" customWidth="1"/>
    <col min="16" max="16" width="14.88671875" customWidth="1"/>
    <col min="17" max="17" width="14.5546875" customWidth="1"/>
    <col min="18" max="18" width="13.6640625" customWidth="1"/>
    <col min="19" max="19" width="12.6640625" customWidth="1"/>
  </cols>
  <sheetData>
    <row r="1" spans="1:19" x14ac:dyDescent="0.3">
      <c r="A1" s="36" t="s">
        <v>14</v>
      </c>
      <c r="B1" s="36"/>
      <c r="C1" s="36"/>
      <c r="D1" s="36"/>
      <c r="F1" s="36" t="s">
        <v>15</v>
      </c>
      <c r="G1" s="36"/>
      <c r="H1" s="36"/>
      <c r="I1" s="36"/>
      <c r="K1" s="36" t="s">
        <v>16</v>
      </c>
      <c r="L1" s="36"/>
      <c r="M1" s="36"/>
      <c r="N1" s="36"/>
      <c r="P1" s="37" t="s">
        <v>17</v>
      </c>
      <c r="Q1" s="38"/>
      <c r="R1" s="38"/>
      <c r="S1" s="39"/>
    </row>
    <row r="2" spans="1:19" x14ac:dyDescent="0.3">
      <c r="A2" s="11" t="s">
        <v>13</v>
      </c>
      <c r="B2" s="11" t="s">
        <v>25</v>
      </c>
      <c r="C2" s="11" t="s">
        <v>22</v>
      </c>
      <c r="D2" s="10" t="s">
        <v>31</v>
      </c>
      <c r="F2" s="11" t="s">
        <v>13</v>
      </c>
      <c r="G2" s="11" t="s">
        <v>25</v>
      </c>
      <c r="H2" s="11" t="s">
        <v>22</v>
      </c>
      <c r="I2" s="1" t="s">
        <v>31</v>
      </c>
      <c r="K2" s="1" t="s">
        <v>13</v>
      </c>
      <c r="L2" s="1" t="s">
        <v>25</v>
      </c>
      <c r="M2" s="1" t="s">
        <v>22</v>
      </c>
      <c r="N2" s="1" t="s">
        <v>31</v>
      </c>
      <c r="P2" s="1" t="s">
        <v>13</v>
      </c>
      <c r="Q2" s="1" t="s">
        <v>25</v>
      </c>
      <c r="R2" s="1" t="s">
        <v>22</v>
      </c>
      <c r="S2" s="1" t="s">
        <v>31</v>
      </c>
    </row>
    <row r="3" spans="1:19" x14ac:dyDescent="0.3">
      <c r="A3" s="1">
        <v>0</v>
      </c>
      <c r="B3" s="1">
        <v>26.21</v>
      </c>
      <c r="C3" s="1">
        <v>450</v>
      </c>
      <c r="D3" s="1">
        <f>C3/1000</f>
        <v>0.45</v>
      </c>
      <c r="F3" s="1">
        <v>0</v>
      </c>
      <c r="G3" s="1">
        <v>26.21</v>
      </c>
      <c r="H3" s="1">
        <v>450</v>
      </c>
      <c r="I3" s="1">
        <f>H3/1000</f>
        <v>0.45</v>
      </c>
      <c r="K3" s="1">
        <v>0</v>
      </c>
      <c r="L3" s="1">
        <v>27.09</v>
      </c>
      <c r="M3" s="1">
        <v>598</v>
      </c>
      <c r="N3" s="1">
        <f t="shared" ref="N3:N26" si="0">M3/1000</f>
        <v>0.59799999999999998</v>
      </c>
      <c r="P3" s="1">
        <v>0</v>
      </c>
      <c r="Q3" s="1">
        <v>27.09</v>
      </c>
      <c r="R3" s="1">
        <v>598</v>
      </c>
      <c r="S3" s="1">
        <f>R3/1000</f>
        <v>0.59799999999999998</v>
      </c>
    </row>
    <row r="4" spans="1:19" x14ac:dyDescent="0.3">
      <c r="A4" s="1">
        <v>1</v>
      </c>
      <c r="B4" s="1">
        <v>26.08</v>
      </c>
      <c r="C4" s="1">
        <v>450</v>
      </c>
      <c r="D4" s="1">
        <f t="shared" ref="D4:D26" si="1">C4/1000</f>
        <v>0.45</v>
      </c>
      <c r="F4" s="1">
        <v>1</v>
      </c>
      <c r="G4" s="1">
        <v>26.08</v>
      </c>
      <c r="H4" s="1">
        <v>450</v>
      </c>
      <c r="I4" s="1">
        <f t="shared" ref="I4:I26" si="2">H4/1000</f>
        <v>0.45</v>
      </c>
      <c r="K4" s="1">
        <v>1</v>
      </c>
      <c r="L4" s="1">
        <v>26.98</v>
      </c>
      <c r="M4" s="1">
        <v>600</v>
      </c>
      <c r="N4" s="1">
        <f t="shared" si="0"/>
        <v>0.6</v>
      </c>
      <c r="P4" s="1">
        <v>1</v>
      </c>
      <c r="Q4" s="1">
        <v>26.98</v>
      </c>
      <c r="R4" s="1">
        <v>600</v>
      </c>
      <c r="S4" s="1">
        <f t="shared" ref="S4:S26" si="3">R4/1000</f>
        <v>0.6</v>
      </c>
    </row>
    <row r="5" spans="1:19" x14ac:dyDescent="0.3">
      <c r="A5" s="1">
        <v>2</v>
      </c>
      <c r="B5" s="1">
        <v>25.97</v>
      </c>
      <c r="C5" s="1">
        <v>450</v>
      </c>
      <c r="D5" s="1">
        <f t="shared" si="1"/>
        <v>0.45</v>
      </c>
      <c r="F5" s="1">
        <v>2</v>
      </c>
      <c r="G5" s="1">
        <v>25.97</v>
      </c>
      <c r="H5" s="1">
        <v>450</v>
      </c>
      <c r="I5" s="1">
        <f t="shared" si="2"/>
        <v>0.45</v>
      </c>
      <c r="K5" s="1">
        <v>2</v>
      </c>
      <c r="L5" s="1">
        <v>26.89</v>
      </c>
      <c r="M5" s="1">
        <v>600</v>
      </c>
      <c r="N5" s="1">
        <f t="shared" si="0"/>
        <v>0.6</v>
      </c>
      <c r="P5" s="1">
        <v>2</v>
      </c>
      <c r="Q5" s="1">
        <v>26.89</v>
      </c>
      <c r="R5" s="1">
        <v>600</v>
      </c>
      <c r="S5" s="1">
        <f t="shared" si="3"/>
        <v>0.6</v>
      </c>
    </row>
    <row r="6" spans="1:19" x14ac:dyDescent="0.3">
      <c r="A6" s="1">
        <v>3</v>
      </c>
      <c r="B6" s="1">
        <v>25.89</v>
      </c>
      <c r="C6" s="1">
        <v>450</v>
      </c>
      <c r="D6" s="1">
        <f t="shared" si="1"/>
        <v>0.45</v>
      </c>
      <c r="F6" s="1">
        <v>3</v>
      </c>
      <c r="G6" s="1">
        <v>25.89</v>
      </c>
      <c r="H6" s="1">
        <v>450</v>
      </c>
      <c r="I6" s="1">
        <f t="shared" si="2"/>
        <v>0.45</v>
      </c>
      <c r="K6" s="1">
        <v>3</v>
      </c>
      <c r="L6" s="1">
        <v>26.83</v>
      </c>
      <c r="M6" s="1">
        <v>600</v>
      </c>
      <c r="N6" s="1">
        <f t="shared" si="0"/>
        <v>0.6</v>
      </c>
      <c r="P6" s="1">
        <v>3</v>
      </c>
      <c r="Q6" s="1">
        <v>26.83</v>
      </c>
      <c r="R6" s="1">
        <v>600</v>
      </c>
      <c r="S6" s="1">
        <f t="shared" si="3"/>
        <v>0.6</v>
      </c>
    </row>
    <row r="7" spans="1:19" x14ac:dyDescent="0.3">
      <c r="A7" s="1">
        <v>4</v>
      </c>
      <c r="B7" s="1">
        <v>25.84</v>
      </c>
      <c r="C7" s="1">
        <v>449</v>
      </c>
      <c r="D7" s="1">
        <f t="shared" si="1"/>
        <v>0.44900000000000001</v>
      </c>
      <c r="F7" s="1">
        <v>4</v>
      </c>
      <c r="G7" s="1">
        <v>25.84</v>
      </c>
      <c r="H7" s="1">
        <v>449</v>
      </c>
      <c r="I7" s="1">
        <f t="shared" si="2"/>
        <v>0.44900000000000001</v>
      </c>
      <c r="K7" s="1">
        <v>4</v>
      </c>
      <c r="L7" s="1">
        <v>26.79</v>
      </c>
      <c r="M7" s="1">
        <v>598</v>
      </c>
      <c r="N7" s="1">
        <f t="shared" si="0"/>
        <v>0.59799999999999998</v>
      </c>
      <c r="P7" s="1">
        <v>4</v>
      </c>
      <c r="Q7" s="1">
        <v>26.79</v>
      </c>
      <c r="R7" s="1">
        <v>598</v>
      </c>
      <c r="S7" s="1">
        <f t="shared" si="3"/>
        <v>0.59799999999999998</v>
      </c>
    </row>
    <row r="8" spans="1:19" x14ac:dyDescent="0.3">
      <c r="A8" s="1">
        <v>5</v>
      </c>
      <c r="B8" s="1">
        <v>25.79</v>
      </c>
      <c r="C8" s="1">
        <v>0</v>
      </c>
      <c r="D8" s="1">
        <f t="shared" si="1"/>
        <v>0</v>
      </c>
      <c r="F8" s="1">
        <v>5</v>
      </c>
      <c r="G8" s="1">
        <v>25.79</v>
      </c>
      <c r="H8" s="1">
        <v>449</v>
      </c>
      <c r="I8" s="1">
        <f t="shared" si="2"/>
        <v>0.44900000000000001</v>
      </c>
      <c r="K8" s="1">
        <v>5</v>
      </c>
      <c r="L8" s="1">
        <v>26.75</v>
      </c>
      <c r="M8" s="1">
        <v>0</v>
      </c>
      <c r="N8" s="1">
        <f t="shared" si="0"/>
        <v>0</v>
      </c>
      <c r="P8" s="1">
        <v>5</v>
      </c>
      <c r="Q8" s="1">
        <v>26.75</v>
      </c>
      <c r="R8" s="1">
        <v>600</v>
      </c>
      <c r="S8" s="1">
        <f t="shared" si="3"/>
        <v>0.6</v>
      </c>
    </row>
    <row r="9" spans="1:19" x14ac:dyDescent="0.3">
      <c r="A9" s="1">
        <v>6</v>
      </c>
      <c r="B9" s="1">
        <v>25.96</v>
      </c>
      <c r="C9" s="1">
        <v>0</v>
      </c>
      <c r="D9" s="1">
        <f t="shared" si="1"/>
        <v>0</v>
      </c>
      <c r="F9" s="1">
        <v>6</v>
      </c>
      <c r="G9" s="1">
        <v>25.96</v>
      </c>
      <c r="H9" s="1">
        <v>450</v>
      </c>
      <c r="I9" s="1">
        <f t="shared" si="2"/>
        <v>0.45</v>
      </c>
      <c r="K9" s="1">
        <v>6</v>
      </c>
      <c r="L9" s="1">
        <v>27.06</v>
      </c>
      <c r="M9" s="1">
        <v>0</v>
      </c>
      <c r="N9" s="1">
        <f t="shared" si="0"/>
        <v>0</v>
      </c>
      <c r="P9" s="1">
        <v>6</v>
      </c>
      <c r="Q9" s="1">
        <v>27.06</v>
      </c>
      <c r="R9" s="1">
        <v>600</v>
      </c>
      <c r="S9" s="1">
        <f t="shared" si="3"/>
        <v>0.6</v>
      </c>
    </row>
    <row r="10" spans="1:19" x14ac:dyDescent="0.3">
      <c r="A10" s="1">
        <v>7</v>
      </c>
      <c r="B10" s="1">
        <v>26.88</v>
      </c>
      <c r="C10" s="1">
        <v>0</v>
      </c>
      <c r="D10" s="1">
        <f t="shared" si="1"/>
        <v>0</v>
      </c>
      <c r="F10" s="1">
        <v>7</v>
      </c>
      <c r="G10" s="1">
        <v>26.88</v>
      </c>
      <c r="H10" s="1">
        <v>550</v>
      </c>
      <c r="I10" s="1">
        <f t="shared" si="2"/>
        <v>0.55000000000000004</v>
      </c>
      <c r="K10" s="1">
        <v>7</v>
      </c>
      <c r="L10" s="1">
        <v>27.7</v>
      </c>
      <c r="M10" s="1">
        <v>0</v>
      </c>
      <c r="N10" s="1">
        <f t="shared" si="0"/>
        <v>0</v>
      </c>
      <c r="P10" s="1">
        <v>7</v>
      </c>
      <c r="Q10" s="1">
        <v>27.7</v>
      </c>
      <c r="R10" s="1">
        <v>630</v>
      </c>
      <c r="S10" s="1">
        <f t="shared" si="3"/>
        <v>0.63</v>
      </c>
    </row>
    <row r="11" spans="1:19" x14ac:dyDescent="0.3">
      <c r="A11" s="1">
        <v>8</v>
      </c>
      <c r="B11" s="1">
        <v>27.89</v>
      </c>
      <c r="C11" s="1">
        <v>0</v>
      </c>
      <c r="D11" s="1">
        <f t="shared" si="1"/>
        <v>0</v>
      </c>
      <c r="F11" s="1">
        <v>8</v>
      </c>
      <c r="G11" s="1">
        <v>27.89</v>
      </c>
      <c r="H11" s="1">
        <v>650</v>
      </c>
      <c r="I11" s="1">
        <f t="shared" si="2"/>
        <v>0.65</v>
      </c>
      <c r="K11" s="1">
        <v>8</v>
      </c>
      <c r="L11" s="1">
        <v>29.43</v>
      </c>
      <c r="M11" s="1">
        <v>0</v>
      </c>
      <c r="N11" s="1">
        <f t="shared" si="0"/>
        <v>0</v>
      </c>
      <c r="P11" s="1">
        <v>8</v>
      </c>
      <c r="Q11" s="1">
        <v>29.43</v>
      </c>
      <c r="R11" s="1">
        <v>750</v>
      </c>
      <c r="S11" s="1">
        <f t="shared" si="3"/>
        <v>0.75</v>
      </c>
    </row>
    <row r="12" spans="1:19" x14ac:dyDescent="0.3">
      <c r="A12" s="1">
        <v>9</v>
      </c>
      <c r="B12" s="1">
        <v>28.89</v>
      </c>
      <c r="C12" s="1">
        <v>0</v>
      </c>
      <c r="D12" s="1">
        <f t="shared" si="1"/>
        <v>0</v>
      </c>
      <c r="F12" s="1">
        <v>9</v>
      </c>
      <c r="G12" s="1">
        <v>28.89</v>
      </c>
      <c r="H12" s="1">
        <v>900</v>
      </c>
      <c r="I12" s="1">
        <f t="shared" si="2"/>
        <v>0.9</v>
      </c>
      <c r="K12" s="1">
        <v>9</v>
      </c>
      <c r="L12" s="1">
        <v>29.43</v>
      </c>
      <c r="M12" s="1">
        <v>0</v>
      </c>
      <c r="N12" s="1">
        <f t="shared" si="0"/>
        <v>0</v>
      </c>
      <c r="P12" s="1">
        <v>9</v>
      </c>
      <c r="Q12" s="1">
        <v>29.43</v>
      </c>
      <c r="R12" s="1">
        <v>920</v>
      </c>
      <c r="S12" s="1">
        <f t="shared" si="3"/>
        <v>0.92</v>
      </c>
    </row>
    <row r="13" spans="1:19" x14ac:dyDescent="0.3">
      <c r="A13" s="1">
        <v>10</v>
      </c>
      <c r="B13" s="1">
        <v>29.65</v>
      </c>
      <c r="C13" s="1">
        <v>0</v>
      </c>
      <c r="D13" s="1">
        <f t="shared" si="1"/>
        <v>0</v>
      </c>
      <c r="F13" s="1">
        <v>10</v>
      </c>
      <c r="G13" s="1">
        <v>29.65</v>
      </c>
      <c r="H13" s="1">
        <v>910</v>
      </c>
      <c r="I13" s="1">
        <f t="shared" si="2"/>
        <v>0.91</v>
      </c>
      <c r="K13" s="1">
        <v>10</v>
      </c>
      <c r="L13" s="1">
        <v>30.09</v>
      </c>
      <c r="M13" s="1">
        <v>0</v>
      </c>
      <c r="N13" s="1">
        <f t="shared" si="0"/>
        <v>0</v>
      </c>
      <c r="P13" s="1">
        <v>10</v>
      </c>
      <c r="Q13" s="1">
        <v>30.09</v>
      </c>
      <c r="R13" s="1">
        <v>1200</v>
      </c>
      <c r="S13" s="1">
        <f t="shared" si="3"/>
        <v>1.2</v>
      </c>
    </row>
    <row r="14" spans="1:19" x14ac:dyDescent="0.3">
      <c r="A14" s="1">
        <v>11</v>
      </c>
      <c r="B14" s="1">
        <v>30.13</v>
      </c>
      <c r="C14" s="1">
        <v>0</v>
      </c>
      <c r="D14" s="1">
        <f t="shared" si="1"/>
        <v>0</v>
      </c>
      <c r="F14" s="1">
        <v>11</v>
      </c>
      <c r="G14" s="1">
        <v>30.13</v>
      </c>
      <c r="H14" s="1">
        <v>1200</v>
      </c>
      <c r="I14" s="1">
        <f t="shared" si="2"/>
        <v>1.2</v>
      </c>
      <c r="K14" s="1">
        <v>11</v>
      </c>
      <c r="L14" s="1">
        <v>30.61</v>
      </c>
      <c r="M14" s="1">
        <v>0</v>
      </c>
      <c r="N14" s="1">
        <f t="shared" si="0"/>
        <v>0</v>
      </c>
      <c r="P14" s="1">
        <v>11</v>
      </c>
      <c r="Q14" s="1">
        <v>30.61</v>
      </c>
      <c r="R14" s="1">
        <v>1200</v>
      </c>
      <c r="S14" s="1">
        <f t="shared" si="3"/>
        <v>1.2</v>
      </c>
    </row>
    <row r="15" spans="1:19" x14ac:dyDescent="0.3">
      <c r="A15" s="1">
        <v>12</v>
      </c>
      <c r="B15" s="1">
        <v>30.46</v>
      </c>
      <c r="C15" s="1">
        <v>0</v>
      </c>
      <c r="D15" s="1">
        <f t="shared" si="1"/>
        <v>0</v>
      </c>
      <c r="F15" s="1">
        <v>12</v>
      </c>
      <c r="G15" s="1">
        <v>30.46</v>
      </c>
      <c r="H15" s="1">
        <v>1200</v>
      </c>
      <c r="I15" s="1">
        <f t="shared" si="2"/>
        <v>1.2</v>
      </c>
      <c r="K15" s="1">
        <v>12</v>
      </c>
      <c r="L15" s="1">
        <v>30.88</v>
      </c>
      <c r="M15" s="1">
        <v>0</v>
      </c>
      <c r="N15" s="1">
        <f t="shared" si="0"/>
        <v>0</v>
      </c>
      <c r="P15" s="1">
        <v>12</v>
      </c>
      <c r="Q15" s="1">
        <v>30.88</v>
      </c>
      <c r="R15" s="1">
        <v>1200</v>
      </c>
      <c r="S15" s="1">
        <f t="shared" si="3"/>
        <v>1.2</v>
      </c>
    </row>
    <row r="16" spans="1:19" x14ac:dyDescent="0.3">
      <c r="A16" s="1">
        <v>13</v>
      </c>
      <c r="B16" s="1">
        <v>30.12</v>
      </c>
      <c r="C16" s="1">
        <v>0</v>
      </c>
      <c r="D16" s="1">
        <f t="shared" si="1"/>
        <v>0</v>
      </c>
      <c r="F16" s="1">
        <v>13</v>
      </c>
      <c r="G16" s="1">
        <v>30.12</v>
      </c>
      <c r="H16" s="1">
        <v>1000</v>
      </c>
      <c r="I16" s="1">
        <f t="shared" si="2"/>
        <v>1</v>
      </c>
      <c r="K16" s="1">
        <v>13</v>
      </c>
      <c r="L16" s="1">
        <v>30.79</v>
      </c>
      <c r="M16" s="1">
        <v>0</v>
      </c>
      <c r="N16" s="1">
        <f t="shared" si="0"/>
        <v>0</v>
      </c>
      <c r="P16" s="1">
        <v>13</v>
      </c>
      <c r="Q16" s="1">
        <v>30.79</v>
      </c>
      <c r="R16" s="1">
        <v>1200</v>
      </c>
      <c r="S16" s="1">
        <f t="shared" si="3"/>
        <v>1.2</v>
      </c>
    </row>
    <row r="17" spans="1:19" x14ac:dyDescent="0.3">
      <c r="A17" s="1">
        <v>14</v>
      </c>
      <c r="B17" s="1">
        <v>29.72</v>
      </c>
      <c r="C17" s="1">
        <v>0</v>
      </c>
      <c r="D17" s="1">
        <f t="shared" si="1"/>
        <v>0</v>
      </c>
      <c r="F17" s="1">
        <v>14</v>
      </c>
      <c r="G17" s="1">
        <v>29.72</v>
      </c>
      <c r="H17" s="1">
        <v>950</v>
      </c>
      <c r="I17" s="1">
        <f t="shared" si="2"/>
        <v>0.95</v>
      </c>
      <c r="K17" s="1">
        <v>14</v>
      </c>
      <c r="L17" s="1">
        <v>30.42</v>
      </c>
      <c r="M17" s="1">
        <v>0</v>
      </c>
      <c r="N17" s="1">
        <f t="shared" si="0"/>
        <v>0</v>
      </c>
      <c r="P17" s="1">
        <v>14</v>
      </c>
      <c r="Q17" s="1">
        <v>30.42</v>
      </c>
      <c r="R17" s="1">
        <v>1200</v>
      </c>
      <c r="S17" s="1">
        <f t="shared" si="3"/>
        <v>1.2</v>
      </c>
    </row>
    <row r="18" spans="1:19" x14ac:dyDescent="0.3">
      <c r="A18" s="1">
        <v>15</v>
      </c>
      <c r="B18" s="1">
        <v>29.13</v>
      </c>
      <c r="C18" s="1">
        <v>0</v>
      </c>
      <c r="D18" s="1">
        <f t="shared" si="1"/>
        <v>0</v>
      </c>
      <c r="F18" s="1">
        <v>15</v>
      </c>
      <c r="G18" s="1">
        <v>29.13</v>
      </c>
      <c r="H18" s="1">
        <v>800</v>
      </c>
      <c r="I18" s="1">
        <f t="shared" si="2"/>
        <v>0.8</v>
      </c>
      <c r="K18" s="1">
        <v>15</v>
      </c>
      <c r="L18" s="1">
        <v>29.87</v>
      </c>
      <c r="M18" s="1">
        <v>0</v>
      </c>
      <c r="N18" s="1">
        <f t="shared" si="0"/>
        <v>0</v>
      </c>
      <c r="P18" s="1">
        <v>15</v>
      </c>
      <c r="Q18" s="1">
        <v>29.87</v>
      </c>
      <c r="R18" s="1">
        <v>930</v>
      </c>
      <c r="S18" s="1">
        <f t="shared" si="3"/>
        <v>0.93</v>
      </c>
    </row>
    <row r="19" spans="1:19" x14ac:dyDescent="0.3">
      <c r="A19" s="1">
        <v>16</v>
      </c>
      <c r="B19" s="1">
        <v>28.38</v>
      </c>
      <c r="C19" s="1">
        <v>0</v>
      </c>
      <c r="D19" s="1">
        <f t="shared" si="1"/>
        <v>0</v>
      </c>
      <c r="F19" s="1">
        <v>16</v>
      </c>
      <c r="G19" s="1">
        <v>28.38</v>
      </c>
      <c r="H19" s="1">
        <v>720</v>
      </c>
      <c r="I19" s="1">
        <f t="shared" si="2"/>
        <v>0.72</v>
      </c>
      <c r="K19" s="1">
        <v>16</v>
      </c>
      <c r="L19" s="1">
        <v>29.17</v>
      </c>
      <c r="M19" s="1">
        <v>0</v>
      </c>
      <c r="N19" s="1">
        <f t="shared" si="0"/>
        <v>0</v>
      </c>
      <c r="P19" s="1">
        <v>16</v>
      </c>
      <c r="Q19" s="1">
        <v>29.17</v>
      </c>
      <c r="R19" s="1">
        <v>910</v>
      </c>
      <c r="S19" s="1">
        <f t="shared" si="3"/>
        <v>0.91</v>
      </c>
    </row>
    <row r="20" spans="1:19" x14ac:dyDescent="0.3">
      <c r="A20" s="1">
        <v>17</v>
      </c>
      <c r="B20" s="1">
        <v>27.47</v>
      </c>
      <c r="C20" s="1">
        <v>600</v>
      </c>
      <c r="D20" s="1">
        <f t="shared" si="1"/>
        <v>0.6</v>
      </c>
      <c r="F20" s="1">
        <v>17</v>
      </c>
      <c r="G20" s="1">
        <v>27.47</v>
      </c>
      <c r="H20" s="1">
        <v>600</v>
      </c>
      <c r="I20" s="1">
        <f t="shared" si="2"/>
        <v>0.6</v>
      </c>
      <c r="K20" s="1">
        <v>17</v>
      </c>
      <c r="L20" s="1">
        <v>28.38</v>
      </c>
      <c r="M20" s="1">
        <v>650</v>
      </c>
      <c r="N20" s="1">
        <f t="shared" si="0"/>
        <v>0.65</v>
      </c>
      <c r="P20" s="1">
        <v>17</v>
      </c>
      <c r="Q20" s="1">
        <v>28.38</v>
      </c>
      <c r="R20" s="1">
        <v>650</v>
      </c>
      <c r="S20" s="1">
        <f t="shared" si="3"/>
        <v>0.65</v>
      </c>
    </row>
    <row r="21" spans="1:19" x14ac:dyDescent="0.3">
      <c r="A21" s="1">
        <v>18</v>
      </c>
      <c r="B21" s="1">
        <v>26.87</v>
      </c>
      <c r="C21" s="1">
        <v>598</v>
      </c>
      <c r="D21" s="1">
        <f t="shared" si="1"/>
        <v>0.59799999999999998</v>
      </c>
      <c r="F21" s="1">
        <v>18</v>
      </c>
      <c r="G21" s="1">
        <v>26.87</v>
      </c>
      <c r="H21" s="1">
        <v>598</v>
      </c>
      <c r="I21" s="1">
        <f t="shared" si="2"/>
        <v>0.59799999999999998</v>
      </c>
      <c r="K21" s="1">
        <v>18</v>
      </c>
      <c r="L21" s="1">
        <v>27.73</v>
      </c>
      <c r="M21" s="1">
        <v>640</v>
      </c>
      <c r="N21" s="1">
        <f t="shared" si="0"/>
        <v>0.64</v>
      </c>
      <c r="P21" s="1">
        <v>18</v>
      </c>
      <c r="Q21" s="1">
        <v>27.73</v>
      </c>
      <c r="R21" s="1">
        <v>640</v>
      </c>
      <c r="S21" s="1">
        <f t="shared" si="3"/>
        <v>0.64</v>
      </c>
    </row>
    <row r="22" spans="1:19" x14ac:dyDescent="0.3">
      <c r="A22" s="1">
        <v>19</v>
      </c>
      <c r="B22" s="1">
        <v>26.69</v>
      </c>
      <c r="C22" s="1">
        <v>597</v>
      </c>
      <c r="D22" s="1">
        <f t="shared" si="1"/>
        <v>0.59699999999999998</v>
      </c>
      <c r="F22" s="1">
        <v>19</v>
      </c>
      <c r="G22" s="1">
        <v>26.69</v>
      </c>
      <c r="H22" s="1">
        <v>597</v>
      </c>
      <c r="I22" s="1">
        <f t="shared" si="2"/>
        <v>0.59699999999999998</v>
      </c>
      <c r="K22" s="1">
        <v>19</v>
      </c>
      <c r="L22" s="1">
        <v>27.52</v>
      </c>
      <c r="M22" s="1">
        <v>640</v>
      </c>
      <c r="N22" s="1">
        <f t="shared" si="0"/>
        <v>0.64</v>
      </c>
      <c r="P22" s="1">
        <v>19</v>
      </c>
      <c r="Q22" s="1">
        <v>27.52</v>
      </c>
      <c r="R22" s="1">
        <v>640</v>
      </c>
      <c r="S22" s="1">
        <f t="shared" si="3"/>
        <v>0.64</v>
      </c>
    </row>
    <row r="23" spans="1:19" x14ac:dyDescent="0.3">
      <c r="A23" s="1">
        <v>20</v>
      </c>
      <c r="B23" s="1">
        <v>26.61</v>
      </c>
      <c r="C23" s="1">
        <v>597</v>
      </c>
      <c r="D23" s="1">
        <f t="shared" si="1"/>
        <v>0.59699999999999998</v>
      </c>
      <c r="F23" s="1">
        <v>20</v>
      </c>
      <c r="G23" s="1">
        <v>26.61</v>
      </c>
      <c r="H23" s="1">
        <v>597</v>
      </c>
      <c r="I23" s="1">
        <f t="shared" si="2"/>
        <v>0.59699999999999998</v>
      </c>
      <c r="K23" s="1">
        <v>20</v>
      </c>
      <c r="L23" s="1">
        <v>27.41</v>
      </c>
      <c r="M23" s="1">
        <v>630</v>
      </c>
      <c r="N23" s="1">
        <f t="shared" si="0"/>
        <v>0.63</v>
      </c>
      <c r="P23" s="1">
        <v>20</v>
      </c>
      <c r="Q23" s="1">
        <v>27.41</v>
      </c>
      <c r="R23" s="1">
        <v>630</v>
      </c>
      <c r="S23" s="1">
        <f t="shared" si="3"/>
        <v>0.63</v>
      </c>
    </row>
    <row r="24" spans="1:19" x14ac:dyDescent="0.3">
      <c r="A24" s="1">
        <v>21</v>
      </c>
      <c r="B24" s="1">
        <v>26.54</v>
      </c>
      <c r="C24" s="1">
        <v>450</v>
      </c>
      <c r="D24" s="1">
        <f t="shared" si="1"/>
        <v>0.45</v>
      </c>
      <c r="F24" s="1">
        <v>21</v>
      </c>
      <c r="G24" s="1">
        <v>26.54</v>
      </c>
      <c r="H24" s="1">
        <v>450</v>
      </c>
      <c r="I24" s="1">
        <f t="shared" si="2"/>
        <v>0.45</v>
      </c>
      <c r="K24" s="1">
        <v>21</v>
      </c>
      <c r="L24" s="1">
        <v>27.37</v>
      </c>
      <c r="M24" s="1">
        <v>620</v>
      </c>
      <c r="N24" s="1">
        <f t="shared" si="0"/>
        <v>0.62</v>
      </c>
      <c r="P24" s="1">
        <v>21</v>
      </c>
      <c r="Q24" s="1">
        <v>27.37</v>
      </c>
      <c r="R24" s="1">
        <v>620</v>
      </c>
      <c r="S24" s="1">
        <f t="shared" si="3"/>
        <v>0.62</v>
      </c>
    </row>
    <row r="25" spans="1:19" x14ac:dyDescent="0.3">
      <c r="A25" s="1">
        <v>22</v>
      </c>
      <c r="B25" s="1">
        <v>26.45</v>
      </c>
      <c r="C25" s="1">
        <v>451</v>
      </c>
      <c r="D25" s="1">
        <f t="shared" si="1"/>
        <v>0.45100000000000001</v>
      </c>
      <c r="F25" s="1">
        <v>22</v>
      </c>
      <c r="G25" s="1">
        <v>26.45</v>
      </c>
      <c r="H25" s="1">
        <v>451</v>
      </c>
      <c r="I25" s="1">
        <f t="shared" si="2"/>
        <v>0.45100000000000001</v>
      </c>
      <c r="K25" s="1">
        <v>22</v>
      </c>
      <c r="L25" s="1">
        <v>27.3</v>
      </c>
      <c r="M25" s="1">
        <v>620</v>
      </c>
      <c r="N25" s="1">
        <f t="shared" si="0"/>
        <v>0.62</v>
      </c>
      <c r="P25" s="1">
        <v>22</v>
      </c>
      <c r="Q25" s="1">
        <v>27.3</v>
      </c>
      <c r="R25" s="1">
        <v>620</v>
      </c>
      <c r="S25" s="1">
        <f t="shared" si="3"/>
        <v>0.62</v>
      </c>
    </row>
    <row r="26" spans="1:19" x14ac:dyDescent="0.3">
      <c r="A26" s="1">
        <v>23</v>
      </c>
      <c r="B26" s="1">
        <v>26.33</v>
      </c>
      <c r="C26" s="1">
        <v>450</v>
      </c>
      <c r="D26" s="1">
        <f t="shared" si="1"/>
        <v>0.45</v>
      </c>
      <c r="F26" s="1">
        <v>23</v>
      </c>
      <c r="G26" s="1">
        <v>26.33</v>
      </c>
      <c r="H26" s="1">
        <v>450</v>
      </c>
      <c r="I26" s="1">
        <f t="shared" si="2"/>
        <v>0.45</v>
      </c>
      <c r="K26" s="1">
        <v>23</v>
      </c>
      <c r="L26" s="1">
        <v>27.2</v>
      </c>
      <c r="M26" s="1">
        <v>600</v>
      </c>
      <c r="N26" s="1">
        <f t="shared" si="0"/>
        <v>0.6</v>
      </c>
      <c r="P26" s="1">
        <v>23</v>
      </c>
      <c r="Q26" s="1">
        <v>27.2</v>
      </c>
      <c r="R26" s="1">
        <v>600</v>
      </c>
      <c r="S26" s="1">
        <f t="shared" si="3"/>
        <v>0.6</v>
      </c>
    </row>
  </sheetData>
  <mergeCells count="4">
    <mergeCell ref="F1:I1"/>
    <mergeCell ref="A1:D1"/>
    <mergeCell ref="K1:N1"/>
    <mergeCell ref="P1:S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4C79-C1AA-466B-BC28-94A690DEDFDE}">
  <dimension ref="A1:S26"/>
  <sheetViews>
    <sheetView topLeftCell="A43" workbookViewId="0">
      <selection activeCell="O8" sqref="O8"/>
    </sheetView>
  </sheetViews>
  <sheetFormatPr baseColWidth="10" defaultRowHeight="14.4" x14ac:dyDescent="0.3"/>
  <cols>
    <col min="2" max="2" width="13.77734375" customWidth="1"/>
    <col min="3" max="3" width="12.5546875" customWidth="1"/>
    <col min="4" max="4" width="15" customWidth="1"/>
    <col min="6" max="6" width="13.6640625" customWidth="1"/>
    <col min="7" max="7" width="15.6640625" customWidth="1"/>
    <col min="8" max="8" width="12.77734375" customWidth="1"/>
    <col min="9" max="9" width="14.33203125" customWidth="1"/>
    <col min="10" max="10" width="14.21875" customWidth="1"/>
    <col min="12" max="12" width="13.21875" customWidth="1"/>
    <col min="13" max="13" width="12.77734375" customWidth="1"/>
    <col min="14" max="14" width="14.6640625" customWidth="1"/>
    <col min="15" max="15" width="14.5546875" customWidth="1"/>
    <col min="17" max="17" width="14.33203125" customWidth="1"/>
    <col min="18" max="18" width="12.88671875" customWidth="1"/>
    <col min="19" max="19" width="14.109375" customWidth="1"/>
    <col min="21" max="21" width="15.109375" customWidth="1"/>
  </cols>
  <sheetData>
    <row r="1" spans="1:19" x14ac:dyDescent="0.3">
      <c r="A1" s="36" t="s">
        <v>14</v>
      </c>
      <c r="B1" s="36"/>
      <c r="C1" s="36"/>
      <c r="D1" s="36"/>
      <c r="F1" s="36" t="s">
        <v>15</v>
      </c>
      <c r="G1" s="36"/>
      <c r="H1" s="36"/>
      <c r="I1" s="36"/>
      <c r="K1" s="36" t="s">
        <v>16</v>
      </c>
      <c r="L1" s="36"/>
      <c r="M1" s="36"/>
      <c r="N1" s="36"/>
      <c r="P1" s="36" t="s">
        <v>17</v>
      </c>
      <c r="Q1" s="36"/>
      <c r="R1" s="36"/>
      <c r="S1" s="36"/>
    </row>
    <row r="2" spans="1:19" x14ac:dyDescent="0.3">
      <c r="A2" s="1" t="s">
        <v>13</v>
      </c>
      <c r="B2" s="1" t="s">
        <v>25</v>
      </c>
      <c r="C2" s="1" t="s">
        <v>22</v>
      </c>
      <c r="D2" s="1" t="s">
        <v>23</v>
      </c>
      <c r="F2" s="1" t="s">
        <v>13</v>
      </c>
      <c r="G2" s="1" t="s">
        <v>25</v>
      </c>
      <c r="H2" s="1" t="s">
        <v>22</v>
      </c>
      <c r="I2" s="1" t="s">
        <v>23</v>
      </c>
      <c r="K2" s="1" t="s">
        <v>13</v>
      </c>
      <c r="L2" s="1" t="s">
        <v>25</v>
      </c>
      <c r="M2" s="1" t="s">
        <v>22</v>
      </c>
      <c r="N2" s="1" t="s">
        <v>23</v>
      </c>
      <c r="P2" s="1" t="s">
        <v>13</v>
      </c>
      <c r="Q2" s="1" t="s">
        <v>25</v>
      </c>
      <c r="R2" s="1" t="s">
        <v>22</v>
      </c>
      <c r="S2" s="1" t="s">
        <v>23</v>
      </c>
    </row>
    <row r="3" spans="1:19" x14ac:dyDescent="0.3">
      <c r="A3" s="1">
        <v>0</v>
      </c>
      <c r="B3" s="1">
        <v>26.21</v>
      </c>
      <c r="C3" s="1">
        <v>320</v>
      </c>
      <c r="D3" s="1">
        <f>C3/1000</f>
        <v>0.32</v>
      </c>
      <c r="F3" s="1">
        <v>0</v>
      </c>
      <c r="G3" s="1">
        <v>26.21</v>
      </c>
      <c r="H3" s="1">
        <v>320</v>
      </c>
      <c r="I3" s="1">
        <f>H3/1000</f>
        <v>0.32</v>
      </c>
      <c r="K3" s="1">
        <v>0</v>
      </c>
      <c r="L3" s="1">
        <v>27.09</v>
      </c>
      <c r="M3" s="1">
        <v>520</v>
      </c>
      <c r="N3" s="1">
        <f>M3/1000</f>
        <v>0.52</v>
      </c>
      <c r="P3" s="1">
        <v>0</v>
      </c>
      <c r="Q3" s="1">
        <v>27.09</v>
      </c>
      <c r="R3" s="1">
        <v>520</v>
      </c>
      <c r="S3" s="1">
        <f>R3/1000</f>
        <v>0.52</v>
      </c>
    </row>
    <row r="4" spans="1:19" x14ac:dyDescent="0.3">
      <c r="A4" s="1">
        <v>1</v>
      </c>
      <c r="B4" s="1">
        <v>26.08</v>
      </c>
      <c r="C4" s="1">
        <v>318</v>
      </c>
      <c r="D4" s="1">
        <f t="shared" ref="D4:D26" si="0">C4/1000</f>
        <v>0.318</v>
      </c>
      <c r="F4" s="1">
        <v>1</v>
      </c>
      <c r="G4" s="1">
        <v>26.08</v>
      </c>
      <c r="H4" s="1">
        <v>318</v>
      </c>
      <c r="I4" s="1">
        <f t="shared" ref="I4:I26" si="1">H4/1000</f>
        <v>0.318</v>
      </c>
      <c r="K4" s="1">
        <v>1</v>
      </c>
      <c r="L4" s="1">
        <v>26.98</v>
      </c>
      <c r="M4" s="1">
        <v>600</v>
      </c>
      <c r="N4" s="1">
        <f t="shared" ref="N4:N26" si="2">M4/1000</f>
        <v>0.6</v>
      </c>
      <c r="P4" s="1">
        <v>1</v>
      </c>
      <c r="Q4" s="1">
        <v>26.98</v>
      </c>
      <c r="R4" s="1">
        <v>600</v>
      </c>
      <c r="S4" s="1">
        <f t="shared" ref="S4:S26" si="3">R4/1000</f>
        <v>0.6</v>
      </c>
    </row>
    <row r="5" spans="1:19" x14ac:dyDescent="0.3">
      <c r="A5" s="1">
        <v>2</v>
      </c>
      <c r="B5" s="1">
        <v>25.97</v>
      </c>
      <c r="C5" s="1">
        <v>300</v>
      </c>
      <c r="D5" s="1">
        <f t="shared" si="0"/>
        <v>0.3</v>
      </c>
      <c r="F5" s="1">
        <v>2</v>
      </c>
      <c r="G5" s="1">
        <v>25.97</v>
      </c>
      <c r="H5" s="1">
        <v>300</v>
      </c>
      <c r="I5" s="1">
        <f t="shared" si="1"/>
        <v>0.3</v>
      </c>
      <c r="K5" s="1">
        <v>2</v>
      </c>
      <c r="L5" s="1">
        <v>26.89</v>
      </c>
      <c r="M5" s="1">
        <v>505</v>
      </c>
      <c r="N5" s="1">
        <f t="shared" si="2"/>
        <v>0.505</v>
      </c>
      <c r="P5" s="1">
        <v>2</v>
      </c>
      <c r="Q5" s="1">
        <v>26.89</v>
      </c>
      <c r="R5" s="1">
        <v>505</v>
      </c>
      <c r="S5" s="1">
        <f t="shared" si="3"/>
        <v>0.505</v>
      </c>
    </row>
    <row r="6" spans="1:19" x14ac:dyDescent="0.3">
      <c r="A6" s="1">
        <v>3</v>
      </c>
      <c r="B6" s="1">
        <v>25.89</v>
      </c>
      <c r="C6" s="1">
        <v>280</v>
      </c>
      <c r="D6" s="1">
        <f t="shared" si="0"/>
        <v>0.28000000000000003</v>
      </c>
      <c r="F6" s="1">
        <v>3</v>
      </c>
      <c r="G6" s="1">
        <v>25.89</v>
      </c>
      <c r="H6" s="1">
        <v>280</v>
      </c>
      <c r="I6" s="1">
        <f t="shared" si="1"/>
        <v>0.28000000000000003</v>
      </c>
      <c r="K6" s="1">
        <v>3</v>
      </c>
      <c r="L6" s="1">
        <v>26.83</v>
      </c>
      <c r="M6" s="1">
        <v>490</v>
      </c>
      <c r="N6" s="1">
        <f t="shared" si="2"/>
        <v>0.49</v>
      </c>
      <c r="P6" s="1">
        <v>3</v>
      </c>
      <c r="Q6" s="1">
        <v>26.83</v>
      </c>
      <c r="R6" s="1">
        <v>490</v>
      </c>
      <c r="S6" s="1">
        <f t="shared" si="3"/>
        <v>0.49</v>
      </c>
    </row>
    <row r="7" spans="1:19" x14ac:dyDescent="0.3">
      <c r="A7" s="1">
        <v>4</v>
      </c>
      <c r="B7" s="1">
        <v>25.84</v>
      </c>
      <c r="C7" s="1">
        <v>280</v>
      </c>
      <c r="D7" s="1">
        <f t="shared" si="0"/>
        <v>0.28000000000000003</v>
      </c>
      <c r="F7" s="1">
        <v>4</v>
      </c>
      <c r="G7" s="1">
        <v>25.84</v>
      </c>
      <c r="H7" s="1">
        <v>280</v>
      </c>
      <c r="I7" s="1">
        <f t="shared" si="1"/>
        <v>0.28000000000000003</v>
      </c>
      <c r="K7" s="1">
        <v>4</v>
      </c>
      <c r="L7" s="1">
        <v>26.79</v>
      </c>
      <c r="M7" s="1">
        <v>545</v>
      </c>
      <c r="N7" s="1">
        <f t="shared" si="2"/>
        <v>0.54500000000000004</v>
      </c>
      <c r="P7" s="1">
        <v>4</v>
      </c>
      <c r="Q7" s="1">
        <v>26.79</v>
      </c>
      <c r="R7" s="1">
        <v>545</v>
      </c>
      <c r="S7" s="1">
        <f t="shared" si="3"/>
        <v>0.54500000000000004</v>
      </c>
    </row>
    <row r="8" spans="1:19" x14ac:dyDescent="0.3">
      <c r="A8" s="1">
        <v>5</v>
      </c>
      <c r="B8" s="1">
        <v>25.79</v>
      </c>
      <c r="C8" s="1">
        <v>0</v>
      </c>
      <c r="D8" s="1">
        <f t="shared" si="0"/>
        <v>0</v>
      </c>
      <c r="F8" s="1">
        <v>5</v>
      </c>
      <c r="G8" s="1">
        <v>25.79</v>
      </c>
      <c r="H8" s="1">
        <v>279</v>
      </c>
      <c r="I8" s="1">
        <f t="shared" si="1"/>
        <v>0.27900000000000003</v>
      </c>
      <c r="K8" s="1">
        <v>5</v>
      </c>
      <c r="L8" s="1">
        <v>26.75</v>
      </c>
      <c r="M8" s="1">
        <v>0</v>
      </c>
      <c r="N8" s="1">
        <f t="shared" si="2"/>
        <v>0</v>
      </c>
      <c r="P8" s="1">
        <v>5</v>
      </c>
      <c r="Q8" s="1">
        <v>26.75</v>
      </c>
      <c r="R8" s="1">
        <v>540</v>
      </c>
      <c r="S8" s="1">
        <f t="shared" si="3"/>
        <v>0.54</v>
      </c>
    </row>
    <row r="9" spans="1:19" x14ac:dyDescent="0.3">
      <c r="A9" s="1">
        <v>6</v>
      </c>
      <c r="B9" s="1">
        <v>25.96</v>
      </c>
      <c r="C9" s="1">
        <v>0</v>
      </c>
      <c r="D9" s="1">
        <f t="shared" si="0"/>
        <v>0</v>
      </c>
      <c r="F9" s="1">
        <v>6</v>
      </c>
      <c r="G9" s="1">
        <v>25.96</v>
      </c>
      <c r="H9" s="1">
        <v>300</v>
      </c>
      <c r="I9" s="1">
        <f t="shared" si="1"/>
        <v>0.3</v>
      </c>
      <c r="K9" s="1">
        <v>6</v>
      </c>
      <c r="L9" s="1">
        <v>27.06</v>
      </c>
      <c r="M9" s="1">
        <v>0</v>
      </c>
      <c r="N9" s="1">
        <f t="shared" si="2"/>
        <v>0</v>
      </c>
      <c r="P9" s="1">
        <v>6</v>
      </c>
      <c r="Q9" s="1">
        <v>27.06</v>
      </c>
      <c r="R9" s="1">
        <v>510</v>
      </c>
      <c r="S9" s="1">
        <f t="shared" si="3"/>
        <v>0.51</v>
      </c>
    </row>
    <row r="10" spans="1:19" x14ac:dyDescent="0.3">
      <c r="A10" s="1">
        <v>7</v>
      </c>
      <c r="B10" s="1">
        <v>26.88</v>
      </c>
      <c r="C10" s="1">
        <v>0</v>
      </c>
      <c r="D10" s="1">
        <f t="shared" si="0"/>
        <v>0</v>
      </c>
      <c r="F10" s="1">
        <v>7</v>
      </c>
      <c r="G10" s="1">
        <v>26.88</v>
      </c>
      <c r="H10" s="1">
        <v>502</v>
      </c>
      <c r="I10" s="1">
        <f t="shared" si="1"/>
        <v>0.502</v>
      </c>
      <c r="K10" s="1">
        <v>7</v>
      </c>
      <c r="L10" s="1">
        <v>27.7</v>
      </c>
      <c r="M10" s="1">
        <v>0</v>
      </c>
      <c r="N10" s="1">
        <f t="shared" si="2"/>
        <v>0</v>
      </c>
      <c r="P10" s="1">
        <v>7</v>
      </c>
      <c r="Q10" s="1">
        <v>27.7</v>
      </c>
      <c r="R10" s="1">
        <v>589</v>
      </c>
      <c r="S10" s="1">
        <f t="shared" si="3"/>
        <v>0.58899999999999997</v>
      </c>
    </row>
    <row r="11" spans="1:19" x14ac:dyDescent="0.3">
      <c r="A11" s="1">
        <v>8</v>
      </c>
      <c r="B11" s="1">
        <v>27.89</v>
      </c>
      <c r="C11" s="1">
        <v>0</v>
      </c>
      <c r="D11" s="1">
        <f t="shared" si="0"/>
        <v>0</v>
      </c>
      <c r="F11" s="1">
        <v>8</v>
      </c>
      <c r="G11" s="1">
        <v>27.89</v>
      </c>
      <c r="H11" s="1">
        <v>600</v>
      </c>
      <c r="I11" s="1">
        <f t="shared" si="1"/>
        <v>0.6</v>
      </c>
      <c r="K11" s="1">
        <v>8</v>
      </c>
      <c r="L11" s="1">
        <v>29.43</v>
      </c>
      <c r="M11" s="1">
        <v>0</v>
      </c>
      <c r="N11" s="1">
        <f t="shared" si="2"/>
        <v>0</v>
      </c>
      <c r="P11" s="1">
        <v>8</v>
      </c>
      <c r="Q11" s="1">
        <v>29.43</v>
      </c>
      <c r="R11" s="1">
        <v>820</v>
      </c>
      <c r="S11" s="1">
        <f t="shared" si="3"/>
        <v>0.82</v>
      </c>
    </row>
    <row r="12" spans="1:19" x14ac:dyDescent="0.3">
      <c r="A12" s="1">
        <v>9</v>
      </c>
      <c r="B12" s="1">
        <v>28.89</v>
      </c>
      <c r="C12" s="1">
        <v>0</v>
      </c>
      <c r="D12" s="1">
        <f t="shared" si="0"/>
        <v>0</v>
      </c>
      <c r="F12" s="1">
        <v>9</v>
      </c>
      <c r="G12" s="1">
        <v>28.89</v>
      </c>
      <c r="H12" s="1">
        <v>700</v>
      </c>
      <c r="I12" s="1">
        <f t="shared" si="1"/>
        <v>0.7</v>
      </c>
      <c r="K12" s="1">
        <v>9</v>
      </c>
      <c r="L12" s="1">
        <v>29.43</v>
      </c>
      <c r="M12" s="1">
        <v>0</v>
      </c>
      <c r="N12" s="1">
        <f t="shared" si="2"/>
        <v>0</v>
      </c>
      <c r="P12" s="1">
        <v>9</v>
      </c>
      <c r="Q12" s="1">
        <v>29.43</v>
      </c>
      <c r="R12" s="1">
        <v>820</v>
      </c>
      <c r="S12" s="1">
        <f t="shared" si="3"/>
        <v>0.82</v>
      </c>
    </row>
    <row r="13" spans="1:19" x14ac:dyDescent="0.3">
      <c r="A13" s="1">
        <v>10</v>
      </c>
      <c r="B13" s="1">
        <v>29.65</v>
      </c>
      <c r="C13" s="1">
        <v>0</v>
      </c>
      <c r="D13" s="1">
        <f t="shared" si="0"/>
        <v>0</v>
      </c>
      <c r="F13" s="1">
        <v>10</v>
      </c>
      <c r="G13" s="1">
        <v>29.65</v>
      </c>
      <c r="H13" s="1">
        <v>850</v>
      </c>
      <c r="I13" s="1">
        <f t="shared" si="1"/>
        <v>0.85</v>
      </c>
      <c r="K13" s="1">
        <v>10</v>
      </c>
      <c r="L13" s="1">
        <v>30.09</v>
      </c>
      <c r="M13" s="1">
        <v>0</v>
      </c>
      <c r="N13" s="1">
        <f t="shared" si="2"/>
        <v>0</v>
      </c>
      <c r="P13" s="1">
        <v>10</v>
      </c>
      <c r="Q13" s="1">
        <v>30.09</v>
      </c>
      <c r="R13" s="1">
        <v>920</v>
      </c>
      <c r="S13" s="1">
        <f t="shared" si="3"/>
        <v>0.92</v>
      </c>
    </row>
    <row r="14" spans="1:19" x14ac:dyDescent="0.3">
      <c r="A14" s="1">
        <v>11</v>
      </c>
      <c r="B14" s="1">
        <v>30.13</v>
      </c>
      <c r="C14" s="1">
        <v>0</v>
      </c>
      <c r="D14" s="1">
        <f t="shared" si="0"/>
        <v>0</v>
      </c>
      <c r="F14" s="1">
        <v>11</v>
      </c>
      <c r="G14" s="1">
        <v>30.13</v>
      </c>
      <c r="H14" s="1">
        <v>930</v>
      </c>
      <c r="I14" s="1">
        <f t="shared" si="1"/>
        <v>0.93</v>
      </c>
      <c r="K14" s="1">
        <v>11</v>
      </c>
      <c r="L14" s="1">
        <v>30.61</v>
      </c>
      <c r="M14" s="1">
        <v>0</v>
      </c>
      <c r="N14" s="1">
        <f t="shared" si="2"/>
        <v>0</v>
      </c>
      <c r="P14" s="1">
        <v>11</v>
      </c>
      <c r="Q14" s="1">
        <v>30.61</v>
      </c>
      <c r="R14" s="1">
        <v>930</v>
      </c>
      <c r="S14" s="1">
        <f t="shared" si="3"/>
        <v>0.93</v>
      </c>
    </row>
    <row r="15" spans="1:19" x14ac:dyDescent="0.3">
      <c r="A15" s="1">
        <v>12</v>
      </c>
      <c r="B15" s="1">
        <v>30.46</v>
      </c>
      <c r="C15" s="1">
        <v>0</v>
      </c>
      <c r="D15" s="1">
        <f t="shared" si="0"/>
        <v>0</v>
      </c>
      <c r="F15" s="1">
        <v>12</v>
      </c>
      <c r="G15" s="1">
        <v>30.46</v>
      </c>
      <c r="H15" s="1">
        <v>930</v>
      </c>
      <c r="I15" s="1">
        <f t="shared" si="1"/>
        <v>0.93</v>
      </c>
      <c r="K15" s="1">
        <v>12</v>
      </c>
      <c r="L15" s="1">
        <v>30.88</v>
      </c>
      <c r="M15" s="1">
        <v>0</v>
      </c>
      <c r="N15" s="1">
        <f t="shared" si="2"/>
        <v>0</v>
      </c>
      <c r="P15" s="1">
        <v>12</v>
      </c>
      <c r="Q15" s="1">
        <v>30.88</v>
      </c>
      <c r="R15" s="1">
        <v>930</v>
      </c>
      <c r="S15" s="1">
        <f t="shared" si="3"/>
        <v>0.93</v>
      </c>
    </row>
    <row r="16" spans="1:19" x14ac:dyDescent="0.3">
      <c r="A16" s="1">
        <v>13</v>
      </c>
      <c r="B16" s="1">
        <v>30.12</v>
      </c>
      <c r="C16" s="1">
        <v>0</v>
      </c>
      <c r="D16" s="1">
        <f t="shared" si="0"/>
        <v>0</v>
      </c>
      <c r="F16" s="1">
        <v>13</v>
      </c>
      <c r="G16" s="1">
        <v>30.12</v>
      </c>
      <c r="H16" s="1">
        <v>930</v>
      </c>
      <c r="I16" s="1">
        <f t="shared" si="1"/>
        <v>0.93</v>
      </c>
      <c r="K16" s="1">
        <v>13</v>
      </c>
      <c r="L16" s="1">
        <v>30.79</v>
      </c>
      <c r="M16" s="1">
        <v>0</v>
      </c>
      <c r="N16" s="1">
        <f t="shared" si="2"/>
        <v>0</v>
      </c>
      <c r="P16" s="1">
        <v>13</v>
      </c>
      <c r="Q16" s="1">
        <v>30.79</v>
      </c>
      <c r="R16" s="1">
        <v>930</v>
      </c>
      <c r="S16" s="1">
        <f t="shared" si="3"/>
        <v>0.93</v>
      </c>
    </row>
    <row r="17" spans="1:19" x14ac:dyDescent="0.3">
      <c r="A17" s="1">
        <v>14</v>
      </c>
      <c r="B17" s="1">
        <v>29.72</v>
      </c>
      <c r="C17" s="1">
        <v>0</v>
      </c>
      <c r="D17" s="1">
        <f t="shared" si="0"/>
        <v>0</v>
      </c>
      <c r="F17" s="1">
        <v>14</v>
      </c>
      <c r="G17" s="1">
        <v>29.72</v>
      </c>
      <c r="H17" s="1">
        <v>900</v>
      </c>
      <c r="I17" s="1">
        <f t="shared" si="1"/>
        <v>0.9</v>
      </c>
      <c r="K17" s="1">
        <v>14</v>
      </c>
      <c r="L17" s="1">
        <v>30.42</v>
      </c>
      <c r="M17" s="1">
        <v>0</v>
      </c>
      <c r="N17" s="1">
        <f t="shared" si="2"/>
        <v>0</v>
      </c>
      <c r="P17" s="1">
        <v>14</v>
      </c>
      <c r="Q17" s="1">
        <v>30.42</v>
      </c>
      <c r="R17" s="1">
        <v>930</v>
      </c>
      <c r="S17" s="1">
        <f t="shared" si="3"/>
        <v>0.93</v>
      </c>
    </row>
    <row r="18" spans="1:19" x14ac:dyDescent="0.3">
      <c r="A18" s="1">
        <v>15</v>
      </c>
      <c r="B18" s="1">
        <v>29.13</v>
      </c>
      <c r="C18" s="1">
        <v>0</v>
      </c>
      <c r="D18" s="1">
        <f t="shared" si="0"/>
        <v>0</v>
      </c>
      <c r="F18" s="1">
        <v>15</v>
      </c>
      <c r="G18" s="1">
        <v>29.13</v>
      </c>
      <c r="H18" s="1">
        <v>889</v>
      </c>
      <c r="I18" s="1">
        <f t="shared" si="1"/>
        <v>0.88900000000000001</v>
      </c>
      <c r="K18" s="1">
        <v>15</v>
      </c>
      <c r="L18" s="1">
        <v>29.87</v>
      </c>
      <c r="M18" s="1">
        <v>0</v>
      </c>
      <c r="N18" s="1">
        <f t="shared" si="2"/>
        <v>0</v>
      </c>
      <c r="P18" s="1">
        <v>15</v>
      </c>
      <c r="Q18" s="1">
        <v>29.87</v>
      </c>
      <c r="R18" s="1">
        <v>930</v>
      </c>
      <c r="S18" s="1">
        <f t="shared" si="3"/>
        <v>0.93</v>
      </c>
    </row>
    <row r="19" spans="1:19" x14ac:dyDescent="0.3">
      <c r="A19" s="1">
        <v>16</v>
      </c>
      <c r="B19" s="1">
        <v>28.38</v>
      </c>
      <c r="C19" s="1">
        <v>0</v>
      </c>
      <c r="D19" s="1">
        <f t="shared" si="0"/>
        <v>0</v>
      </c>
      <c r="F19" s="1">
        <v>16</v>
      </c>
      <c r="G19" s="1">
        <v>28.38</v>
      </c>
      <c r="H19" s="1">
        <v>689</v>
      </c>
      <c r="I19" s="1">
        <f t="shared" si="1"/>
        <v>0.68899999999999995</v>
      </c>
      <c r="K19" s="1">
        <v>16</v>
      </c>
      <c r="L19" s="1">
        <v>29.17</v>
      </c>
      <c r="M19" s="1">
        <v>0</v>
      </c>
      <c r="N19" s="1">
        <f t="shared" si="2"/>
        <v>0</v>
      </c>
      <c r="P19" s="1">
        <v>16</v>
      </c>
      <c r="Q19" s="1">
        <v>29.17</v>
      </c>
      <c r="R19" s="1">
        <v>810</v>
      </c>
      <c r="S19" s="1">
        <f t="shared" si="3"/>
        <v>0.81</v>
      </c>
    </row>
    <row r="20" spans="1:19" x14ac:dyDescent="0.3">
      <c r="A20" s="1">
        <v>17</v>
      </c>
      <c r="B20" s="1">
        <v>27.47</v>
      </c>
      <c r="C20" s="1">
        <v>640</v>
      </c>
      <c r="D20" s="1">
        <f t="shared" si="0"/>
        <v>0.64</v>
      </c>
      <c r="F20" s="1">
        <v>17</v>
      </c>
      <c r="G20" s="1">
        <v>27.47</v>
      </c>
      <c r="H20" s="1">
        <v>620</v>
      </c>
      <c r="I20" s="1">
        <f t="shared" si="1"/>
        <v>0.62</v>
      </c>
      <c r="K20" s="1">
        <v>17</v>
      </c>
      <c r="L20" s="1">
        <v>28.38</v>
      </c>
      <c r="M20" s="1">
        <v>689</v>
      </c>
      <c r="N20" s="1">
        <f t="shared" si="2"/>
        <v>0.68899999999999995</v>
      </c>
      <c r="P20" s="1">
        <v>17</v>
      </c>
      <c r="Q20" s="1">
        <v>28.38</v>
      </c>
      <c r="R20" s="1">
        <v>689</v>
      </c>
      <c r="S20" s="1">
        <f t="shared" si="3"/>
        <v>0.68899999999999995</v>
      </c>
    </row>
    <row r="21" spans="1:19" x14ac:dyDescent="0.3">
      <c r="A21" s="1">
        <v>18</v>
      </c>
      <c r="B21" s="1">
        <v>26.87</v>
      </c>
      <c r="C21" s="1">
        <v>500</v>
      </c>
      <c r="D21" s="1">
        <f t="shared" si="0"/>
        <v>0.5</v>
      </c>
      <c r="F21" s="1">
        <v>18</v>
      </c>
      <c r="G21" s="1">
        <v>26.87</v>
      </c>
      <c r="H21" s="1">
        <v>500</v>
      </c>
      <c r="I21" s="1">
        <f t="shared" si="1"/>
        <v>0.5</v>
      </c>
      <c r="K21" s="1">
        <v>18</v>
      </c>
      <c r="L21" s="1">
        <v>27.73</v>
      </c>
      <c r="M21" s="1">
        <v>650</v>
      </c>
      <c r="N21" s="1">
        <f t="shared" si="2"/>
        <v>0.65</v>
      </c>
      <c r="P21" s="1">
        <v>18</v>
      </c>
      <c r="Q21" s="1">
        <v>27.73</v>
      </c>
      <c r="R21" s="1">
        <v>650</v>
      </c>
      <c r="S21" s="1">
        <f t="shared" si="3"/>
        <v>0.65</v>
      </c>
    </row>
    <row r="22" spans="1:19" x14ac:dyDescent="0.3">
      <c r="A22" s="1">
        <v>19</v>
      </c>
      <c r="B22" s="1">
        <v>26.69</v>
      </c>
      <c r="C22" s="1">
        <v>480</v>
      </c>
      <c r="D22" s="1">
        <f t="shared" si="0"/>
        <v>0.48</v>
      </c>
      <c r="F22" s="1">
        <v>19</v>
      </c>
      <c r="G22" s="1">
        <v>26.69</v>
      </c>
      <c r="H22" s="1">
        <v>480</v>
      </c>
      <c r="I22" s="1">
        <f t="shared" si="1"/>
        <v>0.48</v>
      </c>
      <c r="K22" s="1">
        <v>19</v>
      </c>
      <c r="L22" s="1">
        <v>27.52</v>
      </c>
      <c r="M22" s="1">
        <v>640</v>
      </c>
      <c r="N22" s="1">
        <f t="shared" si="2"/>
        <v>0.64</v>
      </c>
      <c r="P22" s="1">
        <v>19</v>
      </c>
      <c r="Q22" s="1">
        <v>27.52</v>
      </c>
      <c r="R22" s="1">
        <v>640</v>
      </c>
      <c r="S22" s="1">
        <f t="shared" si="3"/>
        <v>0.64</v>
      </c>
    </row>
    <row r="23" spans="1:19" x14ac:dyDescent="0.3">
      <c r="A23" s="1">
        <v>20</v>
      </c>
      <c r="B23" s="1">
        <v>26.61</v>
      </c>
      <c r="C23" s="1">
        <v>475</v>
      </c>
      <c r="D23" s="1">
        <f t="shared" si="0"/>
        <v>0.47499999999999998</v>
      </c>
      <c r="F23" s="1">
        <v>20</v>
      </c>
      <c r="G23" s="1">
        <v>26.61</v>
      </c>
      <c r="H23" s="1">
        <v>475</v>
      </c>
      <c r="I23" s="1">
        <f t="shared" si="1"/>
        <v>0.47499999999999998</v>
      </c>
      <c r="K23" s="1">
        <v>20</v>
      </c>
      <c r="L23" s="1">
        <v>27.41</v>
      </c>
      <c r="M23" s="1">
        <v>630</v>
      </c>
      <c r="N23" s="1">
        <f t="shared" si="2"/>
        <v>0.63</v>
      </c>
      <c r="P23" s="1">
        <v>20</v>
      </c>
      <c r="Q23" s="1">
        <v>27.41</v>
      </c>
      <c r="R23" s="1">
        <v>630</v>
      </c>
      <c r="S23" s="1">
        <f t="shared" si="3"/>
        <v>0.63</v>
      </c>
    </row>
    <row r="24" spans="1:19" x14ac:dyDescent="0.3">
      <c r="A24" s="1">
        <v>21</v>
      </c>
      <c r="B24" s="1">
        <v>26.54</v>
      </c>
      <c r="C24" s="1">
        <v>460</v>
      </c>
      <c r="D24" s="1">
        <f t="shared" si="0"/>
        <v>0.46</v>
      </c>
      <c r="F24" s="1">
        <v>21</v>
      </c>
      <c r="G24" s="1">
        <v>26.54</v>
      </c>
      <c r="H24" s="1">
        <v>460</v>
      </c>
      <c r="I24" s="1">
        <f t="shared" si="1"/>
        <v>0.46</v>
      </c>
      <c r="K24" s="1">
        <v>21</v>
      </c>
      <c r="L24" s="1">
        <v>27.37</v>
      </c>
      <c r="M24" s="1">
        <v>620</v>
      </c>
      <c r="N24" s="1">
        <f t="shared" si="2"/>
        <v>0.62</v>
      </c>
      <c r="P24" s="1">
        <v>21</v>
      </c>
      <c r="Q24" s="1">
        <v>27.37</v>
      </c>
      <c r="R24" s="1">
        <v>620</v>
      </c>
      <c r="S24" s="1">
        <f t="shared" si="3"/>
        <v>0.62</v>
      </c>
    </row>
    <row r="25" spans="1:19" x14ac:dyDescent="0.3">
      <c r="A25" s="1">
        <v>22</v>
      </c>
      <c r="B25" s="1">
        <v>26.45</v>
      </c>
      <c r="C25" s="1">
        <v>458</v>
      </c>
      <c r="D25" s="1">
        <f t="shared" si="0"/>
        <v>0.45800000000000002</v>
      </c>
      <c r="F25" s="1">
        <v>22</v>
      </c>
      <c r="G25" s="1">
        <v>26.45</v>
      </c>
      <c r="H25" s="1">
        <v>458</v>
      </c>
      <c r="I25" s="1">
        <f t="shared" si="1"/>
        <v>0.45800000000000002</v>
      </c>
      <c r="K25" s="1">
        <v>22</v>
      </c>
      <c r="L25" s="1">
        <v>27.3</v>
      </c>
      <c r="M25" s="1">
        <v>620</v>
      </c>
      <c r="N25" s="1">
        <f t="shared" si="2"/>
        <v>0.62</v>
      </c>
      <c r="P25" s="1">
        <v>22</v>
      </c>
      <c r="Q25" s="1">
        <v>27.3</v>
      </c>
      <c r="R25" s="1">
        <v>620</v>
      </c>
      <c r="S25" s="1">
        <f t="shared" si="3"/>
        <v>0.62</v>
      </c>
    </row>
    <row r="26" spans="1:19" x14ac:dyDescent="0.3">
      <c r="A26" s="1">
        <v>23</v>
      </c>
      <c r="B26" s="1">
        <v>26.33</v>
      </c>
      <c r="C26" s="1">
        <v>400</v>
      </c>
      <c r="D26" s="1">
        <f t="shared" si="0"/>
        <v>0.4</v>
      </c>
      <c r="F26" s="1">
        <v>23</v>
      </c>
      <c r="G26" s="1">
        <v>26.33</v>
      </c>
      <c r="H26" s="1">
        <v>400</v>
      </c>
      <c r="I26" s="1">
        <f t="shared" si="1"/>
        <v>0.4</v>
      </c>
      <c r="K26" s="1">
        <v>23</v>
      </c>
      <c r="L26" s="1">
        <v>27.2</v>
      </c>
      <c r="M26" s="1">
        <v>600</v>
      </c>
      <c r="N26" s="1">
        <f t="shared" si="2"/>
        <v>0.6</v>
      </c>
      <c r="P26" s="1">
        <v>23</v>
      </c>
      <c r="Q26" s="1">
        <v>27.2</v>
      </c>
      <c r="R26" s="1">
        <v>600</v>
      </c>
      <c r="S26" s="1">
        <f t="shared" si="3"/>
        <v>0.6</v>
      </c>
    </row>
  </sheetData>
  <mergeCells count="4">
    <mergeCell ref="K1:N1"/>
    <mergeCell ref="F1:I1"/>
    <mergeCell ref="A1:D1"/>
    <mergeCell ref="P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08AC-7A3F-4A7F-A0A3-A375F433BEB5}">
  <dimension ref="A1:AG28"/>
  <sheetViews>
    <sheetView topLeftCell="Q19" zoomScale="89" zoomScaleNormal="89" workbookViewId="0">
      <selection activeCell="AF46" sqref="AF46"/>
    </sheetView>
  </sheetViews>
  <sheetFormatPr baseColWidth="10" defaultRowHeight="14.4" x14ac:dyDescent="0.3"/>
  <cols>
    <col min="1" max="1" width="4.5546875" customWidth="1"/>
    <col min="2" max="2" width="9.6640625" customWidth="1"/>
    <col min="3" max="3" width="6.21875" customWidth="1"/>
    <col min="4" max="4" width="21.77734375" customWidth="1"/>
    <col min="5" max="5" width="21.5546875" customWidth="1"/>
    <col min="6" max="6" width="22.6640625" style="8" customWidth="1"/>
    <col min="7" max="7" width="6.33203125" hidden="1" customWidth="1"/>
    <col min="8" max="8" width="22.6640625" customWidth="1"/>
    <col min="9" max="9" width="10" customWidth="1"/>
    <col min="10" max="10" width="13.77734375" customWidth="1"/>
    <col min="11" max="11" width="13" customWidth="1"/>
    <col min="12" max="12" width="13.44140625" customWidth="1"/>
    <col min="14" max="14" width="41.88671875" customWidth="1"/>
    <col min="15" max="15" width="20.5546875" customWidth="1"/>
    <col min="16" max="16" width="18.21875" customWidth="1"/>
    <col min="17" max="17" width="13" customWidth="1"/>
    <col min="18" max="18" width="4.33203125" customWidth="1"/>
    <col min="19" max="19" width="9.33203125" customWidth="1"/>
    <col min="20" max="20" width="6.44140625" customWidth="1"/>
    <col min="21" max="21" width="21.6640625" customWidth="1"/>
    <col min="22" max="22" width="22.109375" customWidth="1"/>
    <col min="23" max="23" width="17.5546875" customWidth="1"/>
    <col min="24" max="24" width="19.77734375" customWidth="1"/>
    <col min="25" max="25" width="9.6640625" customWidth="1"/>
    <col min="28" max="28" width="15.44140625" customWidth="1"/>
    <col min="30" max="30" width="30.44140625" customWidth="1"/>
    <col min="31" max="31" width="23.77734375" customWidth="1"/>
  </cols>
  <sheetData>
    <row r="1" spans="1:33" x14ac:dyDescent="0.3">
      <c r="A1" s="41" t="s">
        <v>24</v>
      </c>
      <c r="B1" s="41"/>
      <c r="C1" s="41"/>
      <c r="D1" s="41"/>
      <c r="E1" s="41"/>
      <c r="F1" s="41"/>
      <c r="G1" s="41"/>
      <c r="H1" s="41"/>
      <c r="K1" s="40" t="s">
        <v>15</v>
      </c>
      <c r="L1" s="40"/>
      <c r="M1" s="40"/>
      <c r="N1" s="40"/>
      <c r="O1" s="40"/>
      <c r="R1" s="42" t="s">
        <v>16</v>
      </c>
      <c r="S1" s="42"/>
      <c r="T1" s="42"/>
      <c r="U1" s="42"/>
      <c r="V1" s="42"/>
      <c r="W1" s="42"/>
      <c r="X1" s="42"/>
      <c r="AA1" s="43" t="s">
        <v>17</v>
      </c>
      <c r="AB1" s="43"/>
      <c r="AC1" s="43"/>
      <c r="AD1" s="43"/>
      <c r="AE1" s="43"/>
    </row>
    <row r="2" spans="1:33" ht="48.6" customHeight="1" x14ac:dyDescent="0.3">
      <c r="A2" s="23" t="s">
        <v>26</v>
      </c>
      <c r="B2" s="23" t="s">
        <v>25</v>
      </c>
      <c r="C2" s="22" t="s">
        <v>18</v>
      </c>
      <c r="D2" s="22" t="s">
        <v>29</v>
      </c>
      <c r="E2" s="22" t="s">
        <v>34</v>
      </c>
      <c r="F2" s="22" t="s">
        <v>28</v>
      </c>
      <c r="G2" s="24"/>
      <c r="H2" s="22" t="s">
        <v>35</v>
      </c>
      <c r="K2" s="5" t="s">
        <v>13</v>
      </c>
      <c r="L2" s="5" t="s">
        <v>25</v>
      </c>
      <c r="M2" s="5" t="s">
        <v>19</v>
      </c>
      <c r="N2" s="5" t="s">
        <v>32</v>
      </c>
      <c r="O2" s="6" t="s">
        <v>33</v>
      </c>
      <c r="R2" s="29" t="s">
        <v>26</v>
      </c>
      <c r="S2" s="29" t="s">
        <v>25</v>
      </c>
      <c r="T2" s="27" t="s">
        <v>19</v>
      </c>
      <c r="U2" s="27" t="s">
        <v>36</v>
      </c>
      <c r="V2" s="27" t="s">
        <v>38</v>
      </c>
      <c r="W2" s="27" t="s">
        <v>37</v>
      </c>
      <c r="X2" s="27" t="s">
        <v>39</v>
      </c>
      <c r="AA2" s="17" t="s">
        <v>13</v>
      </c>
      <c r="AB2" s="17" t="s">
        <v>25</v>
      </c>
      <c r="AC2" s="17" t="s">
        <v>19</v>
      </c>
      <c r="AD2" s="18" t="s">
        <v>20</v>
      </c>
      <c r="AE2" s="18" t="s">
        <v>40</v>
      </c>
    </row>
    <row r="3" spans="1:33" x14ac:dyDescent="0.3">
      <c r="A3" s="21">
        <v>0</v>
      </c>
      <c r="B3" s="21">
        <v>26.21</v>
      </c>
      <c r="C3" s="21">
        <v>1</v>
      </c>
      <c r="D3" s="21">
        <f>151.8*((B3-21)/10)*1.2</f>
        <v>94.90536000000003</v>
      </c>
      <c r="E3" s="21">
        <f>D3/30</f>
        <v>3.1635120000000012</v>
      </c>
      <c r="F3" s="19">
        <f>151.8*((B3-21)/10)*1.2</f>
        <v>94.90536000000003</v>
      </c>
      <c r="G3" s="20"/>
      <c r="H3" s="21">
        <f>F3/30</f>
        <v>3.1635120000000012</v>
      </c>
      <c r="I3" s="12">
        <f>D3*6</f>
        <v>569.43216000000018</v>
      </c>
      <c r="K3" s="5">
        <v>0</v>
      </c>
      <c r="L3" s="5">
        <v>26.21</v>
      </c>
      <c r="M3" s="5">
        <v>1</v>
      </c>
      <c r="N3" s="5">
        <f>151.8*((L3-21)/10)*1.2</f>
        <v>94.90536000000003</v>
      </c>
      <c r="O3" s="5">
        <f t="shared" ref="O3:O26" si="0">N3/30</f>
        <v>3.1635120000000012</v>
      </c>
      <c r="P3">
        <f>N3*6</f>
        <v>569.43216000000018</v>
      </c>
      <c r="Q3" s="12"/>
      <c r="R3" s="28">
        <v>0</v>
      </c>
      <c r="S3" s="28">
        <v>27.09</v>
      </c>
      <c r="T3" s="28">
        <v>1</v>
      </c>
      <c r="U3" s="30">
        <f>151.8*((S3-21)/10)*1.2</f>
        <v>110.93544</v>
      </c>
      <c r="V3" s="28">
        <f>U3/30</f>
        <v>3.697848</v>
      </c>
      <c r="W3" s="31">
        <f>151.8*((S3-21)/10)*1.2</f>
        <v>110.93544</v>
      </c>
      <c r="X3" s="28">
        <f>W3/30</f>
        <v>3.697848</v>
      </c>
      <c r="Y3">
        <f>U3*6</f>
        <v>665.61264000000006</v>
      </c>
      <c r="AA3" s="2">
        <v>0</v>
      </c>
      <c r="AB3" s="2">
        <v>27.09</v>
      </c>
      <c r="AC3" s="2">
        <v>1</v>
      </c>
      <c r="AD3" s="2">
        <f>151.8*((AB3-21)/10)*1.2</f>
        <v>110.93544</v>
      </c>
      <c r="AE3" s="2">
        <f t="shared" ref="AE3:AE26" si="1">AD3/30</f>
        <v>3.697848</v>
      </c>
      <c r="AF3">
        <f>AD3*6</f>
        <v>665.61264000000006</v>
      </c>
      <c r="AG3" s="12"/>
    </row>
    <row r="4" spans="1:33" x14ac:dyDescent="0.3">
      <c r="A4" s="21">
        <v>1</v>
      </c>
      <c r="B4" s="21">
        <v>26.08</v>
      </c>
      <c r="C4" s="21">
        <v>1</v>
      </c>
      <c r="D4" s="19">
        <f>151.8*((21.774-21)/10)*1.2</f>
        <v>14.099184000000017</v>
      </c>
      <c r="E4" s="21">
        <f t="shared" ref="E4:E26" si="2">D4/30</f>
        <v>0.46997280000000058</v>
      </c>
      <c r="F4" s="19">
        <f>151.8*((21.774-21)/10)*1.2</f>
        <v>14.099184000000017</v>
      </c>
      <c r="G4" s="20"/>
      <c r="H4" s="21">
        <f t="shared" ref="H4:H26" si="3">F4/30</f>
        <v>0.46997280000000058</v>
      </c>
      <c r="I4" s="12">
        <f t="shared" ref="I4:I26" si="4">D4*6</f>
        <v>84.595104000000106</v>
      </c>
      <c r="K4" s="5">
        <v>1</v>
      </c>
      <c r="L4" s="5">
        <v>26.08</v>
      </c>
      <c r="M4" s="5">
        <v>1</v>
      </c>
      <c r="N4" s="5">
        <f>151.8*((21.774-21)/10)*1.2</f>
        <v>14.099184000000017</v>
      </c>
      <c r="O4" s="5">
        <f t="shared" si="0"/>
        <v>0.46997280000000058</v>
      </c>
      <c r="P4">
        <f t="shared" ref="P4:P26" si="5">N4*6</f>
        <v>84.595104000000106</v>
      </c>
      <c r="Q4" s="12"/>
      <c r="R4" s="28">
        <v>1</v>
      </c>
      <c r="S4" s="28">
        <v>26.98</v>
      </c>
      <c r="T4" s="28">
        <v>1</v>
      </c>
      <c r="U4" s="31">
        <f>151.8*((21.911-21)/10)*1.2</f>
        <v>16.594776000000028</v>
      </c>
      <c r="V4" s="28">
        <f t="shared" ref="V4:V26" si="6">U4/30</f>
        <v>0.55315920000000096</v>
      </c>
      <c r="W4" s="31">
        <f>151.8*((21.911-21)/10)*1.2</f>
        <v>16.594776000000028</v>
      </c>
      <c r="X4" s="28">
        <f>W4/30</f>
        <v>0.55315920000000096</v>
      </c>
      <c r="Y4">
        <f t="shared" ref="Y4:Y26" si="7">U4*6</f>
        <v>99.568656000000175</v>
      </c>
      <c r="AA4" s="2">
        <v>1</v>
      </c>
      <c r="AB4" s="2">
        <v>26.98</v>
      </c>
      <c r="AC4" s="2">
        <v>1</v>
      </c>
      <c r="AD4" s="2">
        <f>151.8*((21.911-21)/10)*1.2</f>
        <v>16.594776000000028</v>
      </c>
      <c r="AE4" s="2">
        <f t="shared" si="1"/>
        <v>0.55315920000000096</v>
      </c>
      <c r="AF4">
        <f t="shared" ref="AF4:AF26" si="8">AD4*6</f>
        <v>99.568656000000175</v>
      </c>
      <c r="AG4" s="12"/>
    </row>
    <row r="5" spans="1:33" x14ac:dyDescent="0.3">
      <c r="A5" s="21">
        <v>2</v>
      </c>
      <c r="B5" s="21">
        <v>25.97</v>
      </c>
      <c r="C5" s="21">
        <v>1</v>
      </c>
      <c r="D5" s="19">
        <f>151.8*((21.756-21)/10)*1.2</f>
        <v>13.771296000000005</v>
      </c>
      <c r="E5" s="21">
        <f t="shared" si="2"/>
        <v>0.45904320000000015</v>
      </c>
      <c r="F5" s="19">
        <f>151.8*((21.756-21)/10)*1.2</f>
        <v>13.771296000000005</v>
      </c>
      <c r="G5" s="20"/>
      <c r="H5" s="21">
        <f t="shared" si="3"/>
        <v>0.45904320000000015</v>
      </c>
      <c r="I5" s="12">
        <f t="shared" si="4"/>
        <v>82.627776000000026</v>
      </c>
      <c r="K5" s="5">
        <v>2</v>
      </c>
      <c r="L5" s="5">
        <v>25.97</v>
      </c>
      <c r="M5" s="5">
        <v>1</v>
      </c>
      <c r="N5" s="5">
        <f>151.8*((21.756-21)/10)*1.2</f>
        <v>13.771296000000005</v>
      </c>
      <c r="O5" s="5">
        <f t="shared" si="0"/>
        <v>0.45904320000000015</v>
      </c>
      <c r="P5">
        <f t="shared" si="5"/>
        <v>82.627776000000026</v>
      </c>
      <c r="Q5" s="12"/>
      <c r="R5" s="28">
        <v>2</v>
      </c>
      <c r="S5" s="28">
        <v>26.89</v>
      </c>
      <c r="T5" s="28">
        <v>1</v>
      </c>
      <c r="U5" s="31">
        <f>151.8*((21.896-21)/10)*1.2</f>
        <v>16.321536000000016</v>
      </c>
      <c r="V5" s="28">
        <f t="shared" si="6"/>
        <v>0.54405120000000051</v>
      </c>
      <c r="W5" s="31">
        <f>151.8*((21.896-21)/10)*1.2</f>
        <v>16.321536000000016</v>
      </c>
      <c r="X5" s="28">
        <f>W5/30</f>
        <v>0.54405120000000051</v>
      </c>
      <c r="Y5">
        <f t="shared" si="7"/>
        <v>97.929216000000096</v>
      </c>
      <c r="AA5" s="2">
        <v>2</v>
      </c>
      <c r="AB5" s="2">
        <v>26.89</v>
      </c>
      <c r="AC5" s="2">
        <v>1</v>
      </c>
      <c r="AD5" s="2">
        <f>151.8*((21.896-21)/10)*1.2</f>
        <v>16.321536000000016</v>
      </c>
      <c r="AE5" s="2">
        <f t="shared" si="1"/>
        <v>0.54405120000000051</v>
      </c>
      <c r="AF5">
        <f t="shared" si="8"/>
        <v>97.929216000000096</v>
      </c>
      <c r="AG5" s="12"/>
    </row>
    <row r="6" spans="1:33" x14ac:dyDescent="0.3">
      <c r="A6" s="21">
        <v>3</v>
      </c>
      <c r="B6" s="21">
        <v>25.89</v>
      </c>
      <c r="C6" s="21">
        <v>1</v>
      </c>
      <c r="D6" s="19">
        <f>151.8*((21.744-21)/10)*1.2</f>
        <v>13.552703999999997</v>
      </c>
      <c r="E6" s="21">
        <f t="shared" si="2"/>
        <v>0.4517567999999999</v>
      </c>
      <c r="F6" s="19">
        <f>151.8*((21.744-21)/10)*1.2</f>
        <v>13.552703999999997</v>
      </c>
      <c r="G6" s="20"/>
      <c r="H6" s="21">
        <f t="shared" si="3"/>
        <v>0.4517567999999999</v>
      </c>
      <c r="I6" s="12">
        <f t="shared" si="4"/>
        <v>81.316223999999977</v>
      </c>
      <c r="K6" s="5">
        <v>3</v>
      </c>
      <c r="L6" s="5">
        <v>25.89</v>
      </c>
      <c r="M6" s="5">
        <v>1</v>
      </c>
      <c r="N6" s="5">
        <f>151.8*((21.744-21)/10)*1.2</f>
        <v>13.552703999999997</v>
      </c>
      <c r="O6" s="5">
        <f t="shared" si="0"/>
        <v>0.4517567999999999</v>
      </c>
      <c r="P6">
        <f t="shared" si="5"/>
        <v>81.316223999999977</v>
      </c>
      <c r="Q6" s="12"/>
      <c r="R6" s="28">
        <v>3</v>
      </c>
      <c r="S6" s="28">
        <v>26.83</v>
      </c>
      <c r="T6" s="28">
        <v>1</v>
      </c>
      <c r="U6" s="31">
        <f>151.8*((21.886-21)/10)*1.2</f>
        <v>16.139375999999988</v>
      </c>
      <c r="V6" s="28">
        <f t="shared" si="6"/>
        <v>0.53797919999999955</v>
      </c>
      <c r="W6" s="31">
        <f>151.8*((21.886-21)/10)*1.2</f>
        <v>16.139375999999988</v>
      </c>
      <c r="X6" s="28">
        <f>W6/30</f>
        <v>0.53797919999999955</v>
      </c>
      <c r="Y6">
        <f t="shared" si="7"/>
        <v>96.836255999999935</v>
      </c>
      <c r="AA6" s="2">
        <v>3</v>
      </c>
      <c r="AB6" s="2">
        <v>26.83</v>
      </c>
      <c r="AC6" s="2">
        <v>1</v>
      </c>
      <c r="AD6" s="2">
        <f>151.8*((21.886-21)/10)*1.2</f>
        <v>16.139375999999988</v>
      </c>
      <c r="AE6" s="2">
        <f t="shared" si="1"/>
        <v>0.53797919999999955</v>
      </c>
      <c r="AF6">
        <f t="shared" si="8"/>
        <v>96.836255999999935</v>
      </c>
      <c r="AG6" s="12"/>
    </row>
    <row r="7" spans="1:33" x14ac:dyDescent="0.3">
      <c r="A7" s="21">
        <v>4</v>
      </c>
      <c r="B7" s="21">
        <v>25.84</v>
      </c>
      <c r="C7" s="21">
        <v>1</v>
      </c>
      <c r="D7" s="19">
        <f>151.8*((21.736-21)/10)*1.2</f>
        <v>13.406976000000013</v>
      </c>
      <c r="E7" s="21">
        <f t="shared" si="2"/>
        <v>0.44689920000000044</v>
      </c>
      <c r="F7" s="19">
        <f>151.8*((21.736-21)/10)*1.2</f>
        <v>13.406976000000013</v>
      </c>
      <c r="G7" s="20"/>
      <c r="H7" s="21">
        <f t="shared" si="3"/>
        <v>0.44689920000000044</v>
      </c>
      <c r="I7" s="12">
        <f t="shared" si="4"/>
        <v>80.441856000000072</v>
      </c>
      <c r="K7" s="5">
        <v>4</v>
      </c>
      <c r="L7" s="5">
        <v>25.84</v>
      </c>
      <c r="M7" s="5">
        <v>1</v>
      </c>
      <c r="N7" s="5">
        <f>151.8*((21.736-21)/10)*1.2</f>
        <v>13.406976000000013</v>
      </c>
      <c r="O7" s="5">
        <f t="shared" si="0"/>
        <v>0.44689920000000044</v>
      </c>
      <c r="P7">
        <f t="shared" si="5"/>
        <v>80.441856000000072</v>
      </c>
      <c r="Q7" s="12"/>
      <c r="R7" s="28">
        <v>4</v>
      </c>
      <c r="S7" s="28">
        <v>26.79</v>
      </c>
      <c r="T7" s="28">
        <v>1</v>
      </c>
      <c r="U7" s="31">
        <f>151.8*((21.88-21)/10)*1.2</f>
        <v>16.03007999999998</v>
      </c>
      <c r="V7" s="28">
        <f t="shared" si="6"/>
        <v>0.53433599999999937</v>
      </c>
      <c r="W7" s="31">
        <f>151.8*((21.88-21)/10)*1.2</f>
        <v>16.03007999999998</v>
      </c>
      <c r="X7" s="28">
        <f>W7/30</f>
        <v>0.53433599999999937</v>
      </c>
      <c r="Y7">
        <f t="shared" si="7"/>
        <v>96.180479999999875</v>
      </c>
      <c r="AA7" s="2">
        <v>4</v>
      </c>
      <c r="AB7" s="2">
        <v>26.79</v>
      </c>
      <c r="AC7" s="2">
        <v>1</v>
      </c>
      <c r="AD7" s="2">
        <f>151.8*((21.88-21)/10)*1.2</f>
        <v>16.03007999999998</v>
      </c>
      <c r="AE7" s="2">
        <f t="shared" si="1"/>
        <v>0.53433599999999937</v>
      </c>
      <c r="AF7">
        <f t="shared" si="8"/>
        <v>96.180479999999875</v>
      </c>
      <c r="AG7" s="12"/>
    </row>
    <row r="8" spans="1:33" x14ac:dyDescent="0.3">
      <c r="A8" s="21">
        <v>5</v>
      </c>
      <c r="B8" s="21">
        <v>25.79</v>
      </c>
      <c r="C8" s="21">
        <v>0</v>
      </c>
      <c r="D8" s="21">
        <v>0</v>
      </c>
      <c r="E8" s="21">
        <f t="shared" si="2"/>
        <v>0</v>
      </c>
      <c r="F8" s="19">
        <v>0</v>
      </c>
      <c r="G8" s="20">
        <v>25.681999999999999</v>
      </c>
      <c r="H8" s="21">
        <f t="shared" si="3"/>
        <v>0</v>
      </c>
      <c r="I8" s="12">
        <f t="shared" si="4"/>
        <v>0</v>
      </c>
      <c r="K8" s="5">
        <v>5</v>
      </c>
      <c r="L8" s="5">
        <v>25.79</v>
      </c>
      <c r="M8" s="5">
        <v>1</v>
      </c>
      <c r="N8" s="5">
        <f>151.8*((21.728-21)/10)*1.2</f>
        <v>13.26124800000003</v>
      </c>
      <c r="O8" s="5">
        <f t="shared" si="0"/>
        <v>0.44204160000000103</v>
      </c>
      <c r="P8">
        <f t="shared" si="5"/>
        <v>79.567488000000182</v>
      </c>
      <c r="Q8" s="12"/>
      <c r="R8" s="28">
        <v>5</v>
      </c>
      <c r="S8" s="28">
        <v>26.75</v>
      </c>
      <c r="T8" s="28">
        <v>0</v>
      </c>
      <c r="U8" s="30">
        <v>0</v>
      </c>
      <c r="V8" s="28">
        <f t="shared" si="6"/>
        <v>0</v>
      </c>
      <c r="W8" s="31">
        <v>0</v>
      </c>
      <c r="X8" s="28">
        <v>0</v>
      </c>
      <c r="Y8">
        <f t="shared" si="7"/>
        <v>0</v>
      </c>
      <c r="AA8" s="2">
        <v>5</v>
      </c>
      <c r="AB8" s="2">
        <v>26.75</v>
      </c>
      <c r="AC8" s="2">
        <v>1</v>
      </c>
      <c r="AD8" s="2">
        <f>151.8*((21.874-21)/10)*1.2</f>
        <v>15.920783999999978</v>
      </c>
      <c r="AE8" s="2">
        <f t="shared" si="1"/>
        <v>0.5306927999999993</v>
      </c>
      <c r="AF8">
        <f t="shared" si="8"/>
        <v>95.524703999999872</v>
      </c>
      <c r="AG8" s="12"/>
    </row>
    <row r="9" spans="1:33" x14ac:dyDescent="0.3">
      <c r="A9" s="21">
        <v>6</v>
      </c>
      <c r="B9" s="21">
        <v>25.96</v>
      </c>
      <c r="C9" s="21">
        <v>0</v>
      </c>
      <c r="D9" s="21">
        <v>0</v>
      </c>
      <c r="E9" s="21">
        <f t="shared" si="2"/>
        <v>0</v>
      </c>
      <c r="F9" s="19">
        <v>0</v>
      </c>
      <c r="G9" s="20"/>
      <c r="H9" s="21">
        <f t="shared" si="3"/>
        <v>0</v>
      </c>
      <c r="I9" s="12">
        <f t="shared" si="4"/>
        <v>0</v>
      </c>
      <c r="K9" s="5">
        <v>6</v>
      </c>
      <c r="L9" s="5">
        <v>25.96</v>
      </c>
      <c r="M9" s="5">
        <v>1</v>
      </c>
      <c r="N9" s="5">
        <f>151.8*((21.753-21)/10)*1.2</f>
        <v>13.716648000000003</v>
      </c>
      <c r="O9" s="5">
        <f t="shared" si="0"/>
        <v>0.45722160000000012</v>
      </c>
      <c r="P9">
        <f t="shared" si="5"/>
        <v>82.29988800000001</v>
      </c>
      <c r="Q9" s="12"/>
      <c r="R9" s="28">
        <v>6</v>
      </c>
      <c r="S9" s="28">
        <v>27.06</v>
      </c>
      <c r="T9" s="28">
        <v>0</v>
      </c>
      <c r="U9" s="30">
        <v>0</v>
      </c>
      <c r="V9" s="28">
        <f t="shared" si="6"/>
        <v>0</v>
      </c>
      <c r="W9" s="31">
        <v>0</v>
      </c>
      <c r="X9" s="28">
        <v>0</v>
      </c>
      <c r="Y9">
        <f t="shared" si="7"/>
        <v>0</v>
      </c>
      <c r="AA9" s="2">
        <v>6</v>
      </c>
      <c r="AB9" s="2">
        <v>27.06</v>
      </c>
      <c r="AC9" s="2">
        <v>1</v>
      </c>
      <c r="AD9" s="2">
        <f>151.8*((21.92-21)/10)*1.2</f>
        <v>16.758720000000032</v>
      </c>
      <c r="AE9" s="2">
        <f t="shared" si="1"/>
        <v>0.55862400000000112</v>
      </c>
      <c r="AF9">
        <f t="shared" si="8"/>
        <v>100.55232000000019</v>
      </c>
      <c r="AG9" s="12"/>
    </row>
    <row r="10" spans="1:33" x14ac:dyDescent="0.3">
      <c r="A10" s="21">
        <v>7</v>
      </c>
      <c r="B10" s="21">
        <v>26.88</v>
      </c>
      <c r="C10" s="21">
        <v>0</v>
      </c>
      <c r="D10" s="21">
        <v>0</v>
      </c>
      <c r="E10" s="21">
        <f t="shared" si="2"/>
        <v>0</v>
      </c>
      <c r="F10" s="19">
        <v>0</v>
      </c>
      <c r="G10" s="20"/>
      <c r="H10" s="21">
        <f t="shared" si="3"/>
        <v>0</v>
      </c>
      <c r="I10" s="12">
        <f t="shared" si="4"/>
        <v>0</v>
      </c>
      <c r="K10" s="5">
        <v>7</v>
      </c>
      <c r="L10" s="5">
        <v>26.88</v>
      </c>
      <c r="M10" s="5">
        <v>1</v>
      </c>
      <c r="N10" s="5">
        <f>151.8*((21.891-21)/10)*1.2</f>
        <v>16.230455999999968</v>
      </c>
      <c r="O10" s="5">
        <f t="shared" si="0"/>
        <v>0.54101519999999892</v>
      </c>
      <c r="P10">
        <f t="shared" si="5"/>
        <v>97.382735999999809</v>
      </c>
      <c r="Q10" s="12"/>
      <c r="R10" s="28">
        <v>7</v>
      </c>
      <c r="S10" s="28">
        <v>27.7</v>
      </c>
      <c r="T10" s="28">
        <v>0</v>
      </c>
      <c r="U10" s="30">
        <v>0</v>
      </c>
      <c r="V10" s="28">
        <f t="shared" si="6"/>
        <v>0</v>
      </c>
      <c r="W10" s="31">
        <v>0</v>
      </c>
      <c r="X10" s="28">
        <v>0</v>
      </c>
      <c r="Y10">
        <f t="shared" si="7"/>
        <v>0</v>
      </c>
      <c r="AA10" s="2">
        <v>7</v>
      </c>
      <c r="AB10" s="2">
        <v>27.7</v>
      </c>
      <c r="AC10" s="2">
        <v>1</v>
      </c>
      <c r="AD10" s="2">
        <f>151.8*((22.016-21)/10)*1.2</f>
        <v>18.507455999999969</v>
      </c>
      <c r="AE10" s="2">
        <f t="shared" si="1"/>
        <v>0.616915199999999</v>
      </c>
      <c r="AF10">
        <f t="shared" si="8"/>
        <v>111.04473599999982</v>
      </c>
      <c r="AG10" s="12"/>
    </row>
    <row r="11" spans="1:33" x14ac:dyDescent="0.3">
      <c r="A11" s="21">
        <v>8</v>
      </c>
      <c r="B11" s="21">
        <v>27.89</v>
      </c>
      <c r="C11" s="21">
        <v>0</v>
      </c>
      <c r="D11" s="21">
        <v>0</v>
      </c>
      <c r="E11" s="21">
        <f t="shared" si="2"/>
        <v>0</v>
      </c>
      <c r="F11" s="19">
        <v>0</v>
      </c>
      <c r="G11" s="20"/>
      <c r="H11" s="21">
        <f t="shared" si="3"/>
        <v>0</v>
      </c>
      <c r="I11" s="12">
        <f t="shared" si="4"/>
        <v>0</v>
      </c>
      <c r="K11" s="5">
        <v>8</v>
      </c>
      <c r="L11" s="5">
        <v>27.89</v>
      </c>
      <c r="M11" s="5">
        <v>1</v>
      </c>
      <c r="N11" s="5">
        <f>151.8*((22.044-21)/10)*1.2</f>
        <v>19.01750400000001</v>
      </c>
      <c r="O11" s="5">
        <f t="shared" si="0"/>
        <v>0.63391680000000028</v>
      </c>
      <c r="P11">
        <f t="shared" si="5"/>
        <v>114.10502400000006</v>
      </c>
      <c r="Q11" s="12"/>
      <c r="R11" s="28">
        <v>8</v>
      </c>
      <c r="S11" s="28">
        <v>29.43</v>
      </c>
      <c r="T11" s="28">
        <v>0</v>
      </c>
      <c r="U11" s="30">
        <v>0</v>
      </c>
      <c r="V11" s="28">
        <f t="shared" si="6"/>
        <v>0</v>
      </c>
      <c r="W11" s="31">
        <v>0</v>
      </c>
      <c r="X11" s="28">
        <v>0</v>
      </c>
      <c r="Y11">
        <f t="shared" si="7"/>
        <v>0</v>
      </c>
      <c r="AA11" s="2">
        <v>8</v>
      </c>
      <c r="AB11" s="2">
        <v>29.43</v>
      </c>
      <c r="AC11" s="2">
        <v>1</v>
      </c>
      <c r="AD11" s="2">
        <f>151.8*((22.275-21)/10)*1.2</f>
        <v>23.225399999999976</v>
      </c>
      <c r="AE11" s="2">
        <f t="shared" si="1"/>
        <v>0.7741799999999992</v>
      </c>
      <c r="AF11">
        <f t="shared" si="8"/>
        <v>139.35239999999985</v>
      </c>
      <c r="AG11" s="12"/>
    </row>
    <row r="12" spans="1:33" x14ac:dyDescent="0.3">
      <c r="A12" s="21">
        <v>9</v>
      </c>
      <c r="B12" s="21">
        <v>28.89</v>
      </c>
      <c r="C12" s="21">
        <v>0</v>
      </c>
      <c r="D12" s="21">
        <v>0</v>
      </c>
      <c r="E12" s="21">
        <f t="shared" si="2"/>
        <v>0</v>
      </c>
      <c r="F12" s="19">
        <v>0</v>
      </c>
      <c r="G12" s="20"/>
      <c r="H12" s="21">
        <f t="shared" si="3"/>
        <v>0</v>
      </c>
      <c r="I12" s="12">
        <f t="shared" si="4"/>
        <v>0</v>
      </c>
      <c r="K12" s="5">
        <v>9</v>
      </c>
      <c r="L12" s="5">
        <v>28.89</v>
      </c>
      <c r="M12" s="5">
        <v>1</v>
      </c>
      <c r="N12" s="5">
        <f>151.8*((22.196-21)/10)*1.2</f>
        <v>21.786336000000027</v>
      </c>
      <c r="O12" s="5">
        <f t="shared" si="0"/>
        <v>0.72621120000000094</v>
      </c>
      <c r="P12">
        <f t="shared" si="5"/>
        <v>130.71801600000015</v>
      </c>
      <c r="Q12" s="12"/>
      <c r="R12" s="28">
        <v>9</v>
      </c>
      <c r="S12" s="28">
        <v>29.43</v>
      </c>
      <c r="T12" s="28">
        <v>0</v>
      </c>
      <c r="U12" s="30">
        <v>0</v>
      </c>
      <c r="V12" s="28">
        <f t="shared" si="6"/>
        <v>0</v>
      </c>
      <c r="W12" s="31">
        <v>0</v>
      </c>
      <c r="X12" s="28">
        <v>0</v>
      </c>
      <c r="Y12">
        <f t="shared" si="7"/>
        <v>0</v>
      </c>
      <c r="AA12" s="2">
        <v>9</v>
      </c>
      <c r="AB12" s="2">
        <v>29.43</v>
      </c>
      <c r="AC12" s="2">
        <v>1</v>
      </c>
      <c r="AD12" s="2">
        <f>151.8*((22.281-21)/10)*1.2</f>
        <v>23.334695999999976</v>
      </c>
      <c r="AE12" s="2">
        <f t="shared" si="1"/>
        <v>0.77782319999999916</v>
      </c>
      <c r="AF12">
        <f t="shared" si="8"/>
        <v>140.00817599999985</v>
      </c>
      <c r="AG12" s="12"/>
    </row>
    <row r="13" spans="1:33" x14ac:dyDescent="0.3">
      <c r="A13" s="25">
        <v>10</v>
      </c>
      <c r="B13" s="25">
        <v>29.65</v>
      </c>
      <c r="C13" s="25">
        <v>0</v>
      </c>
      <c r="D13" s="26">
        <f>151.8*((29.65-21)/10)*1.2</f>
        <v>157.56839999999997</v>
      </c>
      <c r="E13" s="25">
        <f t="shared" si="2"/>
        <v>5.2522799999999989</v>
      </c>
      <c r="F13" s="19">
        <v>0</v>
      </c>
      <c r="G13" s="20"/>
      <c r="H13" s="21">
        <f t="shared" si="3"/>
        <v>0</v>
      </c>
      <c r="I13" s="12">
        <f t="shared" si="4"/>
        <v>945.41039999999975</v>
      </c>
      <c r="K13" s="5">
        <v>10</v>
      </c>
      <c r="L13" s="5">
        <v>29.65</v>
      </c>
      <c r="M13" s="5">
        <v>1</v>
      </c>
      <c r="N13" s="5">
        <f>151.8*((22.312-21)/10)*1.2</f>
        <v>23.899392000000024</v>
      </c>
      <c r="O13" s="5">
        <f t="shared" si="0"/>
        <v>0.79664640000000075</v>
      </c>
      <c r="P13">
        <f t="shared" si="5"/>
        <v>143.39635200000015</v>
      </c>
      <c r="R13" s="25">
        <v>10</v>
      </c>
      <c r="S13" s="25">
        <v>30.09</v>
      </c>
      <c r="T13" s="25">
        <v>0</v>
      </c>
      <c r="U13" s="32">
        <f>151.8*((S13-21)/10)*1.2</f>
        <v>165.58344000000002</v>
      </c>
      <c r="V13" s="25">
        <f t="shared" si="6"/>
        <v>5.5194480000000006</v>
      </c>
      <c r="W13" s="31">
        <v>0</v>
      </c>
      <c r="X13" s="28">
        <v>0</v>
      </c>
      <c r="Y13">
        <f t="shared" si="7"/>
        <v>993.5006400000002</v>
      </c>
      <c r="AA13" s="2">
        <v>10</v>
      </c>
      <c r="AB13" s="2">
        <v>30.09</v>
      </c>
      <c r="AC13" s="2">
        <v>1</v>
      </c>
      <c r="AD13" s="2">
        <f>151.8*((22.379-21)/10)*1.2</f>
        <v>25.119864000000028</v>
      </c>
      <c r="AE13" s="2">
        <f t="shared" si="1"/>
        <v>0.83732880000000098</v>
      </c>
      <c r="AF13">
        <f t="shared" si="8"/>
        <v>150.71918400000015</v>
      </c>
      <c r="AG13" s="12"/>
    </row>
    <row r="14" spans="1:33" x14ac:dyDescent="0.3">
      <c r="A14" s="21">
        <v>11</v>
      </c>
      <c r="B14" s="21">
        <v>30.13</v>
      </c>
      <c r="C14" s="21">
        <v>0</v>
      </c>
      <c r="D14" s="19">
        <f>151.8*((22.389-21)/10)*1.2</f>
        <v>25.302023999999992</v>
      </c>
      <c r="E14" s="21">
        <f t="shared" si="2"/>
        <v>0.84340079999999973</v>
      </c>
      <c r="F14" s="19">
        <v>0</v>
      </c>
      <c r="G14" s="20"/>
      <c r="H14" s="21">
        <f t="shared" si="3"/>
        <v>0</v>
      </c>
      <c r="I14" s="12">
        <f t="shared" si="4"/>
        <v>151.81214399999996</v>
      </c>
      <c r="K14" s="5">
        <v>11</v>
      </c>
      <c r="L14" s="5">
        <v>30.13</v>
      </c>
      <c r="M14" s="5">
        <v>1</v>
      </c>
      <c r="N14" s="5">
        <f>151.8*((22.385-21)/10)*1.2</f>
        <v>25.229160000000029</v>
      </c>
      <c r="O14" s="5">
        <f t="shared" si="0"/>
        <v>0.84097200000000094</v>
      </c>
      <c r="P14">
        <f t="shared" si="5"/>
        <v>151.37496000000016</v>
      </c>
      <c r="Q14" s="12"/>
      <c r="R14" s="28">
        <v>11</v>
      </c>
      <c r="S14" s="28">
        <v>30.61</v>
      </c>
      <c r="T14" s="28">
        <v>0</v>
      </c>
      <c r="U14" s="31">
        <f>151.8*((22.462-21)/10)*1.2</f>
        <v>26.631791999999994</v>
      </c>
      <c r="V14" s="28">
        <f t="shared" si="6"/>
        <v>0.8877263999999998</v>
      </c>
      <c r="W14" s="31">
        <v>0</v>
      </c>
      <c r="X14" s="28">
        <v>0</v>
      </c>
      <c r="Y14">
        <f t="shared" si="7"/>
        <v>159.79075199999997</v>
      </c>
      <c r="AA14" s="2">
        <v>11</v>
      </c>
      <c r="AB14" s="2">
        <v>30.61</v>
      </c>
      <c r="AC14" s="2">
        <v>1</v>
      </c>
      <c r="AD14" s="2">
        <f>151.8*((22.458-21)/10)*1.2</f>
        <v>26.558927999999973</v>
      </c>
      <c r="AE14" s="2">
        <f t="shared" si="1"/>
        <v>0.88529759999999913</v>
      </c>
      <c r="AF14">
        <f t="shared" si="8"/>
        <v>159.35356799999983</v>
      </c>
    </row>
    <row r="15" spans="1:33" x14ac:dyDescent="0.3">
      <c r="A15" s="21">
        <v>12</v>
      </c>
      <c r="B15" s="21">
        <v>30.46</v>
      </c>
      <c r="C15" s="21">
        <v>0</v>
      </c>
      <c r="D15" s="19">
        <f>151.8*((22.436-21)/10)*1.2</f>
        <v>26.158176000000001</v>
      </c>
      <c r="E15" s="21">
        <f t="shared" si="2"/>
        <v>0.87193920000000003</v>
      </c>
      <c r="F15" s="19">
        <v>0</v>
      </c>
      <c r="G15" s="20"/>
      <c r="H15" s="21">
        <f t="shared" si="3"/>
        <v>0</v>
      </c>
      <c r="I15" s="12">
        <f t="shared" si="4"/>
        <v>156.94905600000001</v>
      </c>
      <c r="K15" s="5">
        <v>12</v>
      </c>
      <c r="L15" s="5">
        <v>30.46</v>
      </c>
      <c r="M15" s="5">
        <v>1</v>
      </c>
      <c r="N15" s="5">
        <f>151.8*((22.436-21)/10)*1.2</f>
        <v>26.158176000000001</v>
      </c>
      <c r="O15" s="5">
        <f t="shared" si="0"/>
        <v>0.87193920000000003</v>
      </c>
      <c r="P15">
        <f t="shared" si="5"/>
        <v>156.94905600000001</v>
      </c>
      <c r="Q15" s="12"/>
      <c r="R15" s="28">
        <v>12</v>
      </c>
      <c r="S15" s="28">
        <v>30.88</v>
      </c>
      <c r="T15" s="28">
        <v>0</v>
      </c>
      <c r="U15" s="31">
        <f>151.8*((22.5-21)/10)*1.2</f>
        <v>27.323999999999998</v>
      </c>
      <c r="V15" s="28">
        <f t="shared" si="6"/>
        <v>0.91079999999999994</v>
      </c>
      <c r="W15" s="31">
        <v>0</v>
      </c>
      <c r="X15" s="28">
        <v>0</v>
      </c>
      <c r="Y15">
        <f t="shared" si="7"/>
        <v>163.94399999999999</v>
      </c>
      <c r="AA15" s="2">
        <v>12</v>
      </c>
      <c r="AB15" s="2">
        <v>30.88</v>
      </c>
      <c r="AC15" s="2">
        <v>1</v>
      </c>
      <c r="AD15" s="2">
        <f>151.8*((22.5-21)/10)*1.2</f>
        <v>27.323999999999998</v>
      </c>
      <c r="AE15" s="2">
        <f t="shared" si="1"/>
        <v>0.91079999999999994</v>
      </c>
      <c r="AF15">
        <f t="shared" si="8"/>
        <v>163.94399999999999</v>
      </c>
      <c r="AG15" s="12"/>
    </row>
    <row r="16" spans="1:33" x14ac:dyDescent="0.3">
      <c r="A16" s="21">
        <v>13</v>
      </c>
      <c r="B16" s="21">
        <v>30.12</v>
      </c>
      <c r="C16" s="21">
        <v>0</v>
      </c>
      <c r="D16" s="19">
        <f>151.8*((22.387-21)/10)*1.2</f>
        <v>25.265592000000009</v>
      </c>
      <c r="E16" s="21">
        <f t="shared" si="2"/>
        <v>0.84218640000000033</v>
      </c>
      <c r="F16" s="19">
        <v>0</v>
      </c>
      <c r="G16" s="20"/>
      <c r="H16" s="21">
        <f t="shared" si="3"/>
        <v>0</v>
      </c>
      <c r="I16" s="12">
        <f t="shared" si="4"/>
        <v>151.59355200000005</v>
      </c>
      <c r="K16" s="5">
        <v>13</v>
      </c>
      <c r="L16" s="5">
        <v>30.12</v>
      </c>
      <c r="M16" s="5">
        <v>1</v>
      </c>
      <c r="N16" s="5">
        <f>151.8*((22.387-21)/10)*1.2</f>
        <v>25.265592000000009</v>
      </c>
      <c r="O16" s="5">
        <f t="shared" si="0"/>
        <v>0.84218640000000033</v>
      </c>
      <c r="P16">
        <f t="shared" si="5"/>
        <v>151.59355200000005</v>
      </c>
      <c r="Q16" s="12"/>
      <c r="R16" s="28">
        <v>13</v>
      </c>
      <c r="S16" s="28">
        <v>30.79</v>
      </c>
      <c r="T16" s="28">
        <v>0</v>
      </c>
      <c r="U16" s="31">
        <f>151.8*((22.488-21)/10)*1.2</f>
        <v>27.105407999999994</v>
      </c>
      <c r="V16" s="28">
        <f t="shared" si="6"/>
        <v>0.90351359999999981</v>
      </c>
      <c r="W16" s="31">
        <v>0</v>
      </c>
      <c r="X16" s="28">
        <v>0</v>
      </c>
      <c r="Y16">
        <f t="shared" si="7"/>
        <v>162.63244799999995</v>
      </c>
      <c r="AA16" s="2">
        <v>13</v>
      </c>
      <c r="AB16" s="2">
        <v>30.79</v>
      </c>
      <c r="AC16" s="2">
        <v>1</v>
      </c>
      <c r="AD16" s="2">
        <f>151.8*((22.448-21)/10)*1.2</f>
        <v>26.376768000000009</v>
      </c>
      <c r="AE16" s="2">
        <f t="shared" si="1"/>
        <v>0.87922560000000027</v>
      </c>
      <c r="AF16">
        <f t="shared" si="8"/>
        <v>158.26060800000005</v>
      </c>
      <c r="AG16" s="12"/>
    </row>
    <row r="17" spans="1:33" x14ac:dyDescent="0.3">
      <c r="A17" s="21">
        <v>14</v>
      </c>
      <c r="B17" s="21">
        <v>29.72</v>
      </c>
      <c r="C17" s="21">
        <v>0</v>
      </c>
      <c r="D17" s="19">
        <f>151.8*((22.326-21)/10)*1.2</f>
        <v>24.154416000000012</v>
      </c>
      <c r="E17" s="21">
        <f t="shared" si="2"/>
        <v>0.8051472000000004</v>
      </c>
      <c r="F17" s="19">
        <v>0</v>
      </c>
      <c r="G17" s="20"/>
      <c r="H17" s="21">
        <f t="shared" si="3"/>
        <v>0</v>
      </c>
      <c r="I17" s="12">
        <f t="shared" si="4"/>
        <v>144.92649600000007</v>
      </c>
      <c r="K17" s="5">
        <v>14</v>
      </c>
      <c r="L17" s="5">
        <v>29.72</v>
      </c>
      <c r="M17" s="5">
        <v>1</v>
      </c>
      <c r="N17" s="5">
        <f>151.8*((22.326-21)/10)*1.2</f>
        <v>24.154416000000012</v>
      </c>
      <c r="O17" s="5">
        <f t="shared" si="0"/>
        <v>0.8051472000000004</v>
      </c>
      <c r="P17">
        <f t="shared" si="5"/>
        <v>144.92649600000007</v>
      </c>
      <c r="Q17" s="12"/>
      <c r="R17" s="28">
        <v>14</v>
      </c>
      <c r="S17" s="28">
        <v>30.42</v>
      </c>
      <c r="T17" s="28">
        <v>0</v>
      </c>
      <c r="U17" s="31">
        <f>151.8*((22.432-21)/10)*1.2</f>
        <v>26.085311999999977</v>
      </c>
      <c r="V17" s="28">
        <f t="shared" si="6"/>
        <v>0.86951039999999924</v>
      </c>
      <c r="W17" s="31">
        <v>0</v>
      </c>
      <c r="X17" s="28">
        <v>0</v>
      </c>
      <c r="Y17">
        <f t="shared" si="7"/>
        <v>156.51187199999987</v>
      </c>
      <c r="AA17" s="2">
        <v>14</v>
      </c>
      <c r="AB17" s="2">
        <v>30.42</v>
      </c>
      <c r="AC17" s="2">
        <v>1</v>
      </c>
      <c r="AD17" s="2">
        <f>151.8*((22.432-21)/10)*1.2</f>
        <v>26.085311999999977</v>
      </c>
      <c r="AE17" s="2">
        <f t="shared" si="1"/>
        <v>0.86951039999999924</v>
      </c>
      <c r="AF17">
        <f t="shared" si="8"/>
        <v>156.51187199999987</v>
      </c>
      <c r="AG17" s="12"/>
    </row>
    <row r="18" spans="1:33" x14ac:dyDescent="0.3">
      <c r="A18" s="21">
        <v>15</v>
      </c>
      <c r="B18" s="21">
        <v>29.13</v>
      </c>
      <c r="C18" s="21">
        <v>0</v>
      </c>
      <c r="D18" s="19">
        <f>151.8*((22.237-21)/10)*1.2</f>
        <v>22.533191999999971</v>
      </c>
      <c r="E18" s="21">
        <f t="shared" si="2"/>
        <v>0.75110639999999906</v>
      </c>
      <c r="F18" s="19">
        <v>0</v>
      </c>
      <c r="G18" s="20"/>
      <c r="H18" s="21">
        <f t="shared" si="3"/>
        <v>0</v>
      </c>
      <c r="I18" s="12">
        <f t="shared" si="4"/>
        <v>135.19915199999983</v>
      </c>
      <c r="K18" s="5">
        <v>15</v>
      </c>
      <c r="L18" s="5">
        <v>29.13</v>
      </c>
      <c r="M18" s="5">
        <v>1</v>
      </c>
      <c r="N18" s="5">
        <f>151.8*((22.237-21)/10)*1.2</f>
        <v>22.533191999999971</v>
      </c>
      <c r="O18" s="5">
        <f t="shared" si="0"/>
        <v>0.75110639999999906</v>
      </c>
      <c r="P18">
        <f t="shared" si="5"/>
        <v>135.19915199999983</v>
      </c>
      <c r="Q18" s="12"/>
      <c r="R18" s="28">
        <v>15</v>
      </c>
      <c r="S18" s="28">
        <v>29.87</v>
      </c>
      <c r="T18" s="28">
        <v>0</v>
      </c>
      <c r="U18" s="31">
        <f>151.8*((22.349-21)/10)*1.2</f>
        <v>24.573384000000004</v>
      </c>
      <c r="V18" s="28">
        <f t="shared" si="6"/>
        <v>0.8191128000000002</v>
      </c>
      <c r="W18" s="31">
        <v>0</v>
      </c>
      <c r="X18" s="28">
        <v>0</v>
      </c>
      <c r="Y18">
        <f t="shared" si="7"/>
        <v>147.44030400000003</v>
      </c>
      <c r="AA18" s="2">
        <v>15</v>
      </c>
      <c r="AB18" s="2">
        <v>29.87</v>
      </c>
      <c r="AC18" s="2">
        <v>1</v>
      </c>
      <c r="AD18" s="2">
        <f>151.8*((22.349-21)/10)*1.2</f>
        <v>24.573384000000004</v>
      </c>
      <c r="AE18" s="2">
        <f t="shared" si="1"/>
        <v>0.8191128000000002</v>
      </c>
      <c r="AF18">
        <f t="shared" si="8"/>
        <v>147.44030400000003</v>
      </c>
      <c r="AG18" s="12"/>
    </row>
    <row r="19" spans="1:33" ht="15" customHeight="1" x14ac:dyDescent="0.3">
      <c r="A19" s="21">
        <v>16</v>
      </c>
      <c r="B19" s="21">
        <v>28.38</v>
      </c>
      <c r="C19" s="21">
        <v>0</v>
      </c>
      <c r="D19" s="19">
        <f>151.8*((22.124-21)/10)*1.2</f>
        <v>20.474783999999978</v>
      </c>
      <c r="E19" s="21">
        <f t="shared" si="2"/>
        <v>0.68249279999999923</v>
      </c>
      <c r="F19" s="19">
        <v>0</v>
      </c>
      <c r="G19" s="20"/>
      <c r="H19" s="21">
        <f t="shared" si="3"/>
        <v>0</v>
      </c>
      <c r="I19" s="12">
        <f t="shared" si="4"/>
        <v>122.84870399999987</v>
      </c>
      <c r="K19" s="5">
        <v>16</v>
      </c>
      <c r="L19" s="5">
        <v>28.38</v>
      </c>
      <c r="M19" s="5">
        <v>1</v>
      </c>
      <c r="N19" s="5">
        <f>151.8*((22.124-21)/10)*1.2</f>
        <v>20.474783999999978</v>
      </c>
      <c r="O19" s="5">
        <f t="shared" si="0"/>
        <v>0.68249279999999923</v>
      </c>
      <c r="P19">
        <f t="shared" si="5"/>
        <v>122.84870399999987</v>
      </c>
      <c r="Q19" s="12"/>
      <c r="R19" s="28">
        <v>16</v>
      </c>
      <c r="S19" s="28">
        <v>29.17</v>
      </c>
      <c r="T19" s="28">
        <v>0</v>
      </c>
      <c r="U19" s="31">
        <f>151.8*((22.244-21)/10)*1.2</f>
        <v>22.660703999999999</v>
      </c>
      <c r="V19" s="28">
        <f t="shared" si="6"/>
        <v>0.75535679999999994</v>
      </c>
      <c r="W19" s="31">
        <v>0</v>
      </c>
      <c r="X19" s="28">
        <f t="shared" ref="X19:X26" si="9">W19/30</f>
        <v>0</v>
      </c>
      <c r="Y19">
        <f t="shared" si="7"/>
        <v>135.964224</v>
      </c>
      <c r="AA19" s="2">
        <v>16</v>
      </c>
      <c r="AB19" s="2">
        <v>29.17</v>
      </c>
      <c r="AC19" s="2">
        <v>1</v>
      </c>
      <c r="AD19" s="2">
        <f>151.8*((22.244-21)/10)*1.2</f>
        <v>22.660703999999999</v>
      </c>
      <c r="AE19" s="2">
        <f t="shared" si="1"/>
        <v>0.75535679999999994</v>
      </c>
      <c r="AF19">
        <f t="shared" si="8"/>
        <v>135.964224</v>
      </c>
      <c r="AG19" s="12"/>
    </row>
    <row r="20" spans="1:33" x14ac:dyDescent="0.3">
      <c r="A20" s="21">
        <v>17</v>
      </c>
      <c r="B20" s="21">
        <v>27.47</v>
      </c>
      <c r="C20" s="21">
        <v>1</v>
      </c>
      <c r="D20" s="19">
        <f>151.8*((21.986-21)/10)*1.2</f>
        <v>17.960976000000013</v>
      </c>
      <c r="E20" s="21">
        <f t="shared" si="2"/>
        <v>0.59869920000000043</v>
      </c>
      <c r="F20" s="19">
        <f>151.8*((27.47-21)/10)*1.2</f>
        <v>117.85751999999998</v>
      </c>
      <c r="G20" s="20"/>
      <c r="H20" s="21">
        <f t="shared" si="3"/>
        <v>3.9285839999999994</v>
      </c>
      <c r="I20" s="12">
        <f t="shared" si="4"/>
        <v>107.76585600000007</v>
      </c>
      <c r="K20" s="5">
        <v>17</v>
      </c>
      <c r="L20" s="5">
        <v>27.47</v>
      </c>
      <c r="M20" s="5">
        <v>1</v>
      </c>
      <c r="N20" s="5">
        <f>151.8*((21.986-21)/10)*1.2</f>
        <v>17.960976000000013</v>
      </c>
      <c r="O20" s="5">
        <f t="shared" si="0"/>
        <v>0.59869920000000043</v>
      </c>
      <c r="P20">
        <f t="shared" si="5"/>
        <v>107.76585600000007</v>
      </c>
      <c r="Q20" s="12"/>
      <c r="R20" s="28">
        <v>17</v>
      </c>
      <c r="S20" s="28">
        <v>28.38</v>
      </c>
      <c r="T20" s="28">
        <v>1</v>
      </c>
      <c r="U20" s="31">
        <f>151.8*((22.124-21)/10)*1.2</f>
        <v>20.474783999999978</v>
      </c>
      <c r="V20" s="28">
        <f t="shared" si="6"/>
        <v>0.68249279999999923</v>
      </c>
      <c r="W20" s="31">
        <f>151.8*((28.38-21)/10)*1.2</f>
        <v>134.43407999999999</v>
      </c>
      <c r="X20" s="28">
        <f t="shared" si="9"/>
        <v>4.4811360000000002</v>
      </c>
      <c r="Y20">
        <f t="shared" si="7"/>
        <v>122.84870399999987</v>
      </c>
      <c r="AA20" s="2">
        <v>17</v>
      </c>
      <c r="AB20" s="2">
        <v>28.38</v>
      </c>
      <c r="AC20" s="2">
        <v>1</v>
      </c>
      <c r="AD20" s="2">
        <f>151.8*((22.124-21)/10)*1.2</f>
        <v>20.474783999999978</v>
      </c>
      <c r="AE20" s="2">
        <f t="shared" si="1"/>
        <v>0.68249279999999923</v>
      </c>
      <c r="AF20">
        <f t="shared" si="8"/>
        <v>122.84870399999987</v>
      </c>
      <c r="AG20" s="12"/>
    </row>
    <row r="21" spans="1:33" x14ac:dyDescent="0.3">
      <c r="A21" s="21">
        <v>18</v>
      </c>
      <c r="B21" s="21">
        <v>26.87</v>
      </c>
      <c r="C21" s="21">
        <v>1</v>
      </c>
      <c r="D21" s="19">
        <f>151.8*((21.894-21)/10)*1.2</f>
        <v>16.285103999999972</v>
      </c>
      <c r="E21" s="21">
        <f t="shared" si="2"/>
        <v>0.54283679999999912</v>
      </c>
      <c r="F21" s="19">
        <f>151.8*((21.896-21)/10)*1.2</f>
        <v>16.321536000000016</v>
      </c>
      <c r="G21" s="20"/>
      <c r="H21" s="21">
        <f t="shared" si="3"/>
        <v>0.54405120000000051</v>
      </c>
      <c r="I21" s="12">
        <f t="shared" si="4"/>
        <v>97.710623999999825</v>
      </c>
      <c r="K21" s="5">
        <v>18</v>
      </c>
      <c r="L21" s="5">
        <v>26.87</v>
      </c>
      <c r="M21" s="5">
        <v>1</v>
      </c>
      <c r="N21" s="5">
        <f>151.8*((21.894-21)/10)*1.2</f>
        <v>16.285103999999972</v>
      </c>
      <c r="O21" s="5">
        <f t="shared" si="0"/>
        <v>0.54283679999999912</v>
      </c>
      <c r="P21">
        <f t="shared" si="5"/>
        <v>97.710623999999825</v>
      </c>
      <c r="Q21" s="12"/>
      <c r="R21" s="28">
        <v>18</v>
      </c>
      <c r="S21" s="28">
        <v>27.73</v>
      </c>
      <c r="T21" s="28">
        <v>1</v>
      </c>
      <c r="U21" s="31">
        <f>151.8*((22.025-21)/10)*1.2</f>
        <v>18.671399999999974</v>
      </c>
      <c r="V21" s="28">
        <f t="shared" si="6"/>
        <v>0.62237999999999916</v>
      </c>
      <c r="W21" s="31">
        <f>151.8*((22.028-21)/10)*1.2</f>
        <v>18.726047999999977</v>
      </c>
      <c r="X21" s="28">
        <f t="shared" si="9"/>
        <v>0.62420159999999925</v>
      </c>
      <c r="Y21">
        <f t="shared" si="7"/>
        <v>112.02839999999983</v>
      </c>
      <c r="AA21" s="2">
        <v>18</v>
      </c>
      <c r="AB21" s="2">
        <v>27.73</v>
      </c>
      <c r="AC21" s="2">
        <v>1</v>
      </c>
      <c r="AD21" s="2">
        <f>151.8*((22.025-21)/10)*1.2</f>
        <v>18.671399999999974</v>
      </c>
      <c r="AE21" s="2">
        <f t="shared" si="1"/>
        <v>0.62237999999999916</v>
      </c>
      <c r="AF21">
        <f t="shared" si="8"/>
        <v>112.02839999999983</v>
      </c>
      <c r="AG21" s="12"/>
    </row>
    <row r="22" spans="1:33" x14ac:dyDescent="0.3">
      <c r="A22" s="21">
        <v>19</v>
      </c>
      <c r="B22" s="21">
        <v>26.69</v>
      </c>
      <c r="C22" s="21">
        <v>1</v>
      </c>
      <c r="D22" s="19">
        <f>151.8*((21.865-21)/10)*1.2</f>
        <v>15.75683999999997</v>
      </c>
      <c r="E22" s="21">
        <f t="shared" si="2"/>
        <v>0.52522799999999903</v>
      </c>
      <c r="F22" s="19">
        <f>151.8*((21.866-21)/10)*1.2</f>
        <v>15.775055999999996</v>
      </c>
      <c r="G22" s="20"/>
      <c r="H22" s="21">
        <f t="shared" si="3"/>
        <v>0.52583519999999984</v>
      </c>
      <c r="I22" s="12">
        <f t="shared" si="4"/>
        <v>94.541039999999825</v>
      </c>
      <c r="K22" s="5">
        <v>19</v>
      </c>
      <c r="L22" s="5">
        <v>26.69</v>
      </c>
      <c r="M22" s="5">
        <v>1</v>
      </c>
      <c r="N22" s="5">
        <f>151.8*((21.865-21)/10)*1.2</f>
        <v>15.75683999999997</v>
      </c>
      <c r="O22" s="5">
        <f t="shared" si="0"/>
        <v>0.52522799999999903</v>
      </c>
      <c r="P22">
        <f t="shared" si="5"/>
        <v>94.541039999999825</v>
      </c>
      <c r="Q22" s="12"/>
      <c r="R22" s="28">
        <v>19</v>
      </c>
      <c r="S22" s="28">
        <v>27.52</v>
      </c>
      <c r="T22" s="28">
        <v>1</v>
      </c>
      <c r="U22" s="31">
        <f>151.8*((21.992-21)/10)*1.2</f>
        <v>18.070272000000017</v>
      </c>
      <c r="V22" s="28">
        <f t="shared" si="6"/>
        <v>0.60234240000000061</v>
      </c>
      <c r="W22" s="31">
        <f>151.8*((21.992-21)/10)*1.2</f>
        <v>18.070272000000017</v>
      </c>
      <c r="X22" s="28">
        <f t="shared" si="9"/>
        <v>0.60234240000000061</v>
      </c>
      <c r="Y22">
        <f t="shared" si="7"/>
        <v>108.4216320000001</v>
      </c>
      <c r="AA22" s="2">
        <v>19</v>
      </c>
      <c r="AB22" s="2">
        <v>27.52</v>
      </c>
      <c r="AC22" s="2">
        <v>1</v>
      </c>
      <c r="AD22" s="2">
        <f>151.8*((21.992-21)/10)*1.2</f>
        <v>18.070272000000017</v>
      </c>
      <c r="AE22" s="2">
        <f t="shared" si="1"/>
        <v>0.60234240000000061</v>
      </c>
      <c r="AF22">
        <f t="shared" si="8"/>
        <v>108.4216320000001</v>
      </c>
      <c r="AG22" s="12"/>
    </row>
    <row r="23" spans="1:33" x14ac:dyDescent="0.3">
      <c r="A23" s="21">
        <v>20</v>
      </c>
      <c r="B23" s="21">
        <v>26.61</v>
      </c>
      <c r="C23" s="21">
        <v>1</v>
      </c>
      <c r="D23" s="19">
        <f>151.8*((21.853-21)/10)*1.2</f>
        <v>15.538248000000028</v>
      </c>
      <c r="E23" s="21">
        <f t="shared" si="2"/>
        <v>0.51794160000000089</v>
      </c>
      <c r="F23" s="19">
        <f>151.8*((21.853-21)/10)*1.2</f>
        <v>15.538248000000028</v>
      </c>
      <c r="G23" s="20"/>
      <c r="H23" s="21">
        <f t="shared" si="3"/>
        <v>0.51794160000000089</v>
      </c>
      <c r="I23" s="12">
        <f t="shared" si="4"/>
        <v>93.229488000000174</v>
      </c>
      <c r="K23" s="5">
        <v>20</v>
      </c>
      <c r="L23" s="5">
        <v>26.61</v>
      </c>
      <c r="M23" s="5">
        <v>1</v>
      </c>
      <c r="N23" s="5">
        <f>151.8*((21.853-21)/10)*1.2</f>
        <v>15.538248000000028</v>
      </c>
      <c r="O23" s="5">
        <f t="shared" si="0"/>
        <v>0.51794160000000089</v>
      </c>
      <c r="P23">
        <f t="shared" si="5"/>
        <v>93.229488000000174</v>
      </c>
      <c r="Q23" s="12"/>
      <c r="R23" s="28">
        <v>20</v>
      </c>
      <c r="S23" s="28">
        <v>27.41</v>
      </c>
      <c r="T23" s="28">
        <v>1</v>
      </c>
      <c r="U23" s="31">
        <f>151.8*((21.975-21)/10)*1.2</f>
        <v>17.760600000000025</v>
      </c>
      <c r="V23" s="28">
        <f t="shared" si="6"/>
        <v>0.59202000000000088</v>
      </c>
      <c r="W23" s="31">
        <f>151.8*((21.975-21)/10)*1.2</f>
        <v>17.760600000000025</v>
      </c>
      <c r="X23" s="28">
        <f t="shared" si="9"/>
        <v>0.59202000000000088</v>
      </c>
      <c r="Y23">
        <f t="shared" si="7"/>
        <v>106.56360000000015</v>
      </c>
      <c r="AA23" s="2">
        <v>20</v>
      </c>
      <c r="AB23" s="2">
        <v>27.41</v>
      </c>
      <c r="AC23" s="2">
        <v>1</v>
      </c>
      <c r="AD23" s="2">
        <f>151.8*((21.975-21)/10)*1.2</f>
        <v>17.760600000000025</v>
      </c>
      <c r="AE23" s="2">
        <f t="shared" si="1"/>
        <v>0.59202000000000088</v>
      </c>
      <c r="AF23">
        <f t="shared" si="8"/>
        <v>106.56360000000015</v>
      </c>
      <c r="AG23" s="12"/>
    </row>
    <row r="24" spans="1:33" x14ac:dyDescent="0.3">
      <c r="A24" s="21">
        <v>21</v>
      </c>
      <c r="B24" s="21">
        <v>26.54</v>
      </c>
      <c r="C24" s="21">
        <v>1</v>
      </c>
      <c r="D24" s="19">
        <f>151.8*((21.842-21)/10)*1.2</f>
        <v>15.337871999999976</v>
      </c>
      <c r="E24" s="21">
        <f t="shared" si="2"/>
        <v>0.51126239999999923</v>
      </c>
      <c r="F24" s="19">
        <f>151.8*((21.842-21)/10)*1.2</f>
        <v>15.337871999999976</v>
      </c>
      <c r="G24" s="20"/>
      <c r="H24" s="21">
        <f t="shared" si="3"/>
        <v>0.51126239999999923</v>
      </c>
      <c r="I24" s="12">
        <f t="shared" si="4"/>
        <v>92.027231999999856</v>
      </c>
      <c r="K24" s="5">
        <v>21</v>
      </c>
      <c r="L24" s="5">
        <v>26.54</v>
      </c>
      <c r="M24" s="5">
        <v>1</v>
      </c>
      <c r="N24" s="5">
        <f>151.8*((21.842-21)/10)*1.2</f>
        <v>15.337871999999976</v>
      </c>
      <c r="O24" s="5">
        <f t="shared" si="0"/>
        <v>0.51126239999999923</v>
      </c>
      <c r="P24">
        <f t="shared" si="5"/>
        <v>92.027231999999856</v>
      </c>
      <c r="Q24" s="12"/>
      <c r="R24" s="28">
        <v>21</v>
      </c>
      <c r="S24" s="28">
        <v>27.37</v>
      </c>
      <c r="T24" s="28">
        <v>1</v>
      </c>
      <c r="U24" s="31">
        <f>151.8*((21.968-21)/10)*1.2</f>
        <v>17.633088000000001</v>
      </c>
      <c r="V24" s="28">
        <f t="shared" si="6"/>
        <v>0.5877696</v>
      </c>
      <c r="W24" s="31">
        <f>151.8*((21.968-21)/10)*1.2</f>
        <v>17.633088000000001</v>
      </c>
      <c r="X24" s="28">
        <f t="shared" si="9"/>
        <v>0.5877696</v>
      </c>
      <c r="Y24">
        <f t="shared" si="7"/>
        <v>105.798528</v>
      </c>
      <c r="AA24" s="2">
        <v>21</v>
      </c>
      <c r="AB24" s="2">
        <v>27.37</v>
      </c>
      <c r="AC24" s="2">
        <v>1</v>
      </c>
      <c r="AD24" s="2">
        <f>151.8*((21.968-21)/10)*1.2</f>
        <v>17.633088000000001</v>
      </c>
      <c r="AE24" s="2">
        <f t="shared" si="1"/>
        <v>0.5877696</v>
      </c>
      <c r="AF24">
        <f t="shared" si="8"/>
        <v>105.798528</v>
      </c>
      <c r="AG24" s="12"/>
    </row>
    <row r="25" spans="1:33" x14ac:dyDescent="0.3">
      <c r="A25" s="21">
        <v>22</v>
      </c>
      <c r="B25" s="21">
        <v>26.45</v>
      </c>
      <c r="C25" s="21">
        <v>1</v>
      </c>
      <c r="D25" s="19">
        <f>151.8*((21.829-21)/10)*1.2</f>
        <v>15.10106400000001</v>
      </c>
      <c r="E25" s="21">
        <f t="shared" si="2"/>
        <v>0.50336880000000028</v>
      </c>
      <c r="F25" s="19">
        <f>151.8*((21.829-21)/10)*1.2</f>
        <v>15.10106400000001</v>
      </c>
      <c r="G25" s="20"/>
      <c r="H25" s="21">
        <f t="shared" si="3"/>
        <v>0.50336880000000028</v>
      </c>
      <c r="I25" s="12">
        <f t="shared" si="4"/>
        <v>90.606384000000062</v>
      </c>
      <c r="K25" s="5">
        <v>22</v>
      </c>
      <c r="L25" s="5">
        <v>26.45</v>
      </c>
      <c r="M25" s="5">
        <v>1</v>
      </c>
      <c r="N25" s="5">
        <f>151.8*((21.829-21)/10)*1.2</f>
        <v>15.10106400000001</v>
      </c>
      <c r="O25" s="5">
        <f t="shared" si="0"/>
        <v>0.50336880000000028</v>
      </c>
      <c r="P25">
        <f t="shared" si="5"/>
        <v>90.606384000000062</v>
      </c>
      <c r="Q25" s="12"/>
      <c r="R25" s="28">
        <v>22</v>
      </c>
      <c r="S25" s="28">
        <v>27.3</v>
      </c>
      <c r="T25" s="28">
        <v>1</v>
      </c>
      <c r="U25" s="31">
        <f>151.8*((21.958-21)/10)*1.2</f>
        <v>17.450927999999973</v>
      </c>
      <c r="V25" s="28">
        <f t="shared" si="6"/>
        <v>0.58169759999999904</v>
      </c>
      <c r="W25" s="31">
        <f>151.8*((21.958-21)/10)*1.2</f>
        <v>17.450927999999973</v>
      </c>
      <c r="X25" s="28">
        <f t="shared" si="9"/>
        <v>0.58169759999999904</v>
      </c>
      <c r="Y25">
        <f t="shared" si="7"/>
        <v>104.70556799999983</v>
      </c>
      <c r="AA25" s="2">
        <v>22</v>
      </c>
      <c r="AB25" s="2">
        <v>27.3</v>
      </c>
      <c r="AC25" s="2">
        <v>1</v>
      </c>
      <c r="AD25" s="2">
        <f>151.8*((21.958-21)/10)*1.2</f>
        <v>17.450927999999973</v>
      </c>
      <c r="AE25" s="2">
        <f t="shared" si="1"/>
        <v>0.58169759999999904</v>
      </c>
      <c r="AF25">
        <f t="shared" si="8"/>
        <v>104.70556799999983</v>
      </c>
      <c r="AG25" s="12"/>
    </row>
    <row r="26" spans="1:33" x14ac:dyDescent="0.3">
      <c r="A26" s="21">
        <v>23</v>
      </c>
      <c r="B26" s="21">
        <v>26.33</v>
      </c>
      <c r="C26" s="21">
        <v>1</v>
      </c>
      <c r="D26" s="19">
        <f>151.8*((21.811-21)/10)*1.2</f>
        <v>14.773175999999998</v>
      </c>
      <c r="E26" s="21">
        <f t="shared" si="2"/>
        <v>0.49243919999999991</v>
      </c>
      <c r="F26" s="19">
        <f>151.8*((21.811-21)/10)*1.2</f>
        <v>14.773175999999998</v>
      </c>
      <c r="G26" s="20"/>
      <c r="H26" s="21">
        <f t="shared" si="3"/>
        <v>0.49243919999999991</v>
      </c>
      <c r="I26" s="12">
        <f t="shared" si="4"/>
        <v>88.639055999999982</v>
      </c>
      <c r="K26" s="5">
        <v>23</v>
      </c>
      <c r="L26" s="5">
        <v>26.33</v>
      </c>
      <c r="M26" s="5">
        <v>1</v>
      </c>
      <c r="N26" s="5">
        <f>151.8*((21.811-21)/10)*1.2</f>
        <v>14.773175999999998</v>
      </c>
      <c r="O26" s="5">
        <f t="shared" si="0"/>
        <v>0.49243919999999991</v>
      </c>
      <c r="P26">
        <f t="shared" si="5"/>
        <v>88.639055999999982</v>
      </c>
      <c r="Q26" s="12"/>
      <c r="R26" s="28">
        <v>23</v>
      </c>
      <c r="S26" s="28">
        <v>27.2</v>
      </c>
      <c r="T26" s="28">
        <v>1</v>
      </c>
      <c r="U26" s="31">
        <f>151.8*((21.943-21)/10)*1.2</f>
        <v>17.177688000000025</v>
      </c>
      <c r="V26" s="33">
        <f t="shared" si="6"/>
        <v>0.57258960000000081</v>
      </c>
      <c r="W26" s="31">
        <f>151.8*((21.943-21)/10)*1.2</f>
        <v>17.177688000000025</v>
      </c>
      <c r="X26" s="28">
        <f t="shared" si="9"/>
        <v>0.57258960000000081</v>
      </c>
      <c r="Y26">
        <f t="shared" si="7"/>
        <v>103.06612800000015</v>
      </c>
      <c r="AA26" s="2">
        <v>23</v>
      </c>
      <c r="AB26" s="2">
        <v>27.2</v>
      </c>
      <c r="AC26" s="2">
        <v>1</v>
      </c>
      <c r="AD26" s="2">
        <f>151.8*((21.943-21)/10)*1.2</f>
        <v>17.177688000000025</v>
      </c>
      <c r="AE26" s="2">
        <f t="shared" si="1"/>
        <v>0.57258960000000081</v>
      </c>
      <c r="AF26">
        <f t="shared" si="8"/>
        <v>103.06612800000015</v>
      </c>
      <c r="AG26" s="12"/>
    </row>
    <row r="27" spans="1:33" x14ac:dyDescent="0.3">
      <c r="E27" s="34"/>
      <c r="H27" s="34"/>
      <c r="I27" s="12"/>
    </row>
    <row r="28" spans="1:33" x14ac:dyDescent="0.3">
      <c r="E28" s="34"/>
    </row>
  </sheetData>
  <mergeCells count="4">
    <mergeCell ref="K1:O1"/>
    <mergeCell ref="A1:H1"/>
    <mergeCell ref="R1:X1"/>
    <mergeCell ref="AA1:AE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A02-C71B-4D7D-A4CD-19FBF4F86D06}">
  <dimension ref="A1:AE26"/>
  <sheetViews>
    <sheetView tabSelected="1" topLeftCell="N1" workbookViewId="0">
      <selection activeCell="AG3" sqref="AG3"/>
    </sheetView>
  </sheetViews>
  <sheetFormatPr baseColWidth="10" defaultRowHeight="14.4" x14ac:dyDescent="0.3"/>
  <cols>
    <col min="4" max="4" width="16.88671875" customWidth="1"/>
    <col min="5" max="5" width="18" customWidth="1"/>
    <col min="6" max="6" width="19.6640625" customWidth="1"/>
    <col min="7" max="7" width="16.33203125" customWidth="1"/>
    <col min="9" max="9" width="3.6640625" customWidth="1"/>
    <col min="16" max="16" width="4.5546875" customWidth="1"/>
    <col min="24" max="24" width="8.21875" customWidth="1"/>
    <col min="25" max="25" width="7" customWidth="1"/>
  </cols>
  <sheetData>
    <row r="1" spans="1:31" x14ac:dyDescent="0.3">
      <c r="A1" s="44" t="s">
        <v>27</v>
      </c>
      <c r="B1" s="44"/>
      <c r="C1" s="44"/>
      <c r="D1" s="44"/>
      <c r="E1" s="44"/>
      <c r="F1" s="44"/>
      <c r="G1" s="44"/>
      <c r="J1" s="40" t="s">
        <v>15</v>
      </c>
      <c r="K1" s="40"/>
      <c r="L1" s="40"/>
      <c r="M1" s="40"/>
      <c r="N1" s="40"/>
      <c r="Q1" s="45" t="s">
        <v>16</v>
      </c>
      <c r="R1" s="45"/>
      <c r="S1" s="45"/>
      <c r="T1" s="45"/>
      <c r="U1" s="45"/>
      <c r="V1" s="45"/>
      <c r="W1" s="45"/>
      <c r="Z1" s="43" t="s">
        <v>17</v>
      </c>
      <c r="AA1" s="43"/>
      <c r="AB1" s="43"/>
      <c r="AC1" s="43"/>
      <c r="AD1" s="43"/>
    </row>
    <row r="2" spans="1:31" ht="84" x14ac:dyDescent="0.3">
      <c r="A2" s="23" t="s">
        <v>26</v>
      </c>
      <c r="B2" s="23" t="s">
        <v>25</v>
      </c>
      <c r="C2" s="22" t="s">
        <v>18</v>
      </c>
      <c r="D2" s="22" t="s">
        <v>29</v>
      </c>
      <c r="E2" s="22" t="s">
        <v>38</v>
      </c>
      <c r="F2" s="22" t="s">
        <v>28</v>
      </c>
      <c r="G2" s="22" t="s">
        <v>41</v>
      </c>
      <c r="J2" s="5" t="s">
        <v>13</v>
      </c>
      <c r="K2" s="5" t="s">
        <v>25</v>
      </c>
      <c r="L2" s="5" t="s">
        <v>42</v>
      </c>
      <c r="M2" s="6" t="s">
        <v>21</v>
      </c>
      <c r="N2" s="6" t="s">
        <v>43</v>
      </c>
      <c r="Q2" s="29" t="s">
        <v>26</v>
      </c>
      <c r="R2" s="29" t="s">
        <v>25</v>
      </c>
      <c r="S2" s="27" t="s">
        <v>19</v>
      </c>
      <c r="T2" s="27" t="s">
        <v>29</v>
      </c>
      <c r="U2" s="27" t="s">
        <v>38</v>
      </c>
      <c r="V2" s="27" t="s">
        <v>28</v>
      </c>
      <c r="W2" s="27" t="s">
        <v>39</v>
      </c>
      <c r="Z2" s="17" t="s">
        <v>13</v>
      </c>
      <c r="AA2" s="17" t="s">
        <v>25</v>
      </c>
      <c r="AB2" s="17" t="s">
        <v>19</v>
      </c>
      <c r="AC2" s="18" t="s">
        <v>20</v>
      </c>
      <c r="AD2" s="18" t="s">
        <v>44</v>
      </c>
    </row>
    <row r="3" spans="1:31" x14ac:dyDescent="0.3">
      <c r="A3" s="7">
        <v>0</v>
      </c>
      <c r="B3" s="7">
        <v>26.21</v>
      </c>
      <c r="C3" s="7">
        <v>1</v>
      </c>
      <c r="D3" s="7">
        <f>139.5*((B3-21)/10)*1.2</f>
        <v>87.215400000000017</v>
      </c>
      <c r="E3" s="7">
        <f>D3/30</f>
        <v>2.9071800000000008</v>
      </c>
      <c r="F3" s="9">
        <f>139.5*((B3-21)/10)*1.2</f>
        <v>87.215400000000017</v>
      </c>
      <c r="G3" s="7">
        <f>F3/30</f>
        <v>2.9071800000000008</v>
      </c>
      <c r="H3">
        <f>D3*6</f>
        <v>523.29240000000004</v>
      </c>
      <c r="J3" s="5">
        <v>0</v>
      </c>
      <c r="K3" s="5">
        <v>26.21</v>
      </c>
      <c r="L3" s="5">
        <v>1</v>
      </c>
      <c r="M3" s="5">
        <f>139.5*((K3-21)/10)*1.2</f>
        <v>87.215400000000017</v>
      </c>
      <c r="N3" s="5">
        <f t="shared" ref="N3:N26" si="0">M3/30</f>
        <v>2.9071800000000008</v>
      </c>
      <c r="O3">
        <f>M3*6</f>
        <v>523.29240000000004</v>
      </c>
      <c r="Q3" s="4">
        <v>0</v>
      </c>
      <c r="R3" s="4">
        <v>27.09</v>
      </c>
      <c r="S3" s="4">
        <v>1</v>
      </c>
      <c r="T3" s="13">
        <f>139.5*((R3-21)/10)*1.2</f>
        <v>101.9466</v>
      </c>
      <c r="U3" s="4">
        <f>T3/30</f>
        <v>3.3982200000000002</v>
      </c>
      <c r="V3" s="14">
        <f>139.5*((R3-21)/10)*1.2</f>
        <v>101.9466</v>
      </c>
      <c r="W3" s="4">
        <f>V3/30</f>
        <v>3.3982200000000002</v>
      </c>
      <c r="X3">
        <f>T3*6</f>
        <v>611.67960000000005</v>
      </c>
      <c r="Z3" s="2">
        <v>0</v>
      </c>
      <c r="AA3" s="2">
        <v>27.09</v>
      </c>
      <c r="AB3" s="2">
        <v>1</v>
      </c>
      <c r="AC3" s="2">
        <f>139.5*((AA3-21)/10)*1.2</f>
        <v>101.9466</v>
      </c>
      <c r="AD3" s="2">
        <f t="shared" ref="AD3:AD26" si="1">AC3/30</f>
        <v>3.3982200000000002</v>
      </c>
      <c r="AE3">
        <f>AC3*6</f>
        <v>611.67960000000005</v>
      </c>
    </row>
    <row r="4" spans="1:31" x14ac:dyDescent="0.3">
      <c r="A4" s="7">
        <v>1</v>
      </c>
      <c r="B4" s="7">
        <v>26.08</v>
      </c>
      <c r="C4" s="7">
        <v>1</v>
      </c>
      <c r="D4" s="9">
        <f>139.5*((21.774-21)/10)*1.2</f>
        <v>12.956760000000015</v>
      </c>
      <c r="E4" s="7">
        <f t="shared" ref="E4:E26" si="2">D4/30</f>
        <v>0.4318920000000005</v>
      </c>
      <c r="F4" s="9">
        <f>139.5*((21.774-21)/10)*1.2</f>
        <v>12.956760000000015</v>
      </c>
      <c r="G4" s="7">
        <f t="shared" ref="G4:G26" si="3">F4/30</f>
        <v>0.4318920000000005</v>
      </c>
      <c r="H4">
        <f t="shared" ref="H4:H26" si="4">D4*6</f>
        <v>77.740560000000087</v>
      </c>
      <c r="J4" s="5">
        <v>1</v>
      </c>
      <c r="K4" s="5">
        <v>26.08</v>
      </c>
      <c r="L4" s="5">
        <v>1</v>
      </c>
      <c r="M4" s="6">
        <f>139.5*((21.774-21)/10)*1.2</f>
        <v>12.956760000000015</v>
      </c>
      <c r="N4" s="5">
        <f t="shared" si="0"/>
        <v>0.4318920000000005</v>
      </c>
      <c r="O4">
        <f t="shared" ref="O4:O26" si="5">M4*6</f>
        <v>77.740560000000087</v>
      </c>
      <c r="Q4" s="4">
        <v>1</v>
      </c>
      <c r="R4" s="4">
        <v>26.98</v>
      </c>
      <c r="S4" s="4">
        <v>1</v>
      </c>
      <c r="T4" s="14">
        <f>139.5*((21.911-21)/10)*1.2</f>
        <v>15.250140000000021</v>
      </c>
      <c r="U4" s="4">
        <f t="shared" ref="U4:U26" si="6">T4/30</f>
        <v>0.50833800000000073</v>
      </c>
      <c r="V4" s="14">
        <f>139.5*((21.911-21)/10)*1.2</f>
        <v>15.250140000000021</v>
      </c>
      <c r="W4" s="4">
        <f>V4/30</f>
        <v>0.50833800000000073</v>
      </c>
      <c r="X4">
        <f t="shared" ref="X4:X26" si="7">T4*6</f>
        <v>91.500840000000125</v>
      </c>
      <c r="Z4" s="2">
        <v>1</v>
      </c>
      <c r="AA4" s="2">
        <v>26.98</v>
      </c>
      <c r="AB4" s="2">
        <v>1</v>
      </c>
      <c r="AC4" s="15">
        <f>139.5*((21.911-21)/10)*1.2</f>
        <v>15.250140000000021</v>
      </c>
      <c r="AD4" s="2">
        <f t="shared" si="1"/>
        <v>0.50833800000000073</v>
      </c>
      <c r="AE4">
        <f t="shared" ref="AE4:AE26" si="8">AC4*6</f>
        <v>91.500840000000125</v>
      </c>
    </row>
    <row r="5" spans="1:31" x14ac:dyDescent="0.3">
      <c r="A5" s="7">
        <v>2</v>
      </c>
      <c r="B5" s="7">
        <v>25.97</v>
      </c>
      <c r="C5" s="7">
        <v>1</v>
      </c>
      <c r="D5" s="9">
        <f>139.5*((21.756-21)/10)*1.2</f>
        <v>12.655440000000004</v>
      </c>
      <c r="E5" s="7">
        <f t="shared" si="2"/>
        <v>0.42184800000000011</v>
      </c>
      <c r="F5" s="9">
        <f>139.5*((21.756-21)/10)*1.2</f>
        <v>12.655440000000004</v>
      </c>
      <c r="G5" s="7">
        <f t="shared" si="3"/>
        <v>0.42184800000000011</v>
      </c>
      <c r="H5">
        <f t="shared" si="4"/>
        <v>75.932640000000021</v>
      </c>
      <c r="J5" s="5">
        <v>2</v>
      </c>
      <c r="K5" s="5">
        <v>25.97</v>
      </c>
      <c r="L5" s="5">
        <v>1</v>
      </c>
      <c r="M5" s="6">
        <f>139.5*((21.756-21)/10)*1.2</f>
        <v>12.655440000000004</v>
      </c>
      <c r="N5" s="5">
        <f t="shared" si="0"/>
        <v>0.42184800000000011</v>
      </c>
      <c r="O5">
        <f t="shared" si="5"/>
        <v>75.932640000000021</v>
      </c>
      <c r="Q5" s="4">
        <v>2</v>
      </c>
      <c r="R5" s="4">
        <v>26.89</v>
      </c>
      <c r="S5" s="4">
        <v>1</v>
      </c>
      <c r="T5" s="14">
        <f>139.5*((21.896-21)/10)*1.2</f>
        <v>14.999040000000011</v>
      </c>
      <c r="U5" s="4">
        <f t="shared" si="6"/>
        <v>0.49996800000000036</v>
      </c>
      <c r="V5" s="14">
        <f>139.5*((21.896-21)/10)*1.2</f>
        <v>14.999040000000011</v>
      </c>
      <c r="W5" s="4">
        <f>V5/30</f>
        <v>0.49996800000000036</v>
      </c>
      <c r="X5">
        <f t="shared" si="7"/>
        <v>89.994240000000076</v>
      </c>
      <c r="Z5" s="2">
        <v>2</v>
      </c>
      <c r="AA5" s="2">
        <v>26.89</v>
      </c>
      <c r="AB5" s="2">
        <v>1</v>
      </c>
      <c r="AC5" s="15">
        <f>139.5*((21.896-21)/10)*1.2</f>
        <v>14.999040000000011</v>
      </c>
      <c r="AD5" s="2">
        <f t="shared" si="1"/>
        <v>0.49996800000000036</v>
      </c>
      <c r="AE5">
        <f t="shared" si="8"/>
        <v>89.994240000000076</v>
      </c>
    </row>
    <row r="6" spans="1:31" x14ac:dyDescent="0.3">
      <c r="A6" s="7">
        <v>3</v>
      </c>
      <c r="B6" s="7">
        <v>25.89</v>
      </c>
      <c r="C6" s="7">
        <v>1</v>
      </c>
      <c r="D6" s="9">
        <f>139.5*((21.744-21)/10)*1.2</f>
        <v>12.454559999999995</v>
      </c>
      <c r="E6" s="7">
        <f t="shared" si="2"/>
        <v>0.41515199999999985</v>
      </c>
      <c r="F6" s="9">
        <f>139.5*((21.744-21)/10)*1.2</f>
        <v>12.454559999999995</v>
      </c>
      <c r="G6" s="7">
        <f t="shared" si="3"/>
        <v>0.41515199999999985</v>
      </c>
      <c r="H6">
        <f t="shared" si="4"/>
        <v>74.727359999999976</v>
      </c>
      <c r="J6" s="5">
        <v>3</v>
      </c>
      <c r="K6" s="5">
        <v>25.89</v>
      </c>
      <c r="L6" s="5">
        <v>1</v>
      </c>
      <c r="M6" s="6">
        <f>139.5*((21.744-21)/10)*1.2</f>
        <v>12.454559999999995</v>
      </c>
      <c r="N6" s="5">
        <f t="shared" si="0"/>
        <v>0.41515199999999985</v>
      </c>
      <c r="O6">
        <f t="shared" si="5"/>
        <v>74.727359999999976</v>
      </c>
      <c r="Q6" s="4">
        <v>3</v>
      </c>
      <c r="R6" s="4">
        <v>26.83</v>
      </c>
      <c r="S6" s="4">
        <v>1</v>
      </c>
      <c r="T6" s="14">
        <f>139.5*((21.886-21)/10)*1.2</f>
        <v>14.831639999999986</v>
      </c>
      <c r="U6" s="4">
        <f t="shared" si="6"/>
        <v>0.49438799999999955</v>
      </c>
      <c r="V6" s="14">
        <f>139.5*((21.886-21)/10)*1.2</f>
        <v>14.831639999999986</v>
      </c>
      <c r="W6" s="4">
        <f>V6/30</f>
        <v>0.49438799999999955</v>
      </c>
      <c r="X6">
        <f t="shared" si="7"/>
        <v>88.989839999999916</v>
      </c>
      <c r="Z6" s="2">
        <v>3</v>
      </c>
      <c r="AA6" s="2">
        <v>26.83</v>
      </c>
      <c r="AB6" s="2">
        <v>1</v>
      </c>
      <c r="AC6" s="15">
        <f>139.5*((21.886-21)/10)*1.2</f>
        <v>14.831639999999986</v>
      </c>
      <c r="AD6" s="2">
        <f t="shared" si="1"/>
        <v>0.49438799999999955</v>
      </c>
      <c r="AE6">
        <f t="shared" si="8"/>
        <v>88.989839999999916</v>
      </c>
    </row>
    <row r="7" spans="1:31" x14ac:dyDescent="0.3">
      <c r="A7" s="7">
        <v>4</v>
      </c>
      <c r="B7" s="7">
        <v>25.84</v>
      </c>
      <c r="C7" s="7">
        <v>1</v>
      </c>
      <c r="D7" s="9">
        <f>139.5*((21.736-21)/10)*1.2</f>
        <v>12.320640000000012</v>
      </c>
      <c r="E7" s="7">
        <f t="shared" si="2"/>
        <v>0.41068800000000039</v>
      </c>
      <c r="F7" s="9">
        <f>139.5*((21.736-21)/10)*1.2</f>
        <v>12.320640000000012</v>
      </c>
      <c r="G7" s="7">
        <f t="shared" si="3"/>
        <v>0.41068800000000039</v>
      </c>
      <c r="H7">
        <f t="shared" si="4"/>
        <v>73.923840000000069</v>
      </c>
      <c r="J7" s="5">
        <v>4</v>
      </c>
      <c r="K7" s="5">
        <v>25.84</v>
      </c>
      <c r="L7" s="5">
        <v>1</v>
      </c>
      <c r="M7" s="6">
        <f>139.5*((21.736-21)/10)*1.2</f>
        <v>12.320640000000012</v>
      </c>
      <c r="N7" s="5">
        <f t="shared" si="0"/>
        <v>0.41068800000000039</v>
      </c>
      <c r="O7">
        <f t="shared" si="5"/>
        <v>73.923840000000069</v>
      </c>
      <c r="Q7" s="4">
        <v>4</v>
      </c>
      <c r="R7" s="4">
        <v>26.79</v>
      </c>
      <c r="S7" s="4">
        <v>1</v>
      </c>
      <c r="T7" s="14">
        <f>139.5*((21.88-21)/10)*1.2</f>
        <v>14.731199999999982</v>
      </c>
      <c r="U7" s="4">
        <f t="shared" si="6"/>
        <v>0.49103999999999937</v>
      </c>
      <c r="V7" s="14">
        <f>139.5*((21.88-21)/10)*1.2</f>
        <v>14.731199999999982</v>
      </c>
      <c r="W7" s="4">
        <f>V7/30</f>
        <v>0.49103999999999937</v>
      </c>
      <c r="X7">
        <f t="shared" si="7"/>
        <v>88.387199999999893</v>
      </c>
      <c r="Z7" s="2">
        <v>4</v>
      </c>
      <c r="AA7" s="2">
        <v>26.79</v>
      </c>
      <c r="AB7" s="2">
        <v>1</v>
      </c>
      <c r="AC7" s="15">
        <f>139.5*((21.88-21)/10)*1.2</f>
        <v>14.731199999999982</v>
      </c>
      <c r="AD7" s="2">
        <f t="shared" si="1"/>
        <v>0.49103999999999937</v>
      </c>
      <c r="AE7">
        <f t="shared" si="8"/>
        <v>88.387199999999893</v>
      </c>
    </row>
    <row r="8" spans="1:31" x14ac:dyDescent="0.3">
      <c r="A8" s="7">
        <v>5</v>
      </c>
      <c r="B8" s="7">
        <v>25.79</v>
      </c>
      <c r="C8" s="7">
        <v>0</v>
      </c>
      <c r="D8" s="7">
        <v>0</v>
      </c>
      <c r="E8" s="7">
        <f t="shared" si="2"/>
        <v>0</v>
      </c>
      <c r="F8" s="9">
        <v>0</v>
      </c>
      <c r="G8" s="7">
        <f t="shared" si="3"/>
        <v>0</v>
      </c>
      <c r="H8">
        <f t="shared" si="4"/>
        <v>0</v>
      </c>
      <c r="J8" s="5">
        <v>5</v>
      </c>
      <c r="K8" s="5">
        <v>25.79</v>
      </c>
      <c r="L8" s="5">
        <v>1</v>
      </c>
      <c r="M8" s="5">
        <f>139.5*((21.728-21)/10)*1.2</f>
        <v>12.186720000000024</v>
      </c>
      <c r="N8" s="5">
        <f t="shared" si="0"/>
        <v>0.40622400000000081</v>
      </c>
      <c r="O8">
        <f t="shared" si="5"/>
        <v>73.120320000000149</v>
      </c>
      <c r="Q8" s="4">
        <v>5</v>
      </c>
      <c r="R8" s="4">
        <v>26.75</v>
      </c>
      <c r="S8" s="4">
        <v>0</v>
      </c>
      <c r="T8" s="13">
        <v>0</v>
      </c>
      <c r="U8" s="4">
        <f t="shared" si="6"/>
        <v>0</v>
      </c>
      <c r="V8" s="14">
        <v>0</v>
      </c>
      <c r="W8" s="4">
        <v>0</v>
      </c>
      <c r="X8">
        <f t="shared" si="7"/>
        <v>0</v>
      </c>
      <c r="Z8" s="2">
        <v>5</v>
      </c>
      <c r="AA8" s="2">
        <v>26.75</v>
      </c>
      <c r="AB8" s="2">
        <v>1</v>
      </c>
      <c r="AC8" s="2">
        <f>139.5*((21.874-21)/10)*1.2</f>
        <v>14.630759999999979</v>
      </c>
      <c r="AD8" s="2">
        <f t="shared" si="1"/>
        <v>0.48769199999999929</v>
      </c>
      <c r="AE8">
        <f t="shared" si="8"/>
        <v>87.784559999999871</v>
      </c>
    </row>
    <row r="9" spans="1:31" x14ac:dyDescent="0.3">
      <c r="A9" s="7">
        <v>6</v>
      </c>
      <c r="B9" s="7">
        <v>25.96</v>
      </c>
      <c r="C9" s="7">
        <v>0</v>
      </c>
      <c r="D9" s="7">
        <v>0</v>
      </c>
      <c r="E9" s="7">
        <f t="shared" si="2"/>
        <v>0</v>
      </c>
      <c r="F9" s="9">
        <v>0</v>
      </c>
      <c r="G9" s="7">
        <f t="shared" si="3"/>
        <v>0</v>
      </c>
      <c r="H9">
        <f t="shared" si="4"/>
        <v>0</v>
      </c>
      <c r="J9" s="5">
        <v>6</v>
      </c>
      <c r="K9" s="5">
        <v>25.96</v>
      </c>
      <c r="L9" s="5">
        <v>1</v>
      </c>
      <c r="M9" s="5">
        <f>139.5*((21.753-21)/10)*1.2</f>
        <v>12.605220000000001</v>
      </c>
      <c r="N9" s="5">
        <f t="shared" si="0"/>
        <v>0.42017400000000005</v>
      </c>
      <c r="O9">
        <f t="shared" si="5"/>
        <v>75.631320000000002</v>
      </c>
      <c r="Q9" s="4">
        <v>6</v>
      </c>
      <c r="R9" s="4">
        <v>27.06</v>
      </c>
      <c r="S9" s="4">
        <v>0</v>
      </c>
      <c r="T9" s="13">
        <v>0</v>
      </c>
      <c r="U9" s="4">
        <f t="shared" si="6"/>
        <v>0</v>
      </c>
      <c r="V9" s="14">
        <v>0</v>
      </c>
      <c r="W9" s="4">
        <v>0</v>
      </c>
      <c r="X9">
        <f t="shared" si="7"/>
        <v>0</v>
      </c>
      <c r="Z9" s="2">
        <v>6</v>
      </c>
      <c r="AA9" s="2">
        <v>27.06</v>
      </c>
      <c r="AB9" s="2">
        <v>1</v>
      </c>
      <c r="AC9" s="2">
        <f>139.5*((21.92-21)/10)*1.2</f>
        <v>15.400800000000027</v>
      </c>
      <c r="AD9" s="2">
        <f t="shared" si="1"/>
        <v>0.51336000000000093</v>
      </c>
      <c r="AE9">
        <f t="shared" si="8"/>
        <v>92.404800000000165</v>
      </c>
    </row>
    <row r="10" spans="1:31" x14ac:dyDescent="0.3">
      <c r="A10" s="7">
        <v>7</v>
      </c>
      <c r="B10" s="7">
        <v>26.88</v>
      </c>
      <c r="C10" s="7">
        <v>0</v>
      </c>
      <c r="D10" s="7">
        <v>0</v>
      </c>
      <c r="E10" s="7">
        <f t="shared" si="2"/>
        <v>0</v>
      </c>
      <c r="F10" s="9">
        <v>0</v>
      </c>
      <c r="G10" s="7">
        <f t="shared" si="3"/>
        <v>0</v>
      </c>
      <c r="H10">
        <f t="shared" si="4"/>
        <v>0</v>
      </c>
      <c r="J10" s="5">
        <v>7</v>
      </c>
      <c r="K10" s="5">
        <v>26.88</v>
      </c>
      <c r="L10" s="5">
        <v>1</v>
      </c>
      <c r="M10" s="5">
        <f>139.5*((21.891-21)/10)*1.2</f>
        <v>14.915339999999969</v>
      </c>
      <c r="N10" s="5">
        <f t="shared" si="0"/>
        <v>0.49717799999999895</v>
      </c>
      <c r="O10">
        <f t="shared" si="5"/>
        <v>89.492039999999804</v>
      </c>
      <c r="Q10" s="4">
        <v>7</v>
      </c>
      <c r="R10" s="4">
        <v>27.7</v>
      </c>
      <c r="S10" s="4">
        <v>0</v>
      </c>
      <c r="T10" s="13">
        <v>0</v>
      </c>
      <c r="U10" s="4">
        <f t="shared" si="6"/>
        <v>0</v>
      </c>
      <c r="V10" s="14">
        <v>0</v>
      </c>
      <c r="W10" s="4">
        <v>0</v>
      </c>
      <c r="X10">
        <f t="shared" si="7"/>
        <v>0</v>
      </c>
      <c r="Z10" s="2">
        <v>7</v>
      </c>
      <c r="AA10" s="2">
        <v>27.7</v>
      </c>
      <c r="AB10" s="2">
        <v>1</v>
      </c>
      <c r="AC10" s="2">
        <f>139.5*((22.016-21)/10)*1.2</f>
        <v>17.00783999999997</v>
      </c>
      <c r="AD10" s="2">
        <f t="shared" si="1"/>
        <v>0.56692799999999899</v>
      </c>
      <c r="AE10">
        <f t="shared" si="8"/>
        <v>102.04703999999981</v>
      </c>
    </row>
    <row r="11" spans="1:31" x14ac:dyDescent="0.3">
      <c r="A11" s="7">
        <v>8</v>
      </c>
      <c r="B11" s="7">
        <v>27.89</v>
      </c>
      <c r="C11" s="7">
        <v>0</v>
      </c>
      <c r="D11" s="7">
        <v>0</v>
      </c>
      <c r="E11" s="7">
        <f t="shared" si="2"/>
        <v>0</v>
      </c>
      <c r="F11" s="9">
        <v>0</v>
      </c>
      <c r="G11" s="7">
        <f t="shared" si="3"/>
        <v>0</v>
      </c>
      <c r="H11">
        <f t="shared" si="4"/>
        <v>0</v>
      </c>
      <c r="J11" s="5">
        <v>8</v>
      </c>
      <c r="K11" s="5">
        <v>27.89</v>
      </c>
      <c r="L11" s="5">
        <v>1</v>
      </c>
      <c r="M11" s="5">
        <f>139.5*((22.044-21)/10)*1.2</f>
        <v>17.47656000000001</v>
      </c>
      <c r="N11" s="5">
        <f t="shared" si="0"/>
        <v>0.58255200000000029</v>
      </c>
      <c r="O11">
        <f t="shared" si="5"/>
        <v>104.85936000000007</v>
      </c>
      <c r="Q11" s="4">
        <v>8</v>
      </c>
      <c r="R11" s="4">
        <v>29.43</v>
      </c>
      <c r="S11" s="4">
        <v>0</v>
      </c>
      <c r="T11" s="13">
        <v>0</v>
      </c>
      <c r="U11" s="4">
        <f t="shared" si="6"/>
        <v>0</v>
      </c>
      <c r="V11" s="14">
        <v>0</v>
      </c>
      <c r="W11" s="4">
        <v>0</v>
      </c>
      <c r="X11">
        <f t="shared" si="7"/>
        <v>0</v>
      </c>
      <c r="Z11" s="2">
        <v>8</v>
      </c>
      <c r="AA11" s="2">
        <v>29.43</v>
      </c>
      <c r="AB11" s="2">
        <v>1</v>
      </c>
      <c r="AC11" s="2">
        <f>139.5*((22.775-21)/10)*1.2</f>
        <v>29.713499999999975</v>
      </c>
      <c r="AD11" s="2">
        <f t="shared" si="1"/>
        <v>0.99044999999999916</v>
      </c>
      <c r="AE11">
        <f t="shared" si="8"/>
        <v>178.28099999999984</v>
      </c>
    </row>
    <row r="12" spans="1:31" x14ac:dyDescent="0.3">
      <c r="A12" s="7">
        <v>9</v>
      </c>
      <c r="B12" s="7">
        <v>28.89</v>
      </c>
      <c r="C12" s="7">
        <v>0</v>
      </c>
      <c r="D12" s="7">
        <v>0</v>
      </c>
      <c r="E12" s="7">
        <f t="shared" si="2"/>
        <v>0</v>
      </c>
      <c r="F12" s="9">
        <v>0</v>
      </c>
      <c r="G12" s="7">
        <f t="shared" si="3"/>
        <v>0</v>
      </c>
      <c r="H12">
        <f t="shared" si="4"/>
        <v>0</v>
      </c>
      <c r="J12" s="5">
        <v>9</v>
      </c>
      <c r="K12" s="5">
        <v>28.89</v>
      </c>
      <c r="L12" s="5">
        <v>1</v>
      </c>
      <c r="M12" s="5">
        <f>139.5*((22.196-21)/10)*1.2</f>
        <v>20.021040000000024</v>
      </c>
      <c r="N12" s="5">
        <f t="shared" si="0"/>
        <v>0.66736800000000085</v>
      </c>
      <c r="O12">
        <f t="shared" si="5"/>
        <v>120.12624000000014</v>
      </c>
      <c r="Q12" s="4">
        <v>9</v>
      </c>
      <c r="R12" s="4">
        <v>29.43</v>
      </c>
      <c r="S12" s="4">
        <v>0</v>
      </c>
      <c r="T12" s="13">
        <v>0</v>
      </c>
      <c r="U12" s="4">
        <f t="shared" si="6"/>
        <v>0</v>
      </c>
      <c r="V12" s="14">
        <v>0</v>
      </c>
      <c r="W12" s="4">
        <v>0</v>
      </c>
      <c r="X12">
        <f t="shared" si="7"/>
        <v>0</v>
      </c>
      <c r="Z12" s="2">
        <v>9</v>
      </c>
      <c r="AA12" s="2">
        <v>29.43</v>
      </c>
      <c r="AB12" s="2">
        <v>1</v>
      </c>
      <c r="AC12" s="2">
        <f>139.5*((22.281-21)/10)*1.2</f>
        <v>21.443939999999976</v>
      </c>
      <c r="AD12" s="2">
        <f t="shared" si="1"/>
        <v>0.71479799999999927</v>
      </c>
      <c r="AE12">
        <f t="shared" si="8"/>
        <v>128.66363999999987</v>
      </c>
    </row>
    <row r="13" spans="1:31" x14ac:dyDescent="0.3">
      <c r="A13" s="2">
        <v>10</v>
      </c>
      <c r="B13" s="2">
        <v>29.65</v>
      </c>
      <c r="C13" s="2">
        <v>0</v>
      </c>
      <c r="D13" s="3">
        <f>139.5*((29.65-21)/10)*1.2</f>
        <v>144.80099999999999</v>
      </c>
      <c r="E13" s="2">
        <f t="shared" si="2"/>
        <v>4.8266999999999998</v>
      </c>
      <c r="F13" s="9">
        <v>0</v>
      </c>
      <c r="G13" s="7">
        <f t="shared" si="3"/>
        <v>0</v>
      </c>
      <c r="H13">
        <f t="shared" si="4"/>
        <v>868.80599999999993</v>
      </c>
      <c r="J13" s="5">
        <v>10</v>
      </c>
      <c r="K13" s="5">
        <v>29.65</v>
      </c>
      <c r="L13" s="5">
        <v>1</v>
      </c>
      <c r="M13" s="5">
        <f>139.5*((22.312-21)/10)*1.2</f>
        <v>21.96288000000002</v>
      </c>
      <c r="N13" s="5">
        <f t="shared" si="0"/>
        <v>0.73209600000000064</v>
      </c>
      <c r="O13">
        <f t="shared" si="5"/>
        <v>131.77728000000013</v>
      </c>
      <c r="Q13" s="2">
        <v>10</v>
      </c>
      <c r="R13" s="2">
        <v>30.09</v>
      </c>
      <c r="S13" s="2">
        <v>0</v>
      </c>
      <c r="T13" s="15">
        <f>139.5*((30.09-21)/10)*1.2</f>
        <v>152.16660000000002</v>
      </c>
      <c r="U13" s="2">
        <f t="shared" si="6"/>
        <v>5.0722200000000006</v>
      </c>
      <c r="V13" s="14">
        <v>0</v>
      </c>
      <c r="W13" s="4">
        <v>0</v>
      </c>
      <c r="X13">
        <f t="shared" si="7"/>
        <v>912.9996000000001</v>
      </c>
      <c r="Z13" s="2">
        <v>10</v>
      </c>
      <c r="AA13" s="2">
        <v>30.09</v>
      </c>
      <c r="AB13" s="2">
        <v>1</v>
      </c>
      <c r="AC13" s="2">
        <f>139.5*((22.379-21)/10)*1.2</f>
        <v>23.084460000000021</v>
      </c>
      <c r="AD13" s="2">
        <f t="shared" si="1"/>
        <v>0.76948200000000067</v>
      </c>
      <c r="AE13">
        <f t="shared" si="8"/>
        <v>138.50676000000013</v>
      </c>
    </row>
    <row r="14" spans="1:31" ht="16.2" customHeight="1" x14ac:dyDescent="0.3">
      <c r="A14" s="7">
        <v>11</v>
      </c>
      <c r="B14" s="7">
        <v>30.13</v>
      </c>
      <c r="C14" s="7">
        <v>0</v>
      </c>
      <c r="D14" s="9">
        <f>139.5*((22.389-21)/10)*1.2</f>
        <v>23.25185999999999</v>
      </c>
      <c r="E14" s="7">
        <f t="shared" si="2"/>
        <v>0.7750619999999997</v>
      </c>
      <c r="F14" s="9">
        <v>0</v>
      </c>
      <c r="G14" s="7">
        <f t="shared" si="3"/>
        <v>0</v>
      </c>
      <c r="H14">
        <f t="shared" si="4"/>
        <v>139.51115999999993</v>
      </c>
      <c r="J14" s="5">
        <v>11</v>
      </c>
      <c r="K14" s="5">
        <v>30.13</v>
      </c>
      <c r="L14" s="5">
        <v>1</v>
      </c>
      <c r="M14" s="5">
        <f>139.5*((22.385-21)/10)*1.2</f>
        <v>23.184900000000024</v>
      </c>
      <c r="N14" s="5">
        <f t="shared" si="0"/>
        <v>0.77283000000000079</v>
      </c>
      <c r="O14">
        <f t="shared" si="5"/>
        <v>139.10940000000014</v>
      </c>
      <c r="Q14" s="4">
        <v>11</v>
      </c>
      <c r="R14" s="4">
        <v>30.61</v>
      </c>
      <c r="S14" s="4">
        <v>0</v>
      </c>
      <c r="T14" s="14">
        <f>139.5*((22.462-21)/10)*1.2</f>
        <v>24.473879999999994</v>
      </c>
      <c r="U14" s="4">
        <f t="shared" si="6"/>
        <v>0.81579599999999985</v>
      </c>
      <c r="V14" s="14">
        <v>0</v>
      </c>
      <c r="W14" s="4">
        <v>0</v>
      </c>
      <c r="X14">
        <f t="shared" si="7"/>
        <v>146.84327999999996</v>
      </c>
      <c r="Z14" s="2">
        <v>11</v>
      </c>
      <c r="AA14" s="2">
        <v>30.61</v>
      </c>
      <c r="AB14" s="2">
        <v>1</v>
      </c>
      <c r="AC14" s="2">
        <f>139.5*((22.458-21)/10)*1.2</f>
        <v>24.406919999999971</v>
      </c>
      <c r="AD14" s="2">
        <f t="shared" si="1"/>
        <v>0.81356399999999907</v>
      </c>
      <c r="AE14">
        <f t="shared" si="8"/>
        <v>146.44151999999983</v>
      </c>
    </row>
    <row r="15" spans="1:31" x14ac:dyDescent="0.3">
      <c r="A15" s="7">
        <v>12</v>
      </c>
      <c r="B15" s="7">
        <v>30.46</v>
      </c>
      <c r="C15" s="7">
        <v>0</v>
      </c>
      <c r="D15" s="9">
        <f>139.5*((22.436-21)/10)*1.2</f>
        <v>24.038639999999997</v>
      </c>
      <c r="E15" s="7">
        <f t="shared" si="2"/>
        <v>0.80128799999999989</v>
      </c>
      <c r="F15" s="9">
        <v>0</v>
      </c>
      <c r="G15" s="7">
        <f t="shared" si="3"/>
        <v>0</v>
      </c>
      <c r="H15">
        <f t="shared" si="4"/>
        <v>144.23183999999998</v>
      </c>
      <c r="J15" s="5">
        <v>12</v>
      </c>
      <c r="K15" s="5">
        <v>30.46</v>
      </c>
      <c r="L15" s="5">
        <v>1</v>
      </c>
      <c r="M15" s="5">
        <f>139.5*((22.436-21)/10)*1.2</f>
        <v>24.038639999999997</v>
      </c>
      <c r="N15" s="5">
        <f t="shared" si="0"/>
        <v>0.80128799999999989</v>
      </c>
      <c r="O15">
        <f t="shared" si="5"/>
        <v>144.23183999999998</v>
      </c>
      <c r="Q15" s="4">
        <v>12</v>
      </c>
      <c r="R15" s="4">
        <v>30.88</v>
      </c>
      <c r="S15" s="4">
        <v>0</v>
      </c>
      <c r="T15" s="14">
        <f>139.5*((22.5-21)/10)*1.2</f>
        <v>25.11</v>
      </c>
      <c r="U15" s="4">
        <f t="shared" si="6"/>
        <v>0.83699999999999997</v>
      </c>
      <c r="V15" s="14">
        <v>0</v>
      </c>
      <c r="W15" s="4">
        <v>0</v>
      </c>
      <c r="X15">
        <f t="shared" si="7"/>
        <v>150.66</v>
      </c>
      <c r="Z15" s="2">
        <v>12</v>
      </c>
      <c r="AA15" s="2">
        <v>30.88</v>
      </c>
      <c r="AB15" s="2">
        <v>1</v>
      </c>
      <c r="AC15" s="2">
        <f>139.5*((22.5-21)/10)*1.2</f>
        <v>25.11</v>
      </c>
      <c r="AD15" s="2">
        <f t="shared" si="1"/>
        <v>0.83699999999999997</v>
      </c>
      <c r="AE15">
        <f t="shared" si="8"/>
        <v>150.66</v>
      </c>
    </row>
    <row r="16" spans="1:31" x14ac:dyDescent="0.3">
      <c r="A16" s="7">
        <v>13</v>
      </c>
      <c r="B16" s="7">
        <v>30.12</v>
      </c>
      <c r="C16" s="7">
        <v>0</v>
      </c>
      <c r="D16" s="9">
        <f>139.5*((22.387-21)/10)*1.2</f>
        <v>23.218380000000007</v>
      </c>
      <c r="E16" s="7">
        <f t="shared" si="2"/>
        <v>0.77394600000000024</v>
      </c>
      <c r="F16" s="9">
        <v>0</v>
      </c>
      <c r="G16" s="7">
        <f t="shared" si="3"/>
        <v>0</v>
      </c>
      <c r="H16">
        <f t="shared" si="4"/>
        <v>139.31028000000003</v>
      </c>
      <c r="J16" s="5">
        <v>13</v>
      </c>
      <c r="K16" s="5">
        <v>30.12</v>
      </c>
      <c r="L16" s="5">
        <v>1</v>
      </c>
      <c r="M16" s="5">
        <f>139.5*((22.387-21)/10)*1.2</f>
        <v>23.218380000000007</v>
      </c>
      <c r="N16" s="5">
        <f t="shared" si="0"/>
        <v>0.77394600000000024</v>
      </c>
      <c r="O16">
        <f t="shared" si="5"/>
        <v>139.31028000000003</v>
      </c>
      <c r="Q16" s="4">
        <v>13</v>
      </c>
      <c r="R16" s="4">
        <v>30.79</v>
      </c>
      <c r="S16" s="4">
        <v>0</v>
      </c>
      <c r="T16" s="14">
        <f>139.5*((22.488-21)/10)*1.2</f>
        <v>24.909119999999991</v>
      </c>
      <c r="U16" s="4">
        <f t="shared" si="6"/>
        <v>0.83030399999999971</v>
      </c>
      <c r="V16" s="14">
        <v>0</v>
      </c>
      <c r="W16" s="4">
        <v>0</v>
      </c>
      <c r="X16">
        <f t="shared" si="7"/>
        <v>149.45471999999995</v>
      </c>
      <c r="Z16" s="2">
        <v>13</v>
      </c>
      <c r="AA16" s="2">
        <v>30.79</v>
      </c>
      <c r="AB16" s="2">
        <v>1</v>
      </c>
      <c r="AC16" s="2">
        <f>139.5*((22.488-21)/10)*1.2</f>
        <v>24.909119999999991</v>
      </c>
      <c r="AD16" s="2">
        <f t="shared" si="1"/>
        <v>0.83030399999999971</v>
      </c>
      <c r="AE16">
        <f t="shared" si="8"/>
        <v>149.45471999999995</v>
      </c>
    </row>
    <row r="17" spans="1:31" x14ac:dyDescent="0.3">
      <c r="A17" s="7">
        <v>14</v>
      </c>
      <c r="B17" s="7">
        <v>29.72</v>
      </c>
      <c r="C17" s="7">
        <v>0</v>
      </c>
      <c r="D17" s="9">
        <f>139.5*((22.326-21)/10)*1.2</f>
        <v>22.197240000000011</v>
      </c>
      <c r="E17" s="7">
        <f t="shared" si="2"/>
        <v>0.73990800000000034</v>
      </c>
      <c r="F17" s="9">
        <v>0</v>
      </c>
      <c r="G17" s="7">
        <f t="shared" si="3"/>
        <v>0</v>
      </c>
      <c r="H17">
        <f t="shared" si="4"/>
        <v>133.18344000000008</v>
      </c>
      <c r="J17" s="5">
        <v>14</v>
      </c>
      <c r="K17" s="5">
        <v>29.72</v>
      </c>
      <c r="L17" s="5">
        <v>1</v>
      </c>
      <c r="M17" s="5">
        <f>139.5*((22.326-21)/10)*1.2</f>
        <v>22.197240000000011</v>
      </c>
      <c r="N17" s="5">
        <f t="shared" si="0"/>
        <v>0.73990800000000034</v>
      </c>
      <c r="O17">
        <f t="shared" si="5"/>
        <v>133.18344000000008</v>
      </c>
      <c r="Q17" s="4">
        <v>14</v>
      </c>
      <c r="R17" s="4">
        <v>30.42</v>
      </c>
      <c r="S17" s="4">
        <v>0</v>
      </c>
      <c r="T17" s="14">
        <f>139.5*((22.432-21)/10)*1.2</f>
        <v>23.971679999999974</v>
      </c>
      <c r="U17" s="4">
        <f t="shared" si="6"/>
        <v>0.7990559999999991</v>
      </c>
      <c r="V17" s="14">
        <v>0</v>
      </c>
      <c r="W17" s="4">
        <v>0</v>
      </c>
      <c r="X17">
        <f t="shared" si="7"/>
        <v>143.83007999999984</v>
      </c>
      <c r="Z17" s="2">
        <v>14</v>
      </c>
      <c r="AA17" s="2">
        <v>30.42</v>
      </c>
      <c r="AB17" s="2">
        <v>1</v>
      </c>
      <c r="AC17" s="2">
        <f>139.5*((22.432-21)/10)*1.2</f>
        <v>23.971679999999974</v>
      </c>
      <c r="AD17" s="2">
        <f t="shared" si="1"/>
        <v>0.7990559999999991</v>
      </c>
      <c r="AE17">
        <f t="shared" si="8"/>
        <v>143.83007999999984</v>
      </c>
    </row>
    <row r="18" spans="1:31" x14ac:dyDescent="0.3">
      <c r="A18" s="7">
        <v>15</v>
      </c>
      <c r="B18" s="7">
        <v>29.13</v>
      </c>
      <c r="C18" s="7">
        <v>0</v>
      </c>
      <c r="D18" s="9">
        <f>139.5*((22.237-21)/10)*1.2</f>
        <v>20.707379999999972</v>
      </c>
      <c r="E18" s="7">
        <f t="shared" si="2"/>
        <v>0.69024599999999903</v>
      </c>
      <c r="F18" s="9">
        <v>0</v>
      </c>
      <c r="G18" s="7">
        <f t="shared" si="3"/>
        <v>0</v>
      </c>
      <c r="H18">
        <f t="shared" si="4"/>
        <v>124.24427999999983</v>
      </c>
      <c r="J18" s="5">
        <v>15</v>
      </c>
      <c r="K18" s="5">
        <v>29.13</v>
      </c>
      <c r="L18" s="5">
        <v>1</v>
      </c>
      <c r="M18" s="5">
        <f>139.5*((22.237-21)/10)*1.2</f>
        <v>20.707379999999972</v>
      </c>
      <c r="N18" s="5">
        <f t="shared" si="0"/>
        <v>0.69024599999999903</v>
      </c>
      <c r="O18">
        <f t="shared" si="5"/>
        <v>124.24427999999983</v>
      </c>
      <c r="Q18" s="4">
        <v>15</v>
      </c>
      <c r="R18" s="4">
        <v>29.87</v>
      </c>
      <c r="S18" s="4">
        <v>0</v>
      </c>
      <c r="T18" s="14">
        <f>139.5*((22.349-21)/10)*1.2</f>
        <v>22.582260000000002</v>
      </c>
      <c r="U18" s="4">
        <f t="shared" si="6"/>
        <v>0.75274200000000002</v>
      </c>
      <c r="V18" s="14">
        <v>0</v>
      </c>
      <c r="W18" s="4">
        <v>0</v>
      </c>
      <c r="X18">
        <f t="shared" si="7"/>
        <v>135.49356</v>
      </c>
      <c r="Z18" s="2">
        <v>15</v>
      </c>
      <c r="AA18" s="2">
        <v>29.87</v>
      </c>
      <c r="AB18" s="2">
        <v>1</v>
      </c>
      <c r="AC18" s="2">
        <f>139.5*((22.349-21)/10)*1.2</f>
        <v>22.582260000000002</v>
      </c>
      <c r="AD18" s="2">
        <f t="shared" si="1"/>
        <v>0.75274200000000002</v>
      </c>
      <c r="AE18">
        <f t="shared" si="8"/>
        <v>135.49356</v>
      </c>
    </row>
    <row r="19" spans="1:31" ht="15.6" customHeight="1" x14ac:dyDescent="0.3">
      <c r="A19" s="7">
        <v>16</v>
      </c>
      <c r="B19" s="7">
        <v>28.38</v>
      </c>
      <c r="C19" s="7">
        <v>0</v>
      </c>
      <c r="D19" s="9">
        <f>139.5*((22.124-21)/10)*1.2</f>
        <v>18.81575999999998</v>
      </c>
      <c r="E19" s="7">
        <f t="shared" si="2"/>
        <v>0.62719199999999931</v>
      </c>
      <c r="F19" s="9">
        <v>0</v>
      </c>
      <c r="G19" s="7">
        <f t="shared" si="3"/>
        <v>0</v>
      </c>
      <c r="H19">
        <f t="shared" si="4"/>
        <v>112.89455999999987</v>
      </c>
      <c r="J19" s="5">
        <v>16</v>
      </c>
      <c r="K19" s="5">
        <v>28.38</v>
      </c>
      <c r="L19" s="5">
        <v>1</v>
      </c>
      <c r="M19" s="5">
        <f>139.5*((22.124-21)/10)*1.2</f>
        <v>18.81575999999998</v>
      </c>
      <c r="N19" s="5">
        <f t="shared" si="0"/>
        <v>0.62719199999999931</v>
      </c>
      <c r="O19">
        <f t="shared" si="5"/>
        <v>112.89455999999987</v>
      </c>
      <c r="Q19" s="4">
        <v>16</v>
      </c>
      <c r="R19" s="4">
        <v>29.17</v>
      </c>
      <c r="S19" s="4">
        <v>0</v>
      </c>
      <c r="T19" s="14">
        <f>139.5*((22.244-21)/10)*1.2</f>
        <v>20.824559999999995</v>
      </c>
      <c r="U19" s="4">
        <f t="shared" si="6"/>
        <v>0.69415199999999977</v>
      </c>
      <c r="V19" s="14">
        <v>0</v>
      </c>
      <c r="W19" s="4">
        <f t="shared" ref="W19:W26" si="9">V19/30</f>
        <v>0</v>
      </c>
      <c r="X19">
        <f t="shared" si="7"/>
        <v>124.94735999999997</v>
      </c>
      <c r="Z19" s="2">
        <v>16</v>
      </c>
      <c r="AA19" s="2">
        <v>29.17</v>
      </c>
      <c r="AB19" s="2">
        <v>1</v>
      </c>
      <c r="AC19" s="2">
        <f>139.5*((22.244-21)/10)*1.2</f>
        <v>20.824559999999995</v>
      </c>
      <c r="AD19" s="2">
        <f t="shared" si="1"/>
        <v>0.69415199999999977</v>
      </c>
      <c r="AE19">
        <f t="shared" si="8"/>
        <v>124.94735999999997</v>
      </c>
    </row>
    <row r="20" spans="1:31" x14ac:dyDescent="0.3">
      <c r="A20" s="7">
        <v>17</v>
      </c>
      <c r="B20" s="7">
        <v>27.47</v>
      </c>
      <c r="C20" s="7">
        <v>1</v>
      </c>
      <c r="D20" s="9">
        <f>139.5*((21.986-21)/10)*1.2</f>
        <v>16.50564000000001</v>
      </c>
      <c r="E20" s="7">
        <f t="shared" si="2"/>
        <v>0.55018800000000034</v>
      </c>
      <c r="F20" s="9">
        <f>139.5*((27.47-21)/10)*1.2</f>
        <v>108.30779999999999</v>
      </c>
      <c r="G20" s="7">
        <f t="shared" si="3"/>
        <v>3.6102599999999994</v>
      </c>
      <c r="H20">
        <f t="shared" si="4"/>
        <v>99.033840000000055</v>
      </c>
      <c r="J20" s="5">
        <v>17</v>
      </c>
      <c r="K20" s="5">
        <v>27.47</v>
      </c>
      <c r="L20" s="5">
        <v>1</v>
      </c>
      <c r="M20" s="5">
        <f>139.5*((21.986-21)/10)*1.2</f>
        <v>16.50564000000001</v>
      </c>
      <c r="N20" s="5">
        <f t="shared" si="0"/>
        <v>0.55018800000000034</v>
      </c>
      <c r="O20">
        <f t="shared" si="5"/>
        <v>99.033840000000055</v>
      </c>
      <c r="Q20" s="4">
        <v>17</v>
      </c>
      <c r="R20" s="4">
        <v>28.38</v>
      </c>
      <c r="S20" s="4">
        <v>1</v>
      </c>
      <c r="T20" s="14">
        <f>139.5*((22.124-21)/10)*1.2</f>
        <v>18.81575999999998</v>
      </c>
      <c r="U20" s="4">
        <f t="shared" si="6"/>
        <v>0.62719199999999931</v>
      </c>
      <c r="V20" s="14">
        <f>139.5*((28.38-21)/10)*1.2</f>
        <v>123.54119999999998</v>
      </c>
      <c r="W20" s="4">
        <f t="shared" si="9"/>
        <v>4.1180399999999988</v>
      </c>
      <c r="X20">
        <f t="shared" si="7"/>
        <v>112.89455999999987</v>
      </c>
      <c r="Z20" s="2">
        <v>17</v>
      </c>
      <c r="AA20" s="2">
        <v>28.38</v>
      </c>
      <c r="AB20" s="2">
        <v>1</v>
      </c>
      <c r="AC20" s="2">
        <f>139.5*((22.124-21)/10)*1.2</f>
        <v>18.81575999999998</v>
      </c>
      <c r="AD20" s="2">
        <f t="shared" si="1"/>
        <v>0.62719199999999931</v>
      </c>
      <c r="AE20">
        <f t="shared" si="8"/>
        <v>112.89455999999987</v>
      </c>
    </row>
    <row r="21" spans="1:31" x14ac:dyDescent="0.3">
      <c r="A21" s="7">
        <v>18</v>
      </c>
      <c r="B21" s="7">
        <v>26.87</v>
      </c>
      <c r="C21" s="7">
        <v>1</v>
      </c>
      <c r="D21" s="9">
        <f>139.5*((21.894-21)/10)*1.2</f>
        <v>14.965559999999973</v>
      </c>
      <c r="E21" s="7">
        <f t="shared" si="2"/>
        <v>0.49885199999999913</v>
      </c>
      <c r="F21" s="9">
        <f>139.5*((21.896-21)/10)*1.2</f>
        <v>14.999040000000011</v>
      </c>
      <c r="G21" s="7">
        <f t="shared" si="3"/>
        <v>0.49996800000000036</v>
      </c>
      <c r="H21">
        <f t="shared" si="4"/>
        <v>89.793359999999836</v>
      </c>
      <c r="J21" s="5">
        <v>18</v>
      </c>
      <c r="K21" s="5">
        <v>26.87</v>
      </c>
      <c r="L21" s="5">
        <v>1</v>
      </c>
      <c r="M21" s="5">
        <f>139.5*((21.894-21)/10)*1.2</f>
        <v>14.965559999999973</v>
      </c>
      <c r="N21" s="5">
        <f t="shared" si="0"/>
        <v>0.49885199999999913</v>
      </c>
      <c r="O21">
        <f t="shared" si="5"/>
        <v>89.793359999999836</v>
      </c>
      <c r="Q21" s="4">
        <v>18</v>
      </c>
      <c r="R21" s="4">
        <v>27.73</v>
      </c>
      <c r="S21" s="4">
        <v>1</v>
      </c>
      <c r="T21" s="14">
        <f>139.5*((22.025-21)/10)*1.2</f>
        <v>17.158499999999975</v>
      </c>
      <c r="U21" s="4">
        <f t="shared" si="6"/>
        <v>0.57194999999999918</v>
      </c>
      <c r="V21" s="14">
        <f>139.5*((22.028-21)/10)*1.2</f>
        <v>17.208719999999975</v>
      </c>
      <c r="W21" s="4">
        <f t="shared" si="9"/>
        <v>0.57362399999999913</v>
      </c>
      <c r="X21">
        <f t="shared" si="7"/>
        <v>102.95099999999985</v>
      </c>
      <c r="Z21" s="2">
        <v>18</v>
      </c>
      <c r="AA21" s="2">
        <v>27.73</v>
      </c>
      <c r="AB21" s="2">
        <v>1</v>
      </c>
      <c r="AC21" s="2">
        <f>139.5*((22.025-21)/10)*1.2</f>
        <v>17.158499999999975</v>
      </c>
      <c r="AD21" s="2">
        <f t="shared" si="1"/>
        <v>0.57194999999999918</v>
      </c>
      <c r="AE21">
        <f t="shared" si="8"/>
        <v>102.95099999999985</v>
      </c>
    </row>
    <row r="22" spans="1:31" x14ac:dyDescent="0.3">
      <c r="A22" s="7">
        <v>19</v>
      </c>
      <c r="B22" s="7">
        <v>26.69</v>
      </c>
      <c r="C22" s="7">
        <v>1</v>
      </c>
      <c r="D22" s="9">
        <f>139.5*((21.865-21)/10)*1.2</f>
        <v>14.480099999999972</v>
      </c>
      <c r="E22" s="7">
        <f t="shared" si="2"/>
        <v>0.48266999999999904</v>
      </c>
      <c r="F22" s="9">
        <f>139.5*((21.866-21)/10)*1.2</f>
        <v>14.496839999999994</v>
      </c>
      <c r="G22" s="7">
        <f t="shared" si="3"/>
        <v>0.48322799999999977</v>
      </c>
      <c r="H22">
        <f t="shared" si="4"/>
        <v>86.880599999999831</v>
      </c>
      <c r="J22" s="5">
        <v>19</v>
      </c>
      <c r="K22" s="5">
        <v>26.69</v>
      </c>
      <c r="L22" s="5">
        <v>1</v>
      </c>
      <c r="M22" s="5">
        <f>139.5*((21.865-21)/10)*1.2</f>
        <v>14.480099999999972</v>
      </c>
      <c r="N22" s="5">
        <f t="shared" si="0"/>
        <v>0.48266999999999904</v>
      </c>
      <c r="O22">
        <f t="shared" si="5"/>
        <v>86.880599999999831</v>
      </c>
      <c r="Q22" s="4">
        <v>19</v>
      </c>
      <c r="R22" s="4">
        <v>27.52</v>
      </c>
      <c r="S22" s="4">
        <v>1</v>
      </c>
      <c r="T22" s="14">
        <f>139.5*((21.992-21)/10)*1.2</f>
        <v>16.606080000000013</v>
      </c>
      <c r="U22" s="4">
        <f t="shared" si="6"/>
        <v>0.55353600000000047</v>
      </c>
      <c r="V22" s="14">
        <f>139.5*((21.992-21)/10)*1.2</f>
        <v>16.606080000000013</v>
      </c>
      <c r="W22" s="4">
        <f t="shared" si="9"/>
        <v>0.55353600000000047</v>
      </c>
      <c r="X22">
        <f t="shared" si="7"/>
        <v>99.636480000000077</v>
      </c>
      <c r="Z22" s="2">
        <v>19</v>
      </c>
      <c r="AA22" s="2">
        <v>27.52</v>
      </c>
      <c r="AB22" s="2">
        <v>1</v>
      </c>
      <c r="AC22" s="2">
        <f>139.5*((21.992-21)/10)*1.2</f>
        <v>16.606080000000013</v>
      </c>
      <c r="AD22" s="2">
        <f t="shared" si="1"/>
        <v>0.55353600000000047</v>
      </c>
      <c r="AE22">
        <f t="shared" si="8"/>
        <v>99.636480000000077</v>
      </c>
    </row>
    <row r="23" spans="1:31" x14ac:dyDescent="0.3">
      <c r="A23" s="7">
        <v>20</v>
      </c>
      <c r="B23" s="7">
        <v>26.61</v>
      </c>
      <c r="C23" s="7">
        <v>1</v>
      </c>
      <c r="D23" s="9">
        <f>139.5*((21.853-21)/10)*1.2</f>
        <v>14.279220000000025</v>
      </c>
      <c r="E23" s="7">
        <f t="shared" si="2"/>
        <v>0.47597400000000084</v>
      </c>
      <c r="F23" s="9">
        <f>139.5*((21.853-21)/10)*1.2</f>
        <v>14.279220000000025</v>
      </c>
      <c r="G23" s="7">
        <f t="shared" si="3"/>
        <v>0.47597400000000084</v>
      </c>
      <c r="H23">
        <f t="shared" si="4"/>
        <v>85.675320000000156</v>
      </c>
      <c r="J23" s="5">
        <v>20</v>
      </c>
      <c r="K23" s="5">
        <v>26.61</v>
      </c>
      <c r="L23" s="5">
        <v>1</v>
      </c>
      <c r="M23" s="5">
        <f>139.5*((21.853-21)/10)*1.2</f>
        <v>14.279220000000025</v>
      </c>
      <c r="N23" s="5">
        <f t="shared" si="0"/>
        <v>0.47597400000000084</v>
      </c>
      <c r="O23">
        <f t="shared" si="5"/>
        <v>85.675320000000156</v>
      </c>
      <c r="Q23" s="4">
        <v>20</v>
      </c>
      <c r="R23" s="4">
        <v>27.41</v>
      </c>
      <c r="S23" s="4">
        <v>1</v>
      </c>
      <c r="T23" s="14">
        <f>139.5*((21.975-21)/10)*1.2</f>
        <v>16.321500000000022</v>
      </c>
      <c r="U23" s="4">
        <f t="shared" si="6"/>
        <v>0.5440500000000007</v>
      </c>
      <c r="V23" s="4">
        <f>139.5*((21.975-21)/10)*1.2</f>
        <v>16.321500000000022</v>
      </c>
      <c r="W23" s="4">
        <f t="shared" si="9"/>
        <v>0.5440500000000007</v>
      </c>
      <c r="X23">
        <f t="shared" si="7"/>
        <v>97.92900000000013</v>
      </c>
      <c r="Z23" s="2">
        <v>20</v>
      </c>
      <c r="AA23" s="2">
        <v>27.41</v>
      </c>
      <c r="AB23" s="2">
        <v>1</v>
      </c>
      <c r="AC23" s="2">
        <f>139.5*((21.975-21)/10)*1.2</f>
        <v>16.321500000000022</v>
      </c>
      <c r="AD23" s="2">
        <f t="shared" si="1"/>
        <v>0.5440500000000007</v>
      </c>
      <c r="AE23">
        <f t="shared" si="8"/>
        <v>97.92900000000013</v>
      </c>
    </row>
    <row r="24" spans="1:31" x14ac:dyDescent="0.3">
      <c r="A24" s="7">
        <v>21</v>
      </c>
      <c r="B24" s="7">
        <v>26.54</v>
      </c>
      <c r="C24" s="7">
        <v>1</v>
      </c>
      <c r="D24" s="9">
        <f>139.5*((21.842-21)/10)*1.2</f>
        <v>14.09507999999998</v>
      </c>
      <c r="E24" s="7">
        <f t="shared" si="2"/>
        <v>0.46983599999999931</v>
      </c>
      <c r="F24" s="9">
        <f>139.5*((21.842-21)/10)*1.2</f>
        <v>14.09507999999998</v>
      </c>
      <c r="G24" s="7">
        <f t="shared" si="3"/>
        <v>0.46983599999999931</v>
      </c>
      <c r="H24">
        <f t="shared" si="4"/>
        <v>84.570479999999876</v>
      </c>
      <c r="J24" s="5">
        <v>21</v>
      </c>
      <c r="K24" s="5">
        <v>26.54</v>
      </c>
      <c r="L24" s="5">
        <v>1</v>
      </c>
      <c r="M24" s="5">
        <f>139.5*((21.842-21)/10)*1.2</f>
        <v>14.09507999999998</v>
      </c>
      <c r="N24" s="5">
        <f t="shared" si="0"/>
        <v>0.46983599999999931</v>
      </c>
      <c r="O24">
        <f t="shared" si="5"/>
        <v>84.570479999999876</v>
      </c>
      <c r="Q24" s="4">
        <v>21</v>
      </c>
      <c r="R24" s="4">
        <v>27.37</v>
      </c>
      <c r="S24" s="4">
        <v>1</v>
      </c>
      <c r="T24" s="4">
        <f>139.5*((21.968-21)/10)*1.2</f>
        <v>16.204319999999999</v>
      </c>
      <c r="U24" s="4">
        <f t="shared" si="6"/>
        <v>0.54014399999999996</v>
      </c>
      <c r="V24" s="4">
        <f>139.5*((21.968-21)/10)*1.2</f>
        <v>16.204319999999999</v>
      </c>
      <c r="W24" s="4">
        <f t="shared" si="9"/>
        <v>0.54014399999999996</v>
      </c>
      <c r="X24">
        <f t="shared" si="7"/>
        <v>97.225920000000002</v>
      </c>
      <c r="Z24" s="2">
        <v>21</v>
      </c>
      <c r="AA24" s="2">
        <v>27.37</v>
      </c>
      <c r="AB24" s="2">
        <v>1</v>
      </c>
      <c r="AC24" s="2">
        <f>139.5*((21.968-21)/10)*1.2</f>
        <v>16.204319999999999</v>
      </c>
      <c r="AD24" s="2">
        <f t="shared" si="1"/>
        <v>0.54014399999999996</v>
      </c>
      <c r="AE24">
        <f t="shared" si="8"/>
        <v>97.225920000000002</v>
      </c>
    </row>
    <row r="25" spans="1:31" x14ac:dyDescent="0.3">
      <c r="A25" s="7">
        <v>22</v>
      </c>
      <c r="B25" s="7">
        <v>26.45</v>
      </c>
      <c r="C25" s="7">
        <v>1</v>
      </c>
      <c r="D25" s="9">
        <f>139.5*((21.829-21)/10)*1.2</f>
        <v>13.877460000000008</v>
      </c>
      <c r="E25" s="7">
        <f t="shared" si="2"/>
        <v>0.46258200000000027</v>
      </c>
      <c r="F25" s="9">
        <f>139.5*((21.829-21)/10)*1.2</f>
        <v>13.877460000000008</v>
      </c>
      <c r="G25" s="7">
        <f t="shared" si="3"/>
        <v>0.46258200000000027</v>
      </c>
      <c r="H25">
        <f t="shared" si="4"/>
        <v>83.264760000000052</v>
      </c>
      <c r="J25" s="5">
        <v>22</v>
      </c>
      <c r="K25" s="5">
        <v>26.45</v>
      </c>
      <c r="L25" s="5">
        <v>1</v>
      </c>
      <c r="M25" s="5">
        <f>139.5*((21.829-21)/10)*1.2</f>
        <v>13.877460000000008</v>
      </c>
      <c r="N25" s="5">
        <f t="shared" si="0"/>
        <v>0.46258200000000027</v>
      </c>
      <c r="O25">
        <f t="shared" si="5"/>
        <v>83.264760000000052</v>
      </c>
      <c r="Q25" s="4">
        <v>22</v>
      </c>
      <c r="R25" s="4">
        <v>27.3</v>
      </c>
      <c r="S25" s="4">
        <v>1</v>
      </c>
      <c r="T25" s="4">
        <f>139.5*((21.958-21)/10)*1.2</f>
        <v>16.036919999999974</v>
      </c>
      <c r="U25" s="4">
        <f t="shared" si="6"/>
        <v>0.53456399999999915</v>
      </c>
      <c r="V25" s="4">
        <f>139.5*((21.958-21)/10)*1.2</f>
        <v>16.036919999999974</v>
      </c>
      <c r="W25" s="4">
        <f t="shared" si="9"/>
        <v>0.53456399999999915</v>
      </c>
      <c r="X25">
        <f t="shared" si="7"/>
        <v>96.221519999999842</v>
      </c>
      <c r="Z25" s="2">
        <v>22</v>
      </c>
      <c r="AA25" s="2">
        <v>27.3</v>
      </c>
      <c r="AB25" s="2">
        <v>1</v>
      </c>
      <c r="AC25" s="2">
        <f>139.5*((21.958-21)/10)*1.2</f>
        <v>16.036919999999974</v>
      </c>
      <c r="AD25" s="2">
        <f t="shared" si="1"/>
        <v>0.53456399999999915</v>
      </c>
      <c r="AE25">
        <f t="shared" si="8"/>
        <v>96.221519999999842</v>
      </c>
    </row>
    <row r="26" spans="1:31" x14ac:dyDescent="0.3">
      <c r="A26" s="7">
        <v>23</v>
      </c>
      <c r="B26" s="7">
        <v>26.33</v>
      </c>
      <c r="C26" s="7">
        <v>1</v>
      </c>
      <c r="D26" s="9">
        <f>139.5*((21.811-21)/10)*1.2</f>
        <v>13.576139999999999</v>
      </c>
      <c r="E26" s="7">
        <f t="shared" si="2"/>
        <v>0.45253799999999994</v>
      </c>
      <c r="F26" s="9">
        <f>139.5*((21.811-21)/10)*1.2</f>
        <v>13.576139999999999</v>
      </c>
      <c r="G26" s="7">
        <f t="shared" si="3"/>
        <v>0.45253799999999994</v>
      </c>
      <c r="H26">
        <f t="shared" si="4"/>
        <v>81.45684</v>
      </c>
      <c r="J26" s="5">
        <v>23</v>
      </c>
      <c r="K26" s="5">
        <v>26.33</v>
      </c>
      <c r="L26" s="5">
        <v>1</v>
      </c>
      <c r="M26" s="5">
        <f>139.5*((21.811-21)/10)*1.2</f>
        <v>13.576139999999999</v>
      </c>
      <c r="N26" s="5">
        <f t="shared" si="0"/>
        <v>0.45253799999999994</v>
      </c>
      <c r="O26">
        <f t="shared" si="5"/>
        <v>81.45684</v>
      </c>
      <c r="Q26" s="4">
        <v>23</v>
      </c>
      <c r="R26" s="4">
        <v>27.2</v>
      </c>
      <c r="S26" s="4">
        <v>1</v>
      </c>
      <c r="T26" s="4">
        <f>139.5*((21.943-21)/10)*1.2</f>
        <v>15.785820000000022</v>
      </c>
      <c r="U26" s="16">
        <f t="shared" si="6"/>
        <v>0.52619400000000072</v>
      </c>
      <c r="V26" s="4">
        <f>139.5*((21.943-21)/10)*1.2</f>
        <v>15.785820000000022</v>
      </c>
      <c r="W26" s="4">
        <f t="shared" si="9"/>
        <v>0.52619400000000072</v>
      </c>
      <c r="X26">
        <f t="shared" si="7"/>
        <v>94.714920000000134</v>
      </c>
      <c r="Z26" s="2">
        <v>23</v>
      </c>
      <c r="AA26" s="2">
        <v>27.2</v>
      </c>
      <c r="AB26" s="2">
        <v>1</v>
      </c>
      <c r="AC26" s="2">
        <f>139.5*((21.943-21)/10)*1.2</f>
        <v>15.785820000000022</v>
      </c>
      <c r="AD26" s="2">
        <f t="shared" si="1"/>
        <v>0.52619400000000072</v>
      </c>
      <c r="AE26">
        <f t="shared" si="8"/>
        <v>94.714920000000134</v>
      </c>
    </row>
  </sheetData>
  <mergeCells count="4">
    <mergeCell ref="A1:G1"/>
    <mergeCell ref="J1:N1"/>
    <mergeCell ref="Q1:W1"/>
    <mergeCell ref="Z1:A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TV</vt:lpstr>
      <vt:lpstr>lavadora</vt:lpstr>
      <vt:lpstr>nevera</vt:lpstr>
      <vt:lpstr>luz</vt:lpstr>
      <vt:lpstr>aire</vt:lpstr>
      <vt:lpstr>aire DC</vt:lpstr>
      <vt:lpstr>aire_acondicionado_AC</vt:lpstr>
      <vt:lpstr>aire_acondicionado_DC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NICOLÁS LOZANO MOYA</cp:lastModifiedBy>
  <cp:lastPrinted>2024-02-22T15:42:53Z</cp:lastPrinted>
  <dcterms:created xsi:type="dcterms:W3CDTF">2023-08-17T03:38:52Z</dcterms:created>
  <dcterms:modified xsi:type="dcterms:W3CDTF">2024-05-23T23:03:33Z</dcterms:modified>
</cp:coreProperties>
</file>