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álisis de retail 1\"/>
    </mc:Choice>
  </mc:AlternateContent>
  <xr:revisionPtr revIDLastSave="0" documentId="13_ncr:1_{F046E2B7-6497-4B4E-8693-E32C5433DD54}" xr6:coauthVersionLast="47" xr6:coauthVersionMax="47" xr10:uidLastSave="{00000000-0000-0000-0000-000000000000}"/>
  <bookViews>
    <workbookView xWindow="-110" yWindow="-110" windowWidth="19420" windowHeight="10300" activeTab="1" xr2:uid="{8445C1B2-2105-4A07-B070-8DB94E9DFAD0}"/>
  </bookViews>
  <sheets>
    <sheet name="Referencia" sheetId="6" r:id="rId1"/>
    <sheet name="Zonas" sheetId="10" r:id="rId2"/>
    <sheet name="Productos" sheetId="11" r:id="rId3"/>
    <sheet name="Resumen_Diario" sheetId="1" r:id="rId4"/>
    <sheet name="RAW_DATA" sheetId="2" r:id="rId5"/>
    <sheet name="Hoja1" sheetId="12" r:id="rId6"/>
    <sheet name="Clientes" sheetId="4" state="hidden" r:id="rId7"/>
  </sheets>
  <externalReferences>
    <externalReference r:id="rId8"/>
  </externalReferences>
  <definedNames>
    <definedName name="_xlnm._FilterDatabase" localSheetId="6" hidden="1">Clientes!$A$1:$N$179</definedName>
    <definedName name="_xlnm._FilterDatabase" localSheetId="2" hidden="1">Productos!$A$1:$E$237</definedName>
    <definedName name="_xlnm._FilterDatabase" localSheetId="4" hidden="1">RAW_DATA!$A$1:$N$387</definedName>
    <definedName name="_xlnm._FilterDatabase" localSheetId="0" hidden="1">Referencia!$A$14:$B$193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9" i="2" l="1"/>
  <c r="E429" i="2"/>
  <c r="C429" i="2" s="1"/>
  <c r="L428" i="2"/>
  <c r="E428" i="2"/>
  <c r="C428" i="2" s="1"/>
  <c r="L427" i="2"/>
  <c r="E427" i="2"/>
  <c r="C427" i="2" s="1"/>
  <c r="J426" i="2"/>
  <c r="L426" i="2" s="1"/>
  <c r="E426" i="2"/>
  <c r="C426" i="2" s="1"/>
  <c r="L425" i="2"/>
  <c r="E425" i="2"/>
  <c r="C425" i="2" s="1"/>
  <c r="L424" i="2"/>
  <c r="E424" i="2"/>
  <c r="C424" i="2" s="1"/>
  <c r="L423" i="2"/>
  <c r="E423" i="2"/>
  <c r="C423" i="2" s="1"/>
  <c r="L422" i="2"/>
  <c r="E422" i="2"/>
  <c r="C422" i="2" s="1"/>
  <c r="L421" i="2"/>
  <c r="E421" i="2"/>
  <c r="C421" i="2" s="1"/>
  <c r="L420" i="2"/>
  <c r="E420" i="2"/>
  <c r="C420" i="2" s="1"/>
  <c r="J419" i="2"/>
  <c r="L419" i="2" s="1"/>
  <c r="E419" i="2"/>
  <c r="C419" i="2" s="1"/>
  <c r="L418" i="2"/>
  <c r="E418" i="2"/>
  <c r="C418" i="2" s="1"/>
  <c r="L417" i="2"/>
  <c r="E417" i="2"/>
  <c r="C417" i="2" s="1"/>
  <c r="L416" i="2"/>
  <c r="E416" i="2"/>
  <c r="L415" i="2"/>
  <c r="E415" i="2"/>
  <c r="C415" i="2" s="1"/>
  <c r="L414" i="2"/>
  <c r="E414" i="2"/>
  <c r="C414" i="2" s="1"/>
  <c r="L413" i="2"/>
  <c r="E413" i="2"/>
  <c r="C413" i="2" s="1"/>
  <c r="L412" i="2"/>
  <c r="E412" i="2"/>
  <c r="C412" i="2" s="1"/>
  <c r="L411" i="2"/>
  <c r="E411" i="2"/>
  <c r="C411" i="2" s="1"/>
  <c r="L410" i="2"/>
  <c r="E410" i="2"/>
  <c r="C410" i="2" s="1"/>
  <c r="L409" i="2"/>
  <c r="E409" i="2"/>
  <c r="C409" i="2" s="1"/>
  <c r="L408" i="2"/>
  <c r="E408" i="2"/>
  <c r="L407" i="2"/>
  <c r="E407" i="2"/>
  <c r="L406" i="2"/>
  <c r="E406" i="2"/>
  <c r="C406" i="2" s="1"/>
  <c r="L405" i="2"/>
  <c r="E405" i="2"/>
  <c r="C405" i="2" s="1"/>
  <c r="L404" i="2"/>
  <c r="E404" i="2"/>
  <c r="C404" i="2" s="1"/>
  <c r="L403" i="2"/>
  <c r="E403" i="2"/>
  <c r="C403" i="2" s="1"/>
  <c r="L402" i="2"/>
  <c r="E402" i="2"/>
  <c r="C402" i="2" s="1"/>
  <c r="L401" i="2"/>
  <c r="E401" i="2"/>
  <c r="C401" i="2" s="1"/>
  <c r="L400" i="2"/>
  <c r="E400" i="2"/>
  <c r="C400" i="2" s="1"/>
  <c r="L399" i="2"/>
  <c r="E399" i="2"/>
  <c r="C399" i="2" s="1"/>
  <c r="L398" i="2"/>
  <c r="E398" i="2"/>
  <c r="C398" i="2" s="1"/>
  <c r="L397" i="2"/>
  <c r="E397" i="2"/>
  <c r="C397" i="2" s="1"/>
  <c r="L396" i="2"/>
  <c r="E396" i="2"/>
  <c r="C396" i="2" s="1"/>
  <c r="L395" i="2"/>
  <c r="E395" i="2"/>
  <c r="C395" i="2" s="1"/>
  <c r="L394" i="2"/>
  <c r="E394" i="2"/>
  <c r="C394" i="2" s="1"/>
  <c r="L393" i="2"/>
  <c r="E393" i="2"/>
  <c r="C393" i="2" s="1"/>
  <c r="L392" i="2"/>
  <c r="E392" i="2"/>
  <c r="C392" i="2" s="1"/>
  <c r="L391" i="2"/>
  <c r="E391" i="2"/>
  <c r="C391" i="2" s="1"/>
  <c r="L390" i="2"/>
  <c r="E390" i="2"/>
  <c r="C390" i="2" s="1"/>
  <c r="L389" i="2"/>
  <c r="E389" i="2"/>
  <c r="C389" i="2" s="1"/>
  <c r="L388" i="2"/>
  <c r="E388" i="2"/>
  <c r="C388" i="2" s="1"/>
  <c r="C387" i="2" l="1"/>
  <c r="C386" i="2"/>
  <c r="C385" i="2"/>
  <c r="C384" i="2"/>
  <c r="C356" i="2"/>
  <c r="C352" i="2"/>
  <c r="C351" i="2"/>
  <c r="C350" i="2"/>
  <c r="C349" i="2"/>
  <c r="C348" i="2"/>
  <c r="C347" i="2"/>
  <c r="C346" i="2"/>
  <c r="C311" i="2"/>
  <c r="C267" i="2"/>
  <c r="C266" i="2"/>
  <c r="C265" i="2"/>
  <c r="C247" i="2"/>
  <c r="C246" i="2"/>
  <c r="C239" i="2"/>
  <c r="C227" i="2"/>
  <c r="C226" i="2"/>
  <c r="C225" i="2"/>
  <c r="C221" i="2"/>
  <c r="C181" i="2"/>
  <c r="C150" i="2"/>
  <c r="C133" i="2"/>
  <c r="C131" i="2"/>
  <c r="C114" i="2"/>
  <c r="C37" i="2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2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2" i="2"/>
  <c r="C223" i="2"/>
  <c r="C224" i="2"/>
  <c r="C228" i="2"/>
  <c r="C229" i="2"/>
  <c r="C230" i="2"/>
  <c r="C231" i="2"/>
  <c r="C232" i="2"/>
  <c r="C233" i="2"/>
  <c r="C234" i="2"/>
  <c r="C235" i="2"/>
  <c r="C236" i="2"/>
  <c r="C237" i="2"/>
  <c r="C238" i="2"/>
  <c r="C240" i="2"/>
  <c r="C241" i="2"/>
  <c r="C242" i="2"/>
  <c r="C243" i="2"/>
  <c r="C244" i="2"/>
  <c r="C245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53" i="2"/>
  <c r="C354" i="2"/>
  <c r="C355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23" i="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I34" i="1"/>
  <c r="E387" i="2"/>
  <c r="L380" i="2"/>
  <c r="L381" i="2"/>
  <c r="L382" i="2"/>
  <c r="L383" i="2"/>
  <c r="L384" i="2"/>
  <c r="L385" i="2"/>
  <c r="L386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L374" i="2"/>
  <c r="L375" i="2"/>
  <c r="L376" i="2"/>
  <c r="L377" i="2"/>
  <c r="L378" i="2"/>
  <c r="L379" i="2"/>
  <c r="L373" i="2"/>
  <c r="L372" i="2"/>
  <c r="L371" i="2"/>
  <c r="L370" i="2"/>
  <c r="L365" i="2"/>
  <c r="L366" i="2"/>
  <c r="L367" i="2"/>
  <c r="L368" i="2"/>
  <c r="L369" i="2"/>
  <c r="I33" i="1"/>
  <c r="E360" i="2"/>
  <c r="E361" i="2"/>
  <c r="E362" i="2"/>
  <c r="E363" i="2"/>
  <c r="E364" i="2"/>
  <c r="E365" i="2"/>
  <c r="E366" i="2"/>
  <c r="E367" i="2"/>
  <c r="E368" i="2"/>
  <c r="L364" i="2"/>
  <c r="L363" i="2"/>
  <c r="L362" i="2"/>
  <c r="L361" i="2"/>
  <c r="L360" i="2"/>
  <c r="E357" i="2" l="1"/>
  <c r="E358" i="2"/>
  <c r="E359" i="2"/>
  <c r="L359" i="2"/>
  <c r="L358" i="2"/>
  <c r="L357" i="2"/>
  <c r="E354" i="2"/>
  <c r="E355" i="2"/>
  <c r="E356" i="2"/>
  <c r="L356" i="2"/>
  <c r="L355" i="2"/>
  <c r="L3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2" i="2"/>
  <c r="D4" i="4"/>
  <c r="D17" i="4"/>
  <c r="D22" i="4"/>
  <c r="D21" i="4"/>
  <c r="D7" i="4"/>
  <c r="D8" i="4"/>
  <c r="D14" i="4"/>
  <c r="D3" i="4"/>
  <c r="D16" i="4"/>
  <c r="D179" i="4"/>
  <c r="D5" i="4"/>
  <c r="D10" i="4"/>
  <c r="D9" i="4"/>
  <c r="D18" i="4"/>
  <c r="D15" i="4"/>
  <c r="D11" i="4"/>
  <c r="D65" i="4"/>
  <c r="D19" i="4"/>
  <c r="D35" i="4"/>
  <c r="D12" i="4"/>
  <c r="D20" i="4"/>
  <c r="D23" i="4"/>
  <c r="D28" i="4"/>
  <c r="D26" i="4"/>
  <c r="D30" i="4"/>
  <c r="D24" i="4"/>
  <c r="D27" i="4"/>
  <c r="D29" i="4"/>
  <c r="D32" i="4"/>
  <c r="D13" i="4"/>
  <c r="D34" i="4"/>
  <c r="D31" i="4"/>
  <c r="D47" i="4"/>
  <c r="D36" i="4"/>
  <c r="D6" i="4"/>
  <c r="D88" i="4"/>
  <c r="D45" i="4"/>
  <c r="D49" i="4"/>
  <c r="D87" i="4"/>
  <c r="D73" i="4"/>
  <c r="D37" i="4"/>
  <c r="D39" i="4"/>
  <c r="D33" i="4"/>
  <c r="D62" i="4"/>
  <c r="D38" i="4"/>
  <c r="D43" i="4"/>
  <c r="D127" i="4"/>
  <c r="D40" i="4"/>
  <c r="D41" i="4"/>
  <c r="D25" i="4"/>
  <c r="D46" i="4"/>
  <c r="D72" i="4"/>
  <c r="D44" i="4"/>
  <c r="D50" i="4"/>
  <c r="D54" i="4"/>
  <c r="D48" i="4"/>
  <c r="D58" i="4"/>
  <c r="D59" i="4"/>
  <c r="D56" i="4"/>
  <c r="D51" i="4"/>
  <c r="D57" i="4"/>
  <c r="D52" i="4"/>
  <c r="D53" i="4"/>
  <c r="D55" i="4"/>
  <c r="D67" i="4"/>
  <c r="D63" i="4"/>
  <c r="D79" i="4"/>
  <c r="D61" i="4"/>
  <c r="D74" i="4"/>
  <c r="D64" i="4"/>
  <c r="D66" i="4"/>
  <c r="D76" i="4"/>
  <c r="D60" i="4"/>
  <c r="D86" i="4"/>
  <c r="D42" i="4"/>
  <c r="D68" i="4"/>
  <c r="D69" i="4"/>
  <c r="D70" i="4"/>
  <c r="D71" i="4"/>
  <c r="D77" i="4"/>
  <c r="D78" i="4"/>
  <c r="D116" i="4"/>
  <c r="D75" i="4"/>
  <c r="D80" i="4"/>
  <c r="D81" i="4"/>
  <c r="D82" i="4"/>
  <c r="D83" i="4"/>
  <c r="D84" i="4"/>
  <c r="D100" i="4"/>
  <c r="D89" i="4"/>
  <c r="D90" i="4"/>
  <c r="D91" i="4"/>
  <c r="D92" i="4"/>
  <c r="D93" i="4"/>
  <c r="D94" i="4"/>
  <c r="D95" i="4"/>
  <c r="D85" i="4"/>
  <c r="D96" i="4"/>
  <c r="D98" i="4"/>
  <c r="D97" i="4"/>
  <c r="D107" i="4"/>
  <c r="D99" i="4"/>
  <c r="D102" i="4"/>
  <c r="D103" i="4"/>
  <c r="D104" i="4"/>
  <c r="D105" i="4"/>
  <c r="D101" i="4"/>
  <c r="D111" i="4"/>
  <c r="D106" i="4"/>
  <c r="D108" i="4"/>
  <c r="D109" i="4"/>
  <c r="D117" i="4"/>
  <c r="D112" i="4"/>
  <c r="D110" i="4"/>
  <c r="D113" i="4"/>
  <c r="D115" i="4"/>
  <c r="D133" i="4"/>
  <c r="D114" i="4"/>
  <c r="D118" i="4"/>
  <c r="D119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6" i="4"/>
  <c r="D134" i="4"/>
  <c r="D135" i="4"/>
  <c r="D137" i="4"/>
  <c r="D140" i="4"/>
  <c r="D138" i="4"/>
  <c r="D139" i="4"/>
  <c r="D143" i="4"/>
  <c r="D141" i="4"/>
  <c r="D142" i="4"/>
  <c r="D17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4" i="4"/>
  <c r="D177" i="4"/>
  <c r="D176" i="4"/>
  <c r="D178" i="4"/>
  <c r="D2" i="4"/>
  <c r="I31" i="1"/>
  <c r="E31" i="1"/>
  <c r="I32" i="1" s="1"/>
  <c r="L353" i="2"/>
  <c r="L351" i="2"/>
  <c r="L352" i="2"/>
  <c r="L350" i="2"/>
  <c r="L349" i="2"/>
  <c r="L348" i="2"/>
  <c r="L347" i="2"/>
  <c r="L346" i="2"/>
  <c r="L330" i="2"/>
  <c r="L331" i="2"/>
  <c r="L332" i="2"/>
  <c r="L333" i="2"/>
  <c r="L334" i="2"/>
  <c r="L335" i="2"/>
  <c r="L336" i="2"/>
  <c r="L337" i="2"/>
  <c r="L338" i="2"/>
  <c r="L339" i="2"/>
  <c r="L340" i="2"/>
  <c r="L342" i="2"/>
  <c r="L343" i="2"/>
  <c r="L344" i="2"/>
  <c r="L345" i="2"/>
  <c r="J341" i="2"/>
  <c r="L341" i="2" s="1"/>
  <c r="L329" i="2"/>
  <c r="I30" i="1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I29" i="1"/>
  <c r="J246" i="2"/>
  <c r="L246" i="2" s="1"/>
  <c r="J174" i="2"/>
  <c r="L174" i="2" s="1"/>
  <c r="I28" i="1"/>
  <c r="I27" i="1"/>
  <c r="L284" i="2"/>
  <c r="L285" i="2"/>
  <c r="L286" i="2"/>
  <c r="L287" i="2"/>
  <c r="L288" i="2"/>
  <c r="L283" i="2"/>
  <c r="I26" i="1"/>
  <c r="L275" i="2"/>
  <c r="L276" i="2"/>
  <c r="L277" i="2"/>
  <c r="L278" i="2"/>
  <c r="L279" i="2"/>
  <c r="L280" i="2"/>
  <c r="L281" i="2"/>
  <c r="L282" i="2"/>
  <c r="L269" i="2"/>
  <c r="L270" i="2"/>
  <c r="L271" i="2"/>
  <c r="L272" i="2"/>
  <c r="L274" i="2"/>
  <c r="L273" i="2"/>
  <c r="L26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I25" i="1"/>
  <c r="I24" i="1"/>
  <c r="L247" i="2"/>
  <c r="L248" i="2"/>
  <c r="I23" i="1"/>
  <c r="L245" i="2"/>
  <c r="L244" i="2"/>
  <c r="I22" i="1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I21" i="1"/>
  <c r="L227" i="2"/>
  <c r="L226" i="2"/>
  <c r="L225" i="2"/>
  <c r="L224" i="2"/>
  <c r="L223" i="2"/>
  <c r="L222" i="2"/>
  <c r="L221" i="2"/>
  <c r="L220" i="2"/>
  <c r="L219" i="2"/>
  <c r="L217" i="2"/>
  <c r="L218" i="2"/>
  <c r="L216" i="2"/>
  <c r="L215" i="2"/>
  <c r="E20" i="1"/>
  <c r="D20" i="1"/>
  <c r="I20" i="1" s="1"/>
  <c r="L59" i="2"/>
  <c r="L214" i="2"/>
  <c r="L213" i="2"/>
  <c r="L212" i="2"/>
  <c r="L211" i="2"/>
  <c r="L210" i="2"/>
  <c r="L209" i="2"/>
  <c r="L208" i="2"/>
  <c r="L207" i="2"/>
  <c r="L206" i="2"/>
  <c r="L199" i="2"/>
  <c r="L200" i="2"/>
  <c r="L201" i="2"/>
  <c r="L202" i="2"/>
  <c r="L203" i="2"/>
  <c r="L204" i="2"/>
  <c r="L205" i="2"/>
  <c r="J198" i="2"/>
  <c r="L198" i="2" s="1"/>
  <c r="J197" i="2"/>
  <c r="L197" i="2" s="1"/>
  <c r="I19" i="1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I18" i="1"/>
  <c r="L181" i="2"/>
  <c r="L180" i="2"/>
  <c r="L179" i="2"/>
  <c r="L178" i="2"/>
  <c r="L177" i="2"/>
  <c r="I17" i="1"/>
  <c r="L172" i="2"/>
  <c r="L173" i="2"/>
  <c r="L175" i="2"/>
  <c r="L176" i="2"/>
  <c r="L171" i="2"/>
  <c r="L170" i="2"/>
  <c r="L169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20" i="2"/>
  <c r="L121" i="2"/>
  <c r="L122" i="2"/>
  <c r="L123" i="2"/>
  <c r="L124" i="2"/>
  <c r="L125" i="2"/>
  <c r="L126" i="2"/>
  <c r="L127" i="2"/>
  <c r="L128" i="2"/>
  <c r="L129" i="2"/>
  <c r="L131" i="2"/>
  <c r="L132" i="2"/>
  <c r="L133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J159" i="2"/>
  <c r="I16" i="1"/>
  <c r="J140" i="2"/>
  <c r="I15" i="1"/>
  <c r="J134" i="2"/>
  <c r="K134" i="2" l="1"/>
  <c r="L134" i="2" s="1"/>
  <c r="J130" i="2"/>
  <c r="L130" i="2" s="1"/>
  <c r="I14" i="1"/>
  <c r="I13" i="1"/>
  <c r="K119" i="2"/>
  <c r="J119" i="2"/>
  <c r="I12" i="1"/>
  <c r="J106" i="2"/>
  <c r="L106" i="2" s="1"/>
  <c r="I11" i="1"/>
  <c r="I10" i="1"/>
  <c r="L119" i="2" l="1"/>
  <c r="I8" i="1"/>
  <c r="I9" i="1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 l="1"/>
  <c r="L75" i="2"/>
  <c r="L74" i="2"/>
  <c r="L73" i="2"/>
  <c r="L72" i="2"/>
  <c r="L71" i="2"/>
  <c r="L70" i="2"/>
  <c r="L69" i="2"/>
  <c r="L68" i="2"/>
  <c r="L67" i="2"/>
  <c r="J66" i="2"/>
  <c r="L66" i="2" s="1"/>
  <c r="J65" i="2"/>
  <c r="L65" i="2" s="1"/>
  <c r="J64" i="2"/>
  <c r="L64" i="2" s="1"/>
  <c r="L63" i="2"/>
  <c r="J62" i="2"/>
  <c r="L62" i="2" s="1"/>
  <c r="J61" i="2"/>
  <c r="L61" i="2" s="1"/>
  <c r="J60" i="2"/>
  <c r="L60" i="2" s="1"/>
  <c r="J58" i="2"/>
  <c r="L58" i="2" s="1"/>
  <c r="J57" i="2"/>
  <c r="L57" i="2" s="1"/>
  <c r="L56" i="2"/>
  <c r="L55" i="2"/>
  <c r="L54" i="2"/>
  <c r="L53" i="2"/>
  <c r="L52" i="2"/>
  <c r="L51" i="2"/>
  <c r="L50" i="2"/>
  <c r="L49" i="2"/>
  <c r="L48" i="2"/>
  <c r="L47" i="2"/>
  <c r="L46" i="2"/>
  <c r="J45" i="2"/>
  <c r="L45" i="2" s="1"/>
  <c r="J44" i="2"/>
  <c r="L44" i="2" s="1"/>
  <c r="L43" i="2"/>
  <c r="L42" i="2"/>
  <c r="L41" i="2"/>
  <c r="K40" i="2"/>
  <c r="J40" i="2"/>
  <c r="K39" i="2"/>
  <c r="J39" i="2"/>
  <c r="L39" i="2" s="1"/>
  <c r="J38" i="2"/>
  <c r="L38" i="2" s="1"/>
  <c r="L37" i="2"/>
  <c r="L36" i="2"/>
  <c r="L35" i="2"/>
  <c r="L34" i="2"/>
  <c r="L33" i="2"/>
  <c r="K32" i="2"/>
  <c r="J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7" i="1"/>
  <c r="I6" i="1"/>
  <c r="I5" i="1"/>
  <c r="I3" i="1"/>
  <c r="E3" i="1"/>
  <c r="I4" i="1" s="1"/>
  <c r="F2" i="1"/>
  <c r="L32" i="2" l="1"/>
  <c r="L40" i="2"/>
</calcChain>
</file>

<file path=xl/sharedStrings.xml><?xml version="1.0" encoding="utf-8"?>
<sst xmlns="http://schemas.openxmlformats.org/spreadsheetml/2006/main" count="9118" uniqueCount="1154">
  <si>
    <t>Zona</t>
  </si>
  <si>
    <t>Fecha</t>
  </si>
  <si>
    <t>Cartera Actual</t>
  </si>
  <si>
    <t>Rodamiento</t>
  </si>
  <si>
    <t>#Visitas</t>
  </si>
  <si>
    <t>#Ventas</t>
  </si>
  <si>
    <t>%Cartera Recuperada</t>
  </si>
  <si>
    <t>Observaciones</t>
  </si>
  <si>
    <t>Sabana Norte</t>
  </si>
  <si>
    <t>Sabana Noroccidente</t>
  </si>
  <si>
    <t>Partido selección</t>
  </si>
  <si>
    <t>full cobro</t>
  </si>
  <si>
    <t>Cliente</t>
  </si>
  <si>
    <t>Producto</t>
  </si>
  <si>
    <t>Cantidad</t>
  </si>
  <si>
    <t>Proveedor</t>
  </si>
  <si>
    <t>Precio Neto</t>
  </si>
  <si>
    <t>Precio Venta</t>
  </si>
  <si>
    <t>Ganancia</t>
  </si>
  <si>
    <t>Pago</t>
  </si>
  <si>
    <t>Canal</t>
  </si>
  <si>
    <t>Pistola pintar pared</t>
  </si>
  <si>
    <t>capris</t>
  </si>
  <si>
    <t>Contado</t>
  </si>
  <si>
    <t>Presencial</t>
  </si>
  <si>
    <t>Pelacable largo THT15101</t>
  </si>
  <si>
    <t>penagos</t>
  </si>
  <si>
    <t>Crédito</t>
  </si>
  <si>
    <t>alicate expansivo</t>
  </si>
  <si>
    <t>cortafrio</t>
  </si>
  <si>
    <t>Alicate punta</t>
  </si>
  <si>
    <t>Jabon</t>
  </si>
  <si>
    <t>toolcraft</t>
  </si>
  <si>
    <t>Extractor de tornillos</t>
  </si>
  <si>
    <t>Acoples ACO5FU</t>
  </si>
  <si>
    <t>uyusa</t>
  </si>
  <si>
    <t>Alicate expansivo</t>
  </si>
  <si>
    <t>llave 17mm</t>
  </si>
  <si>
    <t>llave 15mm</t>
  </si>
  <si>
    <t>Llaves eastman 24 y 22</t>
  </si>
  <si>
    <t>valentina</t>
  </si>
  <si>
    <t>rachet múltiple</t>
  </si>
  <si>
    <t>dest golpe total</t>
  </si>
  <si>
    <t>hoyostools</t>
  </si>
  <si>
    <t>pinza combustible</t>
  </si>
  <si>
    <t>Pinza doble abrazadera</t>
  </si>
  <si>
    <t>Sacapines</t>
  </si>
  <si>
    <t>Bateria total 4AMOP</t>
  </si>
  <si>
    <t>repuesto volvedor largo 1/2</t>
  </si>
  <si>
    <t>Gato 3T caimán</t>
  </si>
  <si>
    <t>Javier Toyo</t>
  </si>
  <si>
    <t>Combo 2 pistolas impacto</t>
  </si>
  <si>
    <t>Pedro reyes</t>
  </si>
  <si>
    <t>llave 11mm</t>
  </si>
  <si>
    <t>copa 21 force larga</t>
  </si>
  <si>
    <t>copa 19 force larga</t>
  </si>
  <si>
    <t>copa 17 force larga</t>
  </si>
  <si>
    <t>Oscar Porras</t>
  </si>
  <si>
    <t>Protectores guardabarros</t>
  </si>
  <si>
    <t>chicago</t>
  </si>
  <si>
    <t>linternas</t>
  </si>
  <si>
    <t>eduardo martinez</t>
  </si>
  <si>
    <t>pistola soldar</t>
  </si>
  <si>
    <t>david peña</t>
  </si>
  <si>
    <t>llave 19 rachet</t>
  </si>
  <si>
    <t>estetoscópio</t>
  </si>
  <si>
    <t>Copa 32 corta force</t>
  </si>
  <si>
    <t>Pinza punta 8"</t>
  </si>
  <si>
    <t>pinza sacapines</t>
  </si>
  <si>
    <t>llave 13 eastman</t>
  </si>
  <si>
    <t>llave 10 total</t>
  </si>
  <si>
    <t>dest tatamacos x2</t>
  </si>
  <si>
    <t>Juego 1/4 total</t>
  </si>
  <si>
    <t>pistola impacto RR</t>
  </si>
  <si>
    <t>Gerardo</t>
  </si>
  <si>
    <t>Juego 3/8 force</t>
  </si>
  <si>
    <t>volvedor 1/2</t>
  </si>
  <si>
    <t>luis corpus</t>
  </si>
  <si>
    <t>taladro 20v2amp</t>
  </si>
  <si>
    <t>yilber</t>
  </si>
  <si>
    <t xml:space="preserve">helicoil </t>
  </si>
  <si>
    <t>Recogedor espirales pesado</t>
  </si>
  <si>
    <t>Funza</t>
  </si>
  <si>
    <t>Caja plástica total</t>
  </si>
  <si>
    <t>flexómetro 8mts</t>
  </si>
  <si>
    <t>juego rachet 1/2 blister</t>
  </si>
  <si>
    <t>juego alicates x3</t>
  </si>
  <si>
    <t>maleta grande</t>
  </si>
  <si>
    <t>juego rachet 3/8 blister</t>
  </si>
  <si>
    <t>bisturi total</t>
  </si>
  <si>
    <t>Ivan AZ</t>
  </si>
  <si>
    <t>Copas extractoras</t>
  </si>
  <si>
    <t>dest golpe x12</t>
  </si>
  <si>
    <t>ganchos oring</t>
  </si>
  <si>
    <t>chaleco</t>
  </si>
  <si>
    <t>multimetro 6000v</t>
  </si>
  <si>
    <t>Fabian patrón</t>
  </si>
  <si>
    <t>aspiradora 1400w 30L DRY/WET</t>
  </si>
  <si>
    <t>Ricardo Gerardo</t>
  </si>
  <si>
    <t>Llaves tatamaco fijas rachet</t>
  </si>
  <si>
    <t>Clase</t>
  </si>
  <si>
    <t>Estado</t>
  </si>
  <si>
    <t>Cartera</t>
  </si>
  <si>
    <t>Deuda</t>
  </si>
  <si>
    <t>Última Compra</t>
  </si>
  <si>
    <t>Email</t>
  </si>
  <si>
    <t xml:space="preserve">Teléfono </t>
  </si>
  <si>
    <t xml:space="preserve">Dirección </t>
  </si>
  <si>
    <t>Alberto</t>
  </si>
  <si>
    <t>Sopó</t>
  </si>
  <si>
    <t>B</t>
  </si>
  <si>
    <t>Yes</t>
  </si>
  <si>
    <t>Andres Frenos</t>
  </si>
  <si>
    <t>Activo</t>
  </si>
  <si>
    <t>12 de junio de 2025</t>
  </si>
  <si>
    <t>jhon parqueautomotor</t>
  </si>
  <si>
    <t>10 de junio de 2025</t>
  </si>
  <si>
    <t>7 trojes</t>
  </si>
  <si>
    <t>Pedro Vasquez</t>
  </si>
  <si>
    <t>C</t>
  </si>
  <si>
    <t>Bomba terpel</t>
  </si>
  <si>
    <t>Andres Kia</t>
  </si>
  <si>
    <t>Chia</t>
  </si>
  <si>
    <t>A</t>
  </si>
  <si>
    <t>Garantia</t>
  </si>
  <si>
    <t>Especializada kis mazda</t>
  </si>
  <si>
    <t>Serviteca Aguilas</t>
  </si>
  <si>
    <t>Tenjo</t>
  </si>
  <si>
    <t>Miguel y tito</t>
  </si>
  <si>
    <t>Tabio</t>
  </si>
  <si>
    <t>Diagonal oscar porras</t>
  </si>
  <si>
    <t>William patrón</t>
  </si>
  <si>
    <t>No</t>
  </si>
  <si>
    <t>3222514879+3228422315</t>
  </si>
  <si>
    <t>Prospecto</t>
  </si>
  <si>
    <t>13 de junio de 2025</t>
  </si>
  <si>
    <t>dennysjaviertoyo2018@gmail.com</t>
  </si>
  <si>
    <t>La balsa</t>
  </si>
  <si>
    <t>Arnold Montaño</t>
  </si>
  <si>
    <t>walther0120@gmail.com</t>
  </si>
  <si>
    <t>Cota</t>
  </si>
  <si>
    <t>Diego Gomez</t>
  </si>
  <si>
    <t>vereda fonqueta</t>
  </si>
  <si>
    <t>Camilo Barrera JB</t>
  </si>
  <si>
    <t>Moroso</t>
  </si>
  <si>
    <t>jbautomotrizsas@gmail.com</t>
  </si>
  <si>
    <t>junto tecnomecánica variante</t>
  </si>
  <si>
    <t>Uberney Chiguas</t>
  </si>
  <si>
    <t>gloribedoya@gmail.com</t>
  </si>
  <si>
    <t>Yilber</t>
  </si>
  <si>
    <t>Ricardo Sidonia</t>
  </si>
  <si>
    <t>Actualizar</t>
  </si>
  <si>
    <t>donde nuya</t>
  </si>
  <si>
    <t>Sergio Garage paint</t>
  </si>
  <si>
    <t>Autotec</t>
  </si>
  <si>
    <t>Cajicá</t>
  </si>
  <si>
    <t>Pedro Reyes</t>
  </si>
  <si>
    <t>Parqueadero funza</t>
  </si>
  <si>
    <t>Mexico funza</t>
  </si>
  <si>
    <t>Cra 1</t>
  </si>
  <si>
    <t>Gerardo Electroautos</t>
  </si>
  <si>
    <t>Oscar Ñoño</t>
  </si>
  <si>
    <t>D</t>
  </si>
  <si>
    <t>Eider</t>
  </si>
  <si>
    <t>Argen Duran</t>
  </si>
  <si>
    <t>5 de junio de 2025</t>
  </si>
  <si>
    <t>Camilo Santana</t>
  </si>
  <si>
    <t>28 de mayo de 2025</t>
  </si>
  <si>
    <t>Susana Frenos</t>
  </si>
  <si>
    <t>Fabian Motos</t>
  </si>
  <si>
    <t>Al lado de nono</t>
  </si>
  <si>
    <t>Fernando car service</t>
  </si>
  <si>
    <t>fredy y leo OMG</t>
  </si>
  <si>
    <t>Carlos A&amp;L</t>
  </si>
  <si>
    <t>Briceño</t>
  </si>
  <si>
    <t>Estacion policia</t>
  </si>
  <si>
    <t>Carlos buya</t>
  </si>
  <si>
    <t>Abajo de fabian motos</t>
  </si>
  <si>
    <t>Eduardo Martinez</t>
  </si>
  <si>
    <t>Ignacio Tabiotronica</t>
  </si>
  <si>
    <t>carbonera</t>
  </si>
  <si>
    <t>Yeison Arevalo</t>
  </si>
  <si>
    <t xml:space="preserve">Via tenjo tabio costado izquierdo </t>
  </si>
  <si>
    <t>Willy Rally Autos</t>
  </si>
  <si>
    <t>Herney</t>
  </si>
  <si>
    <t>Cesar Autotec</t>
  </si>
  <si>
    <t>Diego Tecnifrenos</t>
  </si>
  <si>
    <t>En frente texaco</t>
  </si>
  <si>
    <t xml:space="preserve">Carlos  Moto Trujillo </t>
  </si>
  <si>
    <t>Junior durán</t>
  </si>
  <si>
    <t>donde argen</t>
  </si>
  <si>
    <t>Miguel encargado</t>
  </si>
  <si>
    <t>Luis Corpus</t>
  </si>
  <si>
    <t>Metido en la bahia de motos</t>
  </si>
  <si>
    <t>Jhon forero</t>
  </si>
  <si>
    <t>Elias frenos</t>
  </si>
  <si>
    <t>jhon Vasquez</t>
  </si>
  <si>
    <t>Alexander Tecniautomotriz</t>
  </si>
  <si>
    <t>Cerca a carrera 13 con cll 9</t>
  </si>
  <si>
    <t>German Gomez</t>
  </si>
  <si>
    <t>al lado asadero</t>
  </si>
  <si>
    <t>Diego serviteca</t>
  </si>
  <si>
    <t>+57 (323) 242-9228</t>
  </si>
  <si>
    <t>Carlos durán</t>
  </si>
  <si>
    <t>Jorge Valencia</t>
  </si>
  <si>
    <t>cra 12</t>
  </si>
  <si>
    <t>Mervin</t>
  </si>
  <si>
    <t>Parqueadero Urbina</t>
  </si>
  <si>
    <t>Alejandro Tabiotronica</t>
  </si>
  <si>
    <t>Esteban Motos</t>
  </si>
  <si>
    <t>Leonardo Lujos</t>
  </si>
  <si>
    <t>Luis senejoa</t>
  </si>
  <si>
    <t>serviteca naranja</t>
  </si>
  <si>
    <t>Ivan Az</t>
  </si>
  <si>
    <t>Variante</t>
  </si>
  <si>
    <t>Norlys</t>
  </si>
  <si>
    <t>3 de febrero de 2025</t>
  </si>
  <si>
    <t>Edwin Motos</t>
  </si>
  <si>
    <t>Santiago lujos</t>
  </si>
  <si>
    <t>Cra 2b</t>
  </si>
  <si>
    <t>Juan carlos motos</t>
  </si>
  <si>
    <t>Cra 2b 17</t>
  </si>
  <si>
    <t xml:space="preserve">Frenos y embragues </t>
  </si>
  <si>
    <t>Calle 21 bellisca</t>
  </si>
  <si>
    <t>Danimitec Diesel</t>
  </si>
  <si>
    <t>Julian Bustos motos</t>
  </si>
  <si>
    <t xml:space="preserve">Antes puente peatonal salida variante </t>
  </si>
  <si>
    <t>Adrian</t>
  </si>
  <si>
    <t xml:space="preserve">Variante </t>
  </si>
  <si>
    <t>Hugo Peña</t>
  </si>
  <si>
    <t>+57 (315) 877-6382</t>
  </si>
  <si>
    <t>Salida a romboy</t>
  </si>
  <si>
    <t>Alvaro Gecko</t>
  </si>
  <si>
    <t>Despues del peatonal retorno</t>
  </si>
  <si>
    <t>Alirio</t>
  </si>
  <si>
    <t xml:space="preserve">alineacion en la izquierda </t>
  </si>
  <si>
    <t>Junto a norlys</t>
  </si>
  <si>
    <t xml:space="preserve">David Rubiano </t>
  </si>
  <si>
    <t>Giovanni</t>
  </si>
  <si>
    <t>Principal, despues de miguel luque</t>
  </si>
  <si>
    <t>Ferney serviteca</t>
  </si>
  <si>
    <t xml:space="preserve">Principal antes último semáforo </t>
  </si>
  <si>
    <t>Luis Bohorquez frenos</t>
  </si>
  <si>
    <t>Parqueadero principal cajicá</t>
  </si>
  <si>
    <t>Alfredo birla pits</t>
  </si>
  <si>
    <t>Andres Cruz Serviteca</t>
  </si>
  <si>
    <t>Cra 6 afueras nelson niño</t>
  </si>
  <si>
    <t>Nelson Niño</t>
  </si>
  <si>
    <t>LEJOS</t>
  </si>
  <si>
    <t>Rafael Casallas</t>
  </si>
  <si>
    <t>via tabio-zipa</t>
  </si>
  <si>
    <t>Sebastian Diaz</t>
  </si>
  <si>
    <t>Leider Forero</t>
  </si>
  <si>
    <t>13 de julio de 2024</t>
  </si>
  <si>
    <t>+57 (315) 713-6171</t>
  </si>
  <si>
    <t>Marlon Palacios Dicar’s</t>
  </si>
  <si>
    <t>21 de marzo de 2024 16:00 (GMT-5)</t>
  </si>
  <si>
    <t>Carrera 14 serrezuelita</t>
  </si>
  <si>
    <t>Nelson Lara LT Diesel</t>
  </si>
  <si>
    <t>Cra 7c 9-48</t>
  </si>
  <si>
    <t>Andres</t>
  </si>
  <si>
    <t>En frente de darwin</t>
  </si>
  <si>
    <t>Juan</t>
  </si>
  <si>
    <t>Carrera 5</t>
  </si>
  <si>
    <t>Oscar Centro Lato</t>
  </si>
  <si>
    <t>Cll 15</t>
  </si>
  <si>
    <t>Cristian</t>
  </si>
  <si>
    <t>Cra 12, junto al ARA</t>
  </si>
  <si>
    <t>Fernando MotosVillapaul</t>
  </si>
  <si>
    <t>Javier Berautos</t>
  </si>
  <si>
    <t>Eduardo</t>
  </si>
  <si>
    <t>Entrada a chia cosrado izquierdo</t>
  </si>
  <si>
    <t xml:space="preserve">Alvaro caballero </t>
  </si>
  <si>
    <t>7 de febrero de 2024</t>
  </si>
  <si>
    <t>ALL 4 MOTOS CESAR</t>
  </si>
  <si>
    <t>Cesar motos</t>
  </si>
  <si>
    <t>Carrera 1</t>
  </si>
  <si>
    <t>Javier Gorra</t>
  </si>
  <si>
    <t>En frente de william y hermano</t>
  </si>
  <si>
    <t>Ferreteria la escuadra</t>
  </si>
  <si>
    <t>Castillo Meta</t>
  </si>
  <si>
    <t>23 de mayo de 2024 10:00 (GMT-5)</t>
  </si>
  <si>
    <t>transversal 9 numero 1001 centro</t>
  </si>
  <si>
    <t>Carlos Encizo</t>
  </si>
  <si>
    <t>Villeta</t>
  </si>
  <si>
    <t xml:space="preserve">Juan Carlos motos </t>
  </si>
  <si>
    <t>Edinson Mototaller Parceros</t>
  </si>
  <si>
    <t xml:space="preserve">Steven </t>
  </si>
  <si>
    <t>Calle 33# 1a</t>
  </si>
  <si>
    <t>Juan Carlos Bernal</t>
  </si>
  <si>
    <t>30 de mayo de 2024</t>
  </si>
  <si>
    <t>(320) 338-8287</t>
  </si>
  <si>
    <t>Serviteca guajiro</t>
  </si>
  <si>
    <t>Marcos</t>
  </si>
  <si>
    <t>Diagonal D1 donde prima serviteca</t>
  </si>
  <si>
    <t>Camilo Posada Taller latoneria</t>
  </si>
  <si>
    <t>Cra 12 9-35</t>
  </si>
  <si>
    <t>Daniel TecniAutos</t>
  </si>
  <si>
    <t>Jorge Parqueadero</t>
  </si>
  <si>
    <t>Salida a subachoque</t>
  </si>
  <si>
    <t>Edgar Patepalo</t>
  </si>
  <si>
    <t>Mosquera</t>
  </si>
  <si>
    <t>Parqueadero romboy a madrid</t>
  </si>
  <si>
    <t>Wilmar Latoneria Cepa</t>
  </si>
  <si>
    <t>Carrera 13</t>
  </si>
  <si>
    <t>Mauricio Chiquillo</t>
  </si>
  <si>
    <t>300 2933205</t>
  </si>
  <si>
    <t>Jose Nizo</t>
  </si>
  <si>
    <t>Bu</t>
  </si>
  <si>
    <t>Alejandro motos</t>
  </si>
  <si>
    <t>Cerca estacion de policia</t>
  </si>
  <si>
    <t>Gilberto Tecnicar</t>
  </si>
  <si>
    <t>Avenida Diagonal</t>
  </si>
  <si>
    <t>Jose Poveda</t>
  </si>
  <si>
    <t>Mauricio Yiyo Motos</t>
  </si>
  <si>
    <t>Andres xtreme development</t>
  </si>
  <si>
    <t xml:space="preserve">Miguel Angel </t>
  </si>
  <si>
    <t>En diagonal xtreme development</t>
  </si>
  <si>
    <t>Alejandro Parqueadero</t>
  </si>
  <si>
    <t>Sobre la carrera !</t>
  </si>
  <si>
    <t>Ivan Villareal</t>
  </si>
  <si>
    <t>3102226064+3187549740</t>
  </si>
  <si>
    <t>Gerardo (no es el jefe)</t>
  </si>
  <si>
    <t>Av pradillla 3 09</t>
  </si>
  <si>
    <t xml:space="preserve">Carlos y John Rodriguez </t>
  </si>
  <si>
    <t>Diagonal 13, metido a la derecha en el callejón</t>
  </si>
  <si>
    <t>Diagonal 13</t>
  </si>
  <si>
    <t>Al lado de fruver</t>
  </si>
  <si>
    <t>Oscar livianos y pesados</t>
  </si>
  <si>
    <t>Principal, aviso amarillo</t>
  </si>
  <si>
    <t>Nelson</t>
  </si>
  <si>
    <t>+57 320 3155768</t>
  </si>
  <si>
    <t>Vía Siberia-Cota, costado derecho</t>
  </si>
  <si>
    <t>Juan Pablo latoneria</t>
  </si>
  <si>
    <t>Daniel Motos</t>
  </si>
  <si>
    <t>Puente peatonal subiendo</t>
  </si>
  <si>
    <t>Camilo Molina</t>
  </si>
  <si>
    <t>Javier MulticarService</t>
  </si>
  <si>
    <t>Sergio Latoneria</t>
  </si>
  <si>
    <t>La cita</t>
  </si>
  <si>
    <t>Oscar Eléctrico</t>
  </si>
  <si>
    <t>Al lado de guajiro</t>
  </si>
  <si>
    <t>Alfredo</t>
  </si>
  <si>
    <t>Via tabio-zipa a la izquierda</t>
  </si>
  <si>
    <t>Alejandro Rocket Racing</t>
  </si>
  <si>
    <t>Orlando Rojas</t>
  </si>
  <si>
    <t>Miguel Motos</t>
  </si>
  <si>
    <t>Rodrigo Hermotos</t>
  </si>
  <si>
    <t>Cra 5 2-25</t>
  </si>
  <si>
    <t>Yerson chacon</t>
  </si>
  <si>
    <t>Abajo estacion de policia</t>
  </si>
  <si>
    <t>Hermes Becerra</t>
  </si>
  <si>
    <t xml:space="preserve">Leonardo penagos </t>
  </si>
  <si>
    <t xml:space="preserve">Facatativá </t>
  </si>
  <si>
    <t>Lote 1 finca Albania par sabana</t>
  </si>
  <si>
    <t xml:space="preserve">Edwin Bolivar </t>
  </si>
  <si>
    <t xml:space="preserve">Jhon infante </t>
  </si>
  <si>
    <t>Paq Chiquinquirá kl 16 via Bogotá -mosquera</t>
  </si>
  <si>
    <t>Camilo Siquima</t>
  </si>
  <si>
    <t>Wilmar Ceballos</t>
  </si>
  <si>
    <t>22 de marzo de 2024 10:00 (GMT-5)</t>
  </si>
  <si>
    <t>Stiven Espinoza</t>
  </si>
  <si>
    <t xml:space="preserve">Cll 15 </t>
  </si>
  <si>
    <t xml:space="preserve">Jhonny Hernández </t>
  </si>
  <si>
    <t>Asotec Diesel</t>
  </si>
  <si>
    <t>Madrid</t>
  </si>
  <si>
    <t>Jorge Morales</t>
  </si>
  <si>
    <t>Subachoque</t>
  </si>
  <si>
    <t>Calle 5 1-16</t>
  </si>
  <si>
    <t>Omar Quiroga</t>
  </si>
  <si>
    <t>Calle 7</t>
  </si>
  <si>
    <t>Motor Diesel Colombian</t>
  </si>
  <si>
    <t>Cra 9 #16-51 Bodega 2</t>
  </si>
  <si>
    <t>Carlos Espitia Motos</t>
  </si>
  <si>
    <t>16 de julio de 2024 9:59 (GMT-5)</t>
  </si>
  <si>
    <t>Calle3#5-54 barrio el bosque</t>
  </si>
  <si>
    <t>Manuel Subachoque</t>
  </si>
  <si>
    <t xml:space="preserve">Gregorio Cáceres </t>
  </si>
  <si>
    <t>Rosal</t>
  </si>
  <si>
    <t>Calle 8a</t>
  </si>
  <si>
    <t>Henry vivas</t>
  </si>
  <si>
    <t>Cartagenita</t>
  </si>
  <si>
    <t>14 de febrero de 2024</t>
  </si>
  <si>
    <t>313 8312069</t>
  </si>
  <si>
    <t>José Enrique sierra</t>
  </si>
  <si>
    <t>14 de marzo de 2024 10:00 (GMT-5)</t>
  </si>
  <si>
    <t>Calle 14 #5-84 barrio serrezuelita</t>
  </si>
  <si>
    <t>Ober Ariza</t>
  </si>
  <si>
    <t>21 de marzo de 2024 20:00 (GMT-5)</t>
  </si>
  <si>
    <t>Al lado de los paisas</t>
  </si>
  <si>
    <t>Carlos prieto</t>
  </si>
  <si>
    <t>21 de marzo de 2024 19:30 (GMT-5)</t>
  </si>
  <si>
    <t xml:space="preserve">Ing Juan Manuel </t>
  </si>
  <si>
    <t>Cll 14- 4-72</t>
  </si>
  <si>
    <t xml:space="preserve">Jose Rio Bogotá </t>
  </si>
  <si>
    <t>Río  Bogotá</t>
  </si>
  <si>
    <t xml:space="preserve">Luis Escalante </t>
  </si>
  <si>
    <t>Arturo Giraldo</t>
  </si>
  <si>
    <t xml:space="preserve">A&amp;A Pinzón </t>
  </si>
  <si>
    <t xml:space="preserve">Principal, al lado de Víctor </t>
  </si>
  <si>
    <t>William Franco</t>
  </si>
  <si>
    <t xml:space="preserve">John Marín </t>
  </si>
  <si>
    <t>Erick Espitia</t>
  </si>
  <si>
    <t xml:space="preserve">Hector Hernán </t>
  </si>
  <si>
    <t>11 de marzo de 2024</t>
  </si>
  <si>
    <t>+57 310 7579669</t>
  </si>
  <si>
    <t>Soluciones Beltrán</t>
  </si>
  <si>
    <t>David Parqueadero</t>
  </si>
  <si>
    <t>Osvaldo motos socio</t>
  </si>
  <si>
    <t>Entrada a tenjo</t>
  </si>
  <si>
    <t>Rodolfo Motos</t>
  </si>
  <si>
    <t>Cra 9 hacia el norte</t>
  </si>
  <si>
    <t>Nombre</t>
  </si>
  <si>
    <t xml:space="preserve">ID </t>
  </si>
  <si>
    <t>Ciudad</t>
  </si>
  <si>
    <t>Occidente</t>
  </si>
  <si>
    <t>Tocancipá</t>
  </si>
  <si>
    <t>Principal Tocancipá</t>
  </si>
  <si>
    <t>Gachancipá</t>
  </si>
  <si>
    <t>Pistola Impacto 850 Nm</t>
  </si>
  <si>
    <t>llaves rachet x12</t>
  </si>
  <si>
    <t>dest impacto taurus</t>
  </si>
  <si>
    <t>Jhon parqueautomotor</t>
  </si>
  <si>
    <t>Pistola 1.3 pintura</t>
  </si>
  <si>
    <t>Eduardo Referido</t>
  </si>
  <si>
    <t>Centro de tenjo</t>
  </si>
  <si>
    <t>paga de contado</t>
  </si>
  <si>
    <t>extractor de tuercas</t>
  </si>
  <si>
    <t>pescador</t>
  </si>
  <si>
    <t>extractor pata gallo</t>
  </si>
  <si>
    <t>smith</t>
  </si>
  <si>
    <t xml:space="preserve">T torx </t>
  </si>
  <si>
    <t>Extractor rodamientos</t>
  </si>
  <si>
    <t>Compresiometro bomba aceite</t>
  </si>
  <si>
    <t>Guantes nitrilo</t>
  </si>
  <si>
    <t>Torres 3t</t>
  </si>
  <si>
    <t>bruñidor</t>
  </si>
  <si>
    <t>kit dielectrico</t>
  </si>
  <si>
    <t xml:space="preserve">andaba sin animo </t>
  </si>
  <si>
    <t>despinador de cadena IMBRA</t>
  </si>
  <si>
    <t>Chachan motos</t>
  </si>
  <si>
    <t>Chachan Motos</t>
  </si>
  <si>
    <t>herrapartes</t>
  </si>
  <si>
    <t>Llaves tacón Ferrawy</t>
  </si>
  <si>
    <t>Paño Pinzas total</t>
  </si>
  <si>
    <t>piedras mototul</t>
  </si>
  <si>
    <t>bisturi total TG5126101</t>
  </si>
  <si>
    <t>dest golpe uyusa x6</t>
  </si>
  <si>
    <t>copas 3/8 largas estriadas force</t>
  </si>
  <si>
    <t>Bruñodor truper</t>
  </si>
  <si>
    <t>Convertidor 3/4 a 1/2</t>
  </si>
  <si>
    <t>araña filtro ranger</t>
  </si>
  <si>
    <t>sacarotulas</t>
  </si>
  <si>
    <t>Miguel y Tito</t>
  </si>
  <si>
    <t>Fundas Guardabarros</t>
  </si>
  <si>
    <t>Silicona</t>
  </si>
  <si>
    <t>magrey</t>
  </si>
  <si>
    <t>Copas 11pcs</t>
  </si>
  <si>
    <t>Adaptadores impacto</t>
  </si>
  <si>
    <t>William Martinez</t>
  </si>
  <si>
    <t>Compresiometro motor gasolina</t>
  </si>
  <si>
    <t xml:space="preserve">William y Felipe </t>
  </si>
  <si>
    <t>copas largas impacto</t>
  </si>
  <si>
    <t>Juan GyD</t>
  </si>
  <si>
    <t>pinzas mini total</t>
  </si>
  <si>
    <t>Llaves tatamaco fijas</t>
  </si>
  <si>
    <t>pinza 11"</t>
  </si>
  <si>
    <t>Linternas</t>
  </si>
  <si>
    <t>Dest Golpe</t>
  </si>
  <si>
    <t>Alicates x3 supertotal</t>
  </si>
  <si>
    <t>Disco Flap</t>
  </si>
  <si>
    <t>Daniel Briceño</t>
  </si>
  <si>
    <t>Traba Ford</t>
  </si>
  <si>
    <t xml:space="preserve">Traba Renault </t>
  </si>
  <si>
    <t>Demora pedido force</t>
  </si>
  <si>
    <t>Gafas soldar</t>
  </si>
  <si>
    <t>William Patrón</t>
  </si>
  <si>
    <t>Random</t>
  </si>
  <si>
    <t>Bandeja</t>
  </si>
  <si>
    <t xml:space="preserve">juego 1/2 impacto </t>
  </si>
  <si>
    <t>Henry el cedro</t>
  </si>
  <si>
    <t>Tarraja sencilla</t>
  </si>
  <si>
    <t xml:space="preserve">Llaves en S </t>
  </si>
  <si>
    <t>rachet 3/8 total</t>
  </si>
  <si>
    <t>juego tarrajas completo</t>
  </si>
  <si>
    <t>Salida temprano, gestión rápida</t>
  </si>
  <si>
    <t>Caja plástica total 17"</t>
  </si>
  <si>
    <t>Torque 1/2 230lb</t>
  </si>
  <si>
    <t>rachet 1/4</t>
  </si>
  <si>
    <t>copa 10 1/4 force</t>
  </si>
  <si>
    <t>llaves tacón total</t>
  </si>
  <si>
    <t>Set tapiceria</t>
  </si>
  <si>
    <t>Jorge Eléctrico</t>
  </si>
  <si>
    <t>Juego 46 piezas 1/4</t>
  </si>
  <si>
    <t>Pinza punta larga 8" total</t>
  </si>
  <si>
    <t>Llaves tatamaco</t>
  </si>
  <si>
    <t>Trancón de ida, vacio de regreso</t>
  </si>
  <si>
    <t>traba land rover</t>
  </si>
  <si>
    <t>Taladro eléctrico</t>
  </si>
  <si>
    <t>tacsd30556</t>
  </si>
  <si>
    <t>Extensor 1/2 corto</t>
  </si>
  <si>
    <t>Extensor 1/2 largo</t>
  </si>
  <si>
    <t>juego copas 3/4 impacto</t>
  </si>
  <si>
    <t>Botapines</t>
  </si>
  <si>
    <t>brocas kangu</t>
  </si>
  <si>
    <t>llaves L bristol  + torx</t>
  </si>
  <si>
    <t>adaptador 1/2 a 3/4</t>
  </si>
  <si>
    <t>galgas</t>
  </si>
  <si>
    <t>aflojatodo</t>
  </si>
  <si>
    <t>Oscar OMG</t>
  </si>
  <si>
    <t>extensor 1/4 corto</t>
  </si>
  <si>
    <t>william patrón</t>
  </si>
  <si>
    <t>Llego a casa temprano. Concentrado full</t>
  </si>
  <si>
    <t>Puntas mixtas</t>
  </si>
  <si>
    <t>David Peña</t>
  </si>
  <si>
    <t>Marcadora Ranger</t>
  </si>
  <si>
    <t>Dest largo Ranger</t>
  </si>
  <si>
    <t>llave 8</t>
  </si>
  <si>
    <t>Nelson Daniel Torno</t>
  </si>
  <si>
    <t>insertos helicoil 6mm</t>
  </si>
  <si>
    <t>Pablo</t>
  </si>
  <si>
    <t>Pinza gasolina</t>
  </si>
  <si>
    <t xml:space="preserve">compresiometro bomba gasolina </t>
  </si>
  <si>
    <t>Extractor tapa gasolina</t>
  </si>
  <si>
    <t>Remachadora de tuercas</t>
  </si>
  <si>
    <t>Discos de corte 4"</t>
  </si>
  <si>
    <t>LLAVES X6 PULGADA UDUKE</t>
  </si>
  <si>
    <t>hombresolos mini</t>
  </si>
  <si>
    <t>Llaves T torx</t>
  </si>
  <si>
    <t>Ali</t>
  </si>
  <si>
    <t xml:space="preserve">hombresolo </t>
  </si>
  <si>
    <t xml:space="preserve">guillotina pequeña </t>
  </si>
  <si>
    <t xml:space="preserve">Rachet mini 3/8 </t>
  </si>
  <si>
    <t>Rachet mini 1/2</t>
  </si>
  <si>
    <t>Juego 1/4 total 20pcs</t>
  </si>
  <si>
    <t>Sergio Garage Paint</t>
  </si>
  <si>
    <t>Rachet 1/4</t>
  </si>
  <si>
    <t>Extractor de tornillos grande</t>
  </si>
  <si>
    <t>Pinza 11"</t>
  </si>
  <si>
    <t>Pistola con medidor de presión</t>
  </si>
  <si>
    <t xml:space="preserve">Rachet Inalámbrico </t>
  </si>
  <si>
    <t>Torx navaja</t>
  </si>
  <si>
    <t>limpiacontactos</t>
  </si>
  <si>
    <t>Pistola Neumática total</t>
  </si>
  <si>
    <t>Copa 21 bujia</t>
  </si>
  <si>
    <t>Llave tubo 10"</t>
  </si>
  <si>
    <t>Navaja Bristol</t>
  </si>
  <si>
    <t>Extensor 1/2 3"</t>
  </si>
  <si>
    <t>Extensor 1/2 5"</t>
  </si>
  <si>
    <t>Rachet expandible 1/2</t>
  </si>
  <si>
    <t>Llave 12mm</t>
  </si>
  <si>
    <t>Llaves pulgada ferrawy</t>
  </si>
  <si>
    <t>Llave 8mm</t>
  </si>
  <si>
    <t>Llaves tacon total</t>
  </si>
  <si>
    <t xml:space="preserve">Camilla Ferton </t>
  </si>
  <si>
    <t>Mazo antirebote</t>
  </si>
  <si>
    <t>Mazo Goma</t>
  </si>
  <si>
    <t>Juego 1/4 blister</t>
  </si>
  <si>
    <t>Copa sierra 3" 1/2 makita</t>
  </si>
  <si>
    <t>Pistola 1100 nm</t>
  </si>
  <si>
    <t>Lijadora Neum÷atica</t>
  </si>
  <si>
    <t>Combo 3 pistolas impacto</t>
  </si>
  <si>
    <t>Caja 14"</t>
  </si>
  <si>
    <t>Paño llaves war</t>
  </si>
  <si>
    <t>Rachet tatamaco uyusa escualizable</t>
  </si>
  <si>
    <t>Rachet 1/2 total</t>
  </si>
  <si>
    <t>Bruñidor</t>
  </si>
  <si>
    <t>Valvulinera 5 galones</t>
  </si>
  <si>
    <t>Torquimetro 220nm</t>
  </si>
  <si>
    <t>bloqueador levas renault</t>
  </si>
  <si>
    <t>llaves rachet fijas total</t>
  </si>
  <si>
    <t>pistola 1,4 pintura total</t>
  </si>
  <si>
    <t>Bandejas magneticas</t>
  </si>
  <si>
    <t>juego 1/2 y1/4 copas</t>
  </si>
  <si>
    <t>juego x61 pcs copas</t>
  </si>
  <si>
    <t>volvedor 1/2 corto</t>
  </si>
  <si>
    <t>preguntar</t>
  </si>
  <si>
    <t>rachet inalambrico</t>
  </si>
  <si>
    <t>Pistola Impacto 400 N.m UTIWLI2040</t>
  </si>
  <si>
    <t>Llaves mixtas 6-19 total THT102286</t>
  </si>
  <si>
    <t xml:space="preserve"> Morral</t>
  </si>
  <si>
    <t>Ganchos oring</t>
  </si>
  <si>
    <t>separador de rotulas</t>
  </si>
  <si>
    <t>Arrancador portatil uyusa ptb750</t>
  </si>
  <si>
    <t>copas pluridentadas uyusa</t>
  </si>
  <si>
    <t>bisturi</t>
  </si>
  <si>
    <t>Bandeja magnetica</t>
  </si>
  <si>
    <t>Pinza pico de loro</t>
  </si>
  <si>
    <t>llaves tatamaco</t>
  </si>
  <si>
    <t>copas 1/2 impacto juego</t>
  </si>
  <si>
    <t>multimetro 600v</t>
  </si>
  <si>
    <t>taladro rojo 18v</t>
  </si>
  <si>
    <t>extractor de axiales</t>
  </si>
  <si>
    <t>Esmeril 8" total</t>
  </si>
  <si>
    <t>dest x12 golpe</t>
  </si>
  <si>
    <t>petrolizadora</t>
  </si>
  <si>
    <t>extractor puntas del eje</t>
  </si>
  <si>
    <t>llave 13 total</t>
  </si>
  <si>
    <t>aceitera</t>
  </si>
  <si>
    <t xml:space="preserve">pelacable automático </t>
  </si>
  <si>
    <t>Mueble para herramienta</t>
  </si>
  <si>
    <t>llaves allen t</t>
  </si>
  <si>
    <t>cortafrio sencillo</t>
  </si>
  <si>
    <t>cortafrio super total</t>
  </si>
  <si>
    <t>Copa 19 superior</t>
  </si>
  <si>
    <t>extensor 3/8 10"</t>
  </si>
  <si>
    <t>sacafiltro correa</t>
  </si>
  <si>
    <t>hombresolo</t>
  </si>
  <si>
    <t>redbo</t>
  </si>
  <si>
    <t>Daniel Rojas</t>
  </si>
  <si>
    <t>Llaves 8-19 total</t>
  </si>
  <si>
    <t>Alicate pesado total 9"</t>
  </si>
  <si>
    <t>tatamaco rachet</t>
  </si>
  <si>
    <t>Copa 19 larga impacto force</t>
  </si>
  <si>
    <t xml:space="preserve">Ciudad </t>
  </si>
  <si>
    <t>Serrania Majuy</t>
  </si>
  <si>
    <t>Tipo Cliente</t>
  </si>
  <si>
    <t>Ocasional</t>
  </si>
  <si>
    <t>R1</t>
  </si>
  <si>
    <t>Taller</t>
  </si>
  <si>
    <t>ID</t>
  </si>
  <si>
    <t>Clientes</t>
  </si>
  <si>
    <t>Arnold montaño</t>
  </si>
  <si>
    <t>Andres Chia</t>
  </si>
  <si>
    <t>bateria milwaukee</t>
  </si>
  <si>
    <t>copas 1/2 19 y 21</t>
  </si>
  <si>
    <t>compresor 150lb</t>
  </si>
  <si>
    <t>Jabón 1 Litro</t>
  </si>
  <si>
    <t>Jabón 1 Litro 5 litros</t>
  </si>
  <si>
    <t xml:space="preserve">Paño llaves 6-24 </t>
  </si>
  <si>
    <t>Limpiacarburador Genérico</t>
  </si>
  <si>
    <t>limpiacarburador Squik</t>
  </si>
  <si>
    <t>Pinza Guaya Abrazadera</t>
  </si>
  <si>
    <t>torquimetro 1/2 Uyustools</t>
  </si>
  <si>
    <t>Torquimetro 1/4</t>
  </si>
  <si>
    <t>Torquimetro 1/2</t>
  </si>
  <si>
    <t>Alicate Punta</t>
  </si>
  <si>
    <t>Pistola Pintar Pared</t>
  </si>
  <si>
    <t>Pelacable Largo Tht15101</t>
  </si>
  <si>
    <t>Alicate Expansivo</t>
  </si>
  <si>
    <t>Cortafrio</t>
  </si>
  <si>
    <t>Limpiacarburador Squik</t>
  </si>
  <si>
    <t>Extractor De Tornillos</t>
  </si>
  <si>
    <t>Acoples Aco5Fu</t>
  </si>
  <si>
    <t>Llave 17Mm</t>
  </si>
  <si>
    <t>Llave 15Mm</t>
  </si>
  <si>
    <t>Llaves Eastman 24 Y 22</t>
  </si>
  <si>
    <t>Rachet Múltiple</t>
  </si>
  <si>
    <t>Dest Golpe Total</t>
  </si>
  <si>
    <t>Pinza Combustible</t>
  </si>
  <si>
    <t>Pinza Doble Abrazadera</t>
  </si>
  <si>
    <t>Bateria Total 4Amop</t>
  </si>
  <si>
    <t>Repuesto Volvedor Largo 1/2</t>
  </si>
  <si>
    <t>Gato 3T Caimán</t>
  </si>
  <si>
    <t>Combo 2 Pistolas Impacto</t>
  </si>
  <si>
    <t>Llave 11Mm</t>
  </si>
  <si>
    <t>Copa 21 Force Larga</t>
  </si>
  <si>
    <t>Copa 19 Force Larga</t>
  </si>
  <si>
    <t>Copa 17 Force Larga</t>
  </si>
  <si>
    <t>Protectores Guardabarros</t>
  </si>
  <si>
    <t>Pistola Soldar</t>
  </si>
  <si>
    <t>Llave 19 Rachet</t>
  </si>
  <si>
    <t>Estetoscópio</t>
  </si>
  <si>
    <t>Copa 32 Corta Force</t>
  </si>
  <si>
    <t>Pinza Punta 8"</t>
  </si>
  <si>
    <t>Pinza Sacapines</t>
  </si>
  <si>
    <t>Llave 13 Eastman</t>
  </si>
  <si>
    <t>Llave 10 Total</t>
  </si>
  <si>
    <t>Dest Tatamacos X2</t>
  </si>
  <si>
    <t>Juego 1/4 Total</t>
  </si>
  <si>
    <t>Pistola Impacto Rr</t>
  </si>
  <si>
    <t>Torquimetro 1/2 Uyustools</t>
  </si>
  <si>
    <t>Juego 3/8 Force</t>
  </si>
  <si>
    <t>Volvedor 1/2</t>
  </si>
  <si>
    <t>Taladro 20V2Amp</t>
  </si>
  <si>
    <t xml:space="preserve">Helicoil </t>
  </si>
  <si>
    <t>Recogedor Espirales Pesado</t>
  </si>
  <si>
    <t>Caja Plástica Total</t>
  </si>
  <si>
    <t>Hombresolo</t>
  </si>
  <si>
    <t>Copas 3/8 Largas Estriadas Force</t>
  </si>
  <si>
    <t>Flexómetro 8Mts</t>
  </si>
  <si>
    <t>Juego Rachet 1/2 Blister</t>
  </si>
  <si>
    <t>Juego Alicates X3</t>
  </si>
  <si>
    <t>Maleta Grande</t>
  </si>
  <si>
    <t>Juego Rachet 3/8 Blister</t>
  </si>
  <si>
    <t xml:space="preserve">Paño Llaves 6-24 </t>
  </si>
  <si>
    <t>Llaves L Bristol  + Torx</t>
  </si>
  <si>
    <t>Bisturi Total</t>
  </si>
  <si>
    <t>Copas Extractoras</t>
  </si>
  <si>
    <t>Dest Golpe X12</t>
  </si>
  <si>
    <t>Ganchos Oring</t>
  </si>
  <si>
    <t>Chaleco</t>
  </si>
  <si>
    <t>Multimetro 6000V</t>
  </si>
  <si>
    <t>Aspiradora 1400W 30L Dry/Wet</t>
  </si>
  <si>
    <t>Llaves Tatamaco Fijas Rachet</t>
  </si>
  <si>
    <t>Llaves Rachet X12</t>
  </si>
  <si>
    <t>Dest Impacto Taurus</t>
  </si>
  <si>
    <t>Pistola 1.3 Pintura</t>
  </si>
  <si>
    <t>Torres 3T</t>
  </si>
  <si>
    <t>Extractor De Tuercas</t>
  </si>
  <si>
    <t>Pescador</t>
  </si>
  <si>
    <t>Extractor Pata Gallo</t>
  </si>
  <si>
    <t xml:space="preserve">T Torx </t>
  </si>
  <si>
    <t>Extractor Rodamientos</t>
  </si>
  <si>
    <t>Compresiometro Bomba Aceite</t>
  </si>
  <si>
    <t>Guantes Nitrilo</t>
  </si>
  <si>
    <t>Kit Dielectrico</t>
  </si>
  <si>
    <t>Despinador De Cadena Imbra</t>
  </si>
  <si>
    <t>Llaves Tacón Ferrawy</t>
  </si>
  <si>
    <t>Paño Pinzas Total</t>
  </si>
  <si>
    <t>Piedras Mototul</t>
  </si>
  <si>
    <t>Bisturi Total Tg5126101</t>
  </si>
  <si>
    <t>Dest Golpe Uyusa X6</t>
  </si>
  <si>
    <t>Bruñodor Truper</t>
  </si>
  <si>
    <t>Convertidor 3/4 A 1/2</t>
  </si>
  <si>
    <t>Araña Filtro Ranger</t>
  </si>
  <si>
    <t>Sacarotulas</t>
  </si>
  <si>
    <t>Copas 11Pcs</t>
  </si>
  <si>
    <t>Adaptadores Impacto</t>
  </si>
  <si>
    <t>Compresiometro Motor Gasolina</t>
  </si>
  <si>
    <t>Copas Largas Impacto</t>
  </si>
  <si>
    <t>Pinzas Mini Total</t>
  </si>
  <si>
    <t>Llaves Tatamaco Fijas</t>
  </si>
  <si>
    <t>Alicates X3 Supertotal</t>
  </si>
  <si>
    <t>Gafas Soldar</t>
  </si>
  <si>
    <t xml:space="preserve">Juego 1/2 Impacto </t>
  </si>
  <si>
    <t>Tarraja Sencilla</t>
  </si>
  <si>
    <t xml:space="preserve">Llaves En S </t>
  </si>
  <si>
    <t>Rachet 3/8 Total</t>
  </si>
  <si>
    <t>Juego Tarrajas Completo</t>
  </si>
  <si>
    <t>Caja Plástica Total 17"</t>
  </si>
  <si>
    <t>Torque 1/2 230Lb</t>
  </si>
  <si>
    <t>Copa 10 1/4 Force</t>
  </si>
  <si>
    <t>Llaves Tacón Total</t>
  </si>
  <si>
    <t>Set Tapiceria</t>
  </si>
  <si>
    <t>Juego 46 Piezas 1/4</t>
  </si>
  <si>
    <t>Pinza Punta Larga 8" Total</t>
  </si>
  <si>
    <t>Llaves Tatamaco</t>
  </si>
  <si>
    <t>Traba Land Rover</t>
  </si>
  <si>
    <t>Taladro Eléctrico</t>
  </si>
  <si>
    <t>Tacsd30556</t>
  </si>
  <si>
    <t>Extensor 1/2 Corto</t>
  </si>
  <si>
    <t>Extensor 1/2 Largo</t>
  </si>
  <si>
    <t>Juego Copas 3/4 Impacto</t>
  </si>
  <si>
    <t>Brocas Kangu</t>
  </si>
  <si>
    <t>Adaptador 1/2 A 3/4</t>
  </si>
  <si>
    <t>Galgas</t>
  </si>
  <si>
    <t>Aflojatodo</t>
  </si>
  <si>
    <t>Pistola Impacto 400 N.M Utiwli2040</t>
  </si>
  <si>
    <t>Extensor 1/4 Corto</t>
  </si>
  <si>
    <t>Puntas Mixtas</t>
  </si>
  <si>
    <t>Dest Largo Ranger</t>
  </si>
  <si>
    <t>Llave 8</t>
  </si>
  <si>
    <t>Insertos Helicoil 6Mm</t>
  </si>
  <si>
    <t>Jabón 1 Litro 5 Litros</t>
  </si>
  <si>
    <t>Pinza Gasolina</t>
  </si>
  <si>
    <t xml:space="preserve">Compresiometro Bomba Gasolina </t>
  </si>
  <si>
    <t>Extractor Tapa Gasolina</t>
  </si>
  <si>
    <t>Remachadora De Tuercas</t>
  </si>
  <si>
    <t>Discos De Corte 4"</t>
  </si>
  <si>
    <t>Llaves X6 Pulgada Uduke</t>
  </si>
  <si>
    <t>Hombresolos Mini</t>
  </si>
  <si>
    <t>Llaves T Torx</t>
  </si>
  <si>
    <t xml:space="preserve">Hombresolo </t>
  </si>
  <si>
    <t xml:space="preserve">Guillotina Pequeña </t>
  </si>
  <si>
    <t xml:space="preserve">Rachet Mini 3/8 </t>
  </si>
  <si>
    <t>Rachet Mini 1/2</t>
  </si>
  <si>
    <t>Juego 1/4 Total 20Pcs</t>
  </si>
  <si>
    <t>Extractor De Tornillos Grande</t>
  </si>
  <si>
    <t>Pistola Con Medidor De Presión</t>
  </si>
  <si>
    <t>Torx Navaja</t>
  </si>
  <si>
    <t>Limpiacontactos</t>
  </si>
  <si>
    <t>Pistola Neumática Total</t>
  </si>
  <si>
    <t>Copa 21 Bujia</t>
  </si>
  <si>
    <t>Llave Tubo 10"</t>
  </si>
  <si>
    <t>Rachet Expandible 1/2</t>
  </si>
  <si>
    <t>Llave 12Mm</t>
  </si>
  <si>
    <t>Llaves Pulgada Ferrawy</t>
  </si>
  <si>
    <t>Llave 8Mm</t>
  </si>
  <si>
    <t>Llaves Tacon Total</t>
  </si>
  <si>
    <t>Mazo Antirebote</t>
  </si>
  <si>
    <t>Llaves Mixtas 6-19 Total Tht102286</t>
  </si>
  <si>
    <t>Juego 1/4 Blister</t>
  </si>
  <si>
    <t>Copa Sierra 3" 1/2 Makita</t>
  </si>
  <si>
    <t>Pistola 1100 Nm</t>
  </si>
  <si>
    <t>Combo 3 Pistolas Impacto</t>
  </si>
  <si>
    <t>Paño Llaves War</t>
  </si>
  <si>
    <t>Rachet Tatamaco Uyusa Escualizable</t>
  </si>
  <si>
    <t>Rachet 1/2 Total</t>
  </si>
  <si>
    <t>Valvulinera 5 Galones</t>
  </si>
  <si>
    <t>Torquimetro 220Nm</t>
  </si>
  <si>
    <t>Bloqueador Levas Renault</t>
  </si>
  <si>
    <t>Llaves Rachet Fijas Total</t>
  </si>
  <si>
    <t>Pistola 1,4 Pintura Total</t>
  </si>
  <si>
    <t>Bandejas Magneticas</t>
  </si>
  <si>
    <t>Juego 1/2 Y1/4 Copas</t>
  </si>
  <si>
    <t>Juego X61 Pcs Copas</t>
  </si>
  <si>
    <t>Volvedor 1/2 Corto</t>
  </si>
  <si>
    <t>Preguntar</t>
  </si>
  <si>
    <t>Rachet Inalambrico</t>
  </si>
  <si>
    <t>Separador De Rotulas</t>
  </si>
  <si>
    <t>Arrancador Portatil Uyusa Ptb750</t>
  </si>
  <si>
    <t>Copas Pluridentadas Uyusa</t>
  </si>
  <si>
    <t>Bisturi</t>
  </si>
  <si>
    <t>Bandeja Magnetica</t>
  </si>
  <si>
    <t>Pinza Pico De Loro</t>
  </si>
  <si>
    <t>Copas 1/2 Impacto Juego</t>
  </si>
  <si>
    <t>Multimetro 600V</t>
  </si>
  <si>
    <t>Taladro Rojo 18V</t>
  </si>
  <si>
    <t>Extractor De Axiales</t>
  </si>
  <si>
    <t>Esmeril 8" Total</t>
  </si>
  <si>
    <t>Dest X12 Golpe</t>
  </si>
  <si>
    <t>Petrolizadora</t>
  </si>
  <si>
    <t>Extractor Puntas Del Eje</t>
  </si>
  <si>
    <t>Llave 13 Total</t>
  </si>
  <si>
    <t>Aceitera</t>
  </si>
  <si>
    <t xml:space="preserve">Pelacable Automático </t>
  </si>
  <si>
    <t>Mueble Para Herramienta</t>
  </si>
  <si>
    <t>Llaves Allen T</t>
  </si>
  <si>
    <t>Cortafrio Sencillo</t>
  </si>
  <si>
    <t>Cortafrio Super Total</t>
  </si>
  <si>
    <t>Copa 19 Superior</t>
  </si>
  <si>
    <t>Extensor 3/8 10"</t>
  </si>
  <si>
    <t>Sacafiltro Correa</t>
  </si>
  <si>
    <t>Compresor 150Lb</t>
  </si>
  <si>
    <t>Llaves 8-19 Total</t>
  </si>
  <si>
    <t>Alicate Pesado Total 9"</t>
  </si>
  <si>
    <t>Tatamaco Rachet</t>
  </si>
  <si>
    <t>Copa 19 Larga Impacto Force</t>
  </si>
  <si>
    <t>Bateria Milwaukee</t>
  </si>
  <si>
    <t>Copas 1/2 19 Y 21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</si>
  <si>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</si>
  <si>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</si>
  <si>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</si>
  <si>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</si>
  <si>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</si>
  <si>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</si>
  <si>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</si>
  <si>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</si>
  <si>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</si>
  <si>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</si>
  <si>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</si>
  <si>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</si>
  <si>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</si>
  <si>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</si>
  <si>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</si>
  <si>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</si>
  <si>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</si>
  <si>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</si>
  <si>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</si>
  <si>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</si>
  <si>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</si>
  <si>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</si>
  <si>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</si>
  <si>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</si>
  <si>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</si>
  <si>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</si>
  <si>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</si>
  <si>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</si>
  <si>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</si>
  <si>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</si>
  <si>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</si>
  <si>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</si>
  <si>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</si>
  <si>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</si>
  <si>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</si>
  <si>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</si>
  <si>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</si>
  <si>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</si>
  <si>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</si>
  <si>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</si>
  <si>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</si>
  <si>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</si>
  <si>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</si>
  <si>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</si>
  <si>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</si>
  <si>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</si>
  <si>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</si>
  <si>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</si>
  <si>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</si>
  <si>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</si>
  <si>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</si>
  <si>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</si>
  <si>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</si>
  <si>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</si>
  <si>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</si>
  <si>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</si>
  <si>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</si>
  <si>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</si>
  <si>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</si>
  <si>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</si>
  <si>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</si>
  <si>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</si>
  <si>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</si>
  <si>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</si>
  <si>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</si>
  <si>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</si>
  <si>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</si>
  <si>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</si>
  <si>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</si>
  <si>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</si>
  <si>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</si>
  <si>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</si>
  <si>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</si>
  <si>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</si>
  <si>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</si>
  <si>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</si>
  <si>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</si>
  <si>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</si>
  <si>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</si>
  <si>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</si>
  <si>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</si>
  <si>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</si>
  <si>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</si>
  <si>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</si>
  <si>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</si>
  <si>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</si>
  <si>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</si>
  <si>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</si>
  <si>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</si>
  <si>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</si>
  <si>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</si>
  <si>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</si>
  <si>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</si>
  <si>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</si>
  <si>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</si>
  <si>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</si>
  <si>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</si>
  <si>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</si>
  <si>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</si>
  <si>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</si>
  <si>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</si>
  <si>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</si>
  <si>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</si>
  <si>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</si>
  <si>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</si>
  <si>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</si>
  <si>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</si>
  <si>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</si>
  <si>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</si>
  <si>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</si>
  <si>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</si>
  <si>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</si>
  <si>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</si>
  <si>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</si>
  <si>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</si>
  <si>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</si>
  <si>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</si>
  <si>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</si>
  <si>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</si>
  <si>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</si>
  <si>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</si>
  <si>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</si>
  <si>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</si>
  <si>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</si>
  <si>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</si>
  <si>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</si>
  <si>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</si>
  <si>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</si>
  <si>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</si>
  <si>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</si>
  <si>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</si>
  <si>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</si>
  <si>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</si>
  <si>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</si>
  <si>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</si>
  <si>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</si>
  <si>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</si>
  <si>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</si>
  <si>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</si>
  <si>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</si>
  <si>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</si>
  <si>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</si>
  <si>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</si>
  <si>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</si>
  <si>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</si>
  <si>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</si>
  <si>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</si>
  <si>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</si>
  <si>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</si>
  <si>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</si>
  <si>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</si>
  <si>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</si>
  <si>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</si>
  <si>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</si>
  <si>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</si>
  <si>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</si>
  <si>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</si>
  <si>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</si>
  <si>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</si>
  <si>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</si>
  <si>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</si>
  <si>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</si>
  <si>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</si>
  <si>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</si>
  <si>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</si>
  <si>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</si>
  <si>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</si>
  <si>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</si>
  <si>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</si>
  <si>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</si>
  <si>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</si>
  <si>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</si>
  <si>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</si>
  <si>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</si>
  <si>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</si>
  <si>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</si>
  <si>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</si>
  <si>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</si>
  <si>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</si>
  <si>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</si>
  <si>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</si>
  <si>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</si>
  <si>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</si>
  <si>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</si>
  <si>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</si>
  <si>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</si>
  <si>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</si>
  <si>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</si>
  <si>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</si>
  <si>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</si>
  <si>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</si>
  <si>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</si>
  <si>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</si>
  <si>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</si>
  <si>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</si>
  <si>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</si>
  <si>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</si>
  <si>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</si>
  <si>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</si>
  <si>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</si>
  <si>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</si>
  <si>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</si>
  <si>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</si>
  <si>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</si>
  <si>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</si>
  <si>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</si>
  <si>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</si>
  <si>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</si>
  <si>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</si>
  <si>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</si>
  <si>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</si>
  <si>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</si>
  <si>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</si>
  <si>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</si>
  <si>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</si>
  <si>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</si>
  <si>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</si>
  <si>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</si>
  <si>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</si>
  <si>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</si>
  <si>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</si>
  <si>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</si>
  <si>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</si>
  <si>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</si>
  <si>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amarres largos</t>
  </si>
  <si>
    <t>flexómetro 5mts transparente</t>
  </si>
  <si>
    <t>iman guaya</t>
  </si>
  <si>
    <t>Amarres cortos</t>
  </si>
  <si>
    <t>Disco desbaste makita</t>
  </si>
  <si>
    <t>juego copa torx G8016</t>
  </si>
  <si>
    <t>Marca</t>
  </si>
  <si>
    <t>Categoria</t>
  </si>
  <si>
    <t>Capris</t>
  </si>
  <si>
    <t>Penagos</t>
  </si>
  <si>
    <t>Toolcraft</t>
  </si>
  <si>
    <t>Hoyostools</t>
  </si>
  <si>
    <t>Chicago</t>
  </si>
  <si>
    <t>Smith</t>
  </si>
  <si>
    <t>Herrapartes</t>
  </si>
  <si>
    <t>Magrey</t>
  </si>
  <si>
    <t>Redbo</t>
  </si>
  <si>
    <t>Total Tools</t>
  </si>
  <si>
    <t>Force</t>
  </si>
  <si>
    <t>Chicago Power</t>
  </si>
  <si>
    <t>Uyusa Colombia</t>
  </si>
  <si>
    <t>Ferton</t>
  </si>
  <si>
    <t>Uyustools</t>
  </si>
  <si>
    <t>Ferretools</t>
  </si>
  <si>
    <t>Diesel Tools</t>
  </si>
  <si>
    <t>Eastman</t>
  </si>
  <si>
    <t>Visegrid</t>
  </si>
  <si>
    <t>Genérico</t>
  </si>
  <si>
    <t>Ranger</t>
  </si>
  <si>
    <t>Imbra</t>
  </si>
  <si>
    <t>Manual</t>
  </si>
  <si>
    <t>Squik</t>
  </si>
  <si>
    <t>Insumo</t>
  </si>
  <si>
    <t>Neumática</t>
  </si>
  <si>
    <t>Inalámbrica</t>
  </si>
  <si>
    <t>Eléctrica</t>
  </si>
  <si>
    <t>Medición</t>
  </si>
  <si>
    <t>Lijadora Neumática</t>
  </si>
  <si>
    <t>Hidraulica</t>
  </si>
  <si>
    <t>jabon 1 litro</t>
  </si>
  <si>
    <t xml:space="preserve">araña filtro diesel </t>
  </si>
  <si>
    <t>probador de corriente</t>
  </si>
  <si>
    <t>Gato 3T Bajo perfil</t>
  </si>
  <si>
    <t>Taladro  TDLI12428</t>
  </si>
  <si>
    <t>lijadora rotorbital</t>
  </si>
  <si>
    <t>Osorio</t>
  </si>
  <si>
    <t>hombresolo fixato</t>
  </si>
  <si>
    <t>Base pulidora uduke</t>
  </si>
  <si>
    <t>Claudia</t>
  </si>
  <si>
    <t>llave 14mm</t>
  </si>
  <si>
    <t>dest TKSDO226</t>
  </si>
  <si>
    <t>Precio_Neto</t>
  </si>
  <si>
    <t>Precio_Venta</t>
  </si>
  <si>
    <t>P_ID</t>
  </si>
  <si>
    <t>Makita</t>
  </si>
  <si>
    <t xml:space="preserve">copas pluridentadas </t>
  </si>
  <si>
    <t>Arrancador portatil ptb750</t>
  </si>
  <si>
    <t>dest golpe  x6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</si>
  <si>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</si>
  <si>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</si>
  <si>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</si>
  <si>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</si>
  <si>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</si>
  <si>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</si>
  <si>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</si>
  <si>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</si>
  <si>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</si>
  <si>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</si>
  <si>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</si>
  <si>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</si>
  <si>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</si>
  <si>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Rachet tatamaco escualizable</t>
  </si>
  <si>
    <t>Venta_Total</t>
  </si>
  <si>
    <t>Cobro_Total</t>
  </si>
  <si>
    <t>Departamento</t>
  </si>
  <si>
    <t>Cundinamarca</t>
  </si>
  <si>
    <t>Pais</t>
  </si>
  <si>
    <t>Colombia</t>
  </si>
  <si>
    <t>pie de rey digital</t>
  </si>
  <si>
    <t>Paño 7 alicates total</t>
  </si>
  <si>
    <t>Multimetro 600v</t>
  </si>
  <si>
    <t>Jabón</t>
  </si>
  <si>
    <t>llave 12mm rachet</t>
  </si>
  <si>
    <t xml:space="preserve">Pegatanke </t>
  </si>
  <si>
    <t>bloqueador levas renault grande</t>
  </si>
  <si>
    <t>multimetro 6000v caja</t>
  </si>
  <si>
    <t>Jhon vasquez</t>
  </si>
  <si>
    <t>llaves rachet tatamaco</t>
  </si>
  <si>
    <t>extractor axiales</t>
  </si>
  <si>
    <t xml:space="preserve">volvedor 1/2 </t>
  </si>
  <si>
    <t>alicate pico de loro</t>
  </si>
  <si>
    <t>dest perillero</t>
  </si>
  <si>
    <t>Pinza Punta curva tht24616</t>
  </si>
  <si>
    <t>compresiometro aceite</t>
  </si>
  <si>
    <t>Camilo Barrera jb</t>
  </si>
  <si>
    <t>lampara tubo total</t>
  </si>
  <si>
    <t>Juego Herramienta 142 piezas Total</t>
  </si>
  <si>
    <t>Engrasadora neumática</t>
  </si>
  <si>
    <t>linterna plegable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</si>
</sst>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45F82"/>
        <bgColor rgb="FF145F82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4" borderId="1" xfId="0" applyFill="1" applyBorder="1"/>
    <xf numFmtId="0" fontId="0" fillId="0" borderId="3" xfId="0" applyBorder="1"/>
    <xf numFmtId="0" fontId="3" fillId="5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4" fillId="0" borderId="1" xfId="0" applyNumberFormat="1" applyFont="1" applyBorder="1"/>
    <xf numFmtId="0" fontId="4" fillId="0" borderId="1" xfId="0" applyFont="1" applyBorder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2" fillId="3" borderId="1" xfId="0" applyNumberFormat="1" applyFont="1" applyFill="1" applyBorder="1"/>
    <xf numFmtId="14" fontId="0" fillId="0" borderId="1" xfId="0" applyNumberFormat="1" applyBorder="1"/>
    <xf numFmtId="14" fontId="0" fillId="0" borderId="0" xfId="0" applyNumberFormat="1"/>
    <xf numFmtId="14" fontId="5" fillId="5" borderId="1" xfId="0" applyNumberFormat="1" applyFont="1" applyFill="1" applyBorder="1" applyAlignment="1">
      <alignment horizontal="center"/>
    </xf>
    <xf numFmtId="14" fontId="4" fillId="0" borderId="1" xfId="0" applyNumberFormat="1" applyFon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2" fillId="3" borderId="1" xfId="0" applyNumberFormat="1" applyFont="1" applyFill="1" applyBorder="1"/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vertical="center"/>
    </xf>
    <xf numFmtId="14" fontId="1" fillId="2" borderId="7" xfId="0" applyNumberFormat="1" applyFont="1" applyFill="1" applyBorder="1" applyAlignment="1">
      <alignment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0" borderId="9" xfId="0" applyBorder="1"/>
    <xf numFmtId="1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10" xfId="0" applyBorder="1"/>
    <xf numFmtId="0" fontId="0" fillId="0" borderId="11" xfId="0" applyBorder="1"/>
    <xf numFmtId="0" fontId="3" fillId="4" borderId="1" xfId="0" applyFont="1" applyFill="1" applyBorder="1" applyAlignment="1">
      <alignment horizontal="center"/>
    </xf>
    <xf numFmtId="0" fontId="0" fillId="0" borderId="13" xfId="0" applyBorder="1"/>
    <xf numFmtId="0" fontId="3" fillId="4" borderId="12" xfId="0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4" fillId="0" borderId="1" xfId="0" applyNumberFormat="1" applyFont="1" applyBorder="1"/>
    <xf numFmtId="0" fontId="0" fillId="0" borderId="0" xfId="0" applyAlignment="1">
      <alignment horizontal="left"/>
    </xf>
    <xf numFmtId="1" fontId="0" fillId="0" borderId="0" xfId="0" applyNumberFormat="1"/>
    <xf numFmtId="14" fontId="0" fillId="6" borderId="1" xfId="0" applyNumberFormat="1" applyFill="1" applyBorder="1"/>
  </cellXfs>
  <cellStyles count="1">
    <cellStyle name="Normal" xfId="0" builtinId="0"/>
  </cellStyles>
  <dxfs count="46"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" formatCode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65" formatCode="&quot;$&quot;#,##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REHOBO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ia"/>
      <sheetName val="Zonas"/>
      <sheetName val="Productos"/>
      <sheetName val="Resumen_Diario"/>
      <sheetName val="Ventas_diarias"/>
      <sheetName val="Hoja1"/>
      <sheetName val="Clientes"/>
      <sheetName val="Abonos"/>
    </sheetNames>
    <sheetDataSet>
      <sheetData sheetId="0">
        <row r="15">
          <cell r="A15" t="str">
            <v>Alberto</v>
          </cell>
          <cell r="B15">
            <v>1</v>
          </cell>
        </row>
        <row r="16">
          <cell r="A16" t="str">
            <v>Andres Frenos</v>
          </cell>
          <cell r="B16">
            <v>2</v>
          </cell>
        </row>
        <row r="17">
          <cell r="A17" t="str">
            <v>jhon parqueautomotor</v>
          </cell>
          <cell r="B17">
            <v>3</v>
          </cell>
        </row>
        <row r="18">
          <cell r="A18" t="str">
            <v>Pedro Vasquez</v>
          </cell>
          <cell r="B18">
            <v>4</v>
          </cell>
        </row>
        <row r="19">
          <cell r="A19" t="str">
            <v>Andres Kia</v>
          </cell>
          <cell r="B19">
            <v>5</v>
          </cell>
        </row>
        <row r="20">
          <cell r="A20" t="str">
            <v>Serviteca Aguilas</v>
          </cell>
          <cell r="B20">
            <v>6</v>
          </cell>
        </row>
        <row r="21">
          <cell r="A21" t="str">
            <v>Miguel y tito</v>
          </cell>
          <cell r="B21">
            <v>7</v>
          </cell>
        </row>
        <row r="22">
          <cell r="A22" t="str">
            <v>William patrón</v>
          </cell>
          <cell r="B22">
            <v>8</v>
          </cell>
        </row>
        <row r="23">
          <cell r="A23" t="str">
            <v>Javier Toyo</v>
          </cell>
          <cell r="B23">
            <v>9</v>
          </cell>
        </row>
        <row r="24">
          <cell r="A24" t="str">
            <v>Arnold Montaño</v>
          </cell>
          <cell r="B24">
            <v>10</v>
          </cell>
        </row>
        <row r="25">
          <cell r="A25" t="str">
            <v>Ali</v>
          </cell>
          <cell r="B25">
            <v>11</v>
          </cell>
        </row>
        <row r="26">
          <cell r="A26" t="str">
            <v>Diego Gomez</v>
          </cell>
          <cell r="B26">
            <v>12</v>
          </cell>
        </row>
        <row r="27">
          <cell r="A27" t="str">
            <v>Camilo Barrera JB</v>
          </cell>
          <cell r="B27">
            <v>13</v>
          </cell>
        </row>
        <row r="28">
          <cell r="A28" t="str">
            <v>Uberney Chiguas</v>
          </cell>
          <cell r="B28">
            <v>14</v>
          </cell>
        </row>
        <row r="29">
          <cell r="A29" t="str">
            <v>Fabian patrón</v>
          </cell>
          <cell r="B29">
            <v>15</v>
          </cell>
        </row>
        <row r="30">
          <cell r="A30" t="str">
            <v>Yilber</v>
          </cell>
          <cell r="B30">
            <v>16</v>
          </cell>
        </row>
        <row r="31">
          <cell r="A31" t="str">
            <v>Ricardo Sidonia</v>
          </cell>
          <cell r="B31">
            <v>17</v>
          </cell>
        </row>
        <row r="32">
          <cell r="A32" t="str">
            <v>Sergio Garage paint</v>
          </cell>
          <cell r="B32">
            <v>18</v>
          </cell>
        </row>
        <row r="33">
          <cell r="A33" t="str">
            <v>Autotec</v>
          </cell>
          <cell r="B33">
            <v>19</v>
          </cell>
        </row>
        <row r="34">
          <cell r="A34" t="str">
            <v>Pablo</v>
          </cell>
          <cell r="B34">
            <v>20</v>
          </cell>
        </row>
        <row r="35">
          <cell r="A35" t="str">
            <v>Pedro Reyes</v>
          </cell>
          <cell r="B35">
            <v>21</v>
          </cell>
        </row>
        <row r="36">
          <cell r="A36" t="str">
            <v xml:space="preserve">William y Felipe </v>
          </cell>
          <cell r="B36">
            <v>22</v>
          </cell>
        </row>
        <row r="37">
          <cell r="A37" t="str">
            <v>Henry el cedro</v>
          </cell>
          <cell r="B37">
            <v>23</v>
          </cell>
        </row>
        <row r="38">
          <cell r="A38" t="str">
            <v>Ricardo Gerardo</v>
          </cell>
          <cell r="B38">
            <v>24</v>
          </cell>
        </row>
        <row r="39">
          <cell r="A39" t="str">
            <v>Gerardo Electroautos</v>
          </cell>
          <cell r="B39">
            <v>25</v>
          </cell>
        </row>
        <row r="40">
          <cell r="A40" t="str">
            <v>Oscar Ñoño</v>
          </cell>
          <cell r="B40">
            <v>26</v>
          </cell>
        </row>
        <row r="41">
          <cell r="A41" t="str">
            <v>Eider</v>
          </cell>
          <cell r="B41">
            <v>27</v>
          </cell>
        </row>
        <row r="42">
          <cell r="A42" t="str">
            <v>Argen Duran</v>
          </cell>
          <cell r="B42">
            <v>28</v>
          </cell>
        </row>
        <row r="43">
          <cell r="A43" t="str">
            <v>Chachan motos</v>
          </cell>
          <cell r="B43">
            <v>29</v>
          </cell>
        </row>
        <row r="44">
          <cell r="A44" t="str">
            <v>Camilo Santana</v>
          </cell>
          <cell r="B44">
            <v>30</v>
          </cell>
        </row>
        <row r="45">
          <cell r="A45" t="str">
            <v>Susana Frenos</v>
          </cell>
          <cell r="B45">
            <v>31</v>
          </cell>
        </row>
        <row r="46">
          <cell r="A46" t="str">
            <v>Fabian Motos</v>
          </cell>
          <cell r="B46">
            <v>32</v>
          </cell>
        </row>
        <row r="47">
          <cell r="A47" t="str">
            <v>Fernando car service</v>
          </cell>
          <cell r="B47">
            <v>33</v>
          </cell>
        </row>
        <row r="48">
          <cell r="A48" t="str">
            <v>fredy y leo OMG</v>
          </cell>
          <cell r="B48">
            <v>34</v>
          </cell>
        </row>
        <row r="49">
          <cell r="A49" t="str">
            <v>Carlos A&amp;L</v>
          </cell>
          <cell r="B49">
            <v>35</v>
          </cell>
        </row>
        <row r="50">
          <cell r="A50" t="str">
            <v>Carlos buya</v>
          </cell>
          <cell r="B50">
            <v>36</v>
          </cell>
        </row>
        <row r="51">
          <cell r="A51" t="str">
            <v>Eduardo Martinez</v>
          </cell>
          <cell r="B51">
            <v>37</v>
          </cell>
        </row>
        <row r="52">
          <cell r="A52" t="str">
            <v>Ignacio Tabiotronica</v>
          </cell>
          <cell r="B52">
            <v>38</v>
          </cell>
        </row>
        <row r="53">
          <cell r="A53" t="str">
            <v>Yeison Arevalo</v>
          </cell>
          <cell r="B53">
            <v>39</v>
          </cell>
        </row>
        <row r="54">
          <cell r="A54" t="str">
            <v>Willy Rally Autos</v>
          </cell>
          <cell r="B54">
            <v>40</v>
          </cell>
        </row>
        <row r="55">
          <cell r="A55" t="str">
            <v>Herney</v>
          </cell>
          <cell r="B55">
            <v>41</v>
          </cell>
        </row>
        <row r="56">
          <cell r="A56" t="str">
            <v>Cesar Autotec</v>
          </cell>
          <cell r="B56">
            <v>42</v>
          </cell>
        </row>
        <row r="57">
          <cell r="A57" t="str">
            <v>Diego Tecnifrenos</v>
          </cell>
          <cell r="B57">
            <v>43</v>
          </cell>
        </row>
        <row r="58">
          <cell r="A58" t="str">
            <v>William Martinez</v>
          </cell>
          <cell r="B58">
            <v>44</v>
          </cell>
        </row>
        <row r="59">
          <cell r="A59" t="str">
            <v>Oscar Porras</v>
          </cell>
          <cell r="B59">
            <v>45</v>
          </cell>
        </row>
        <row r="60">
          <cell r="A60" t="str">
            <v xml:space="preserve">Carlos  Moto Trujillo </v>
          </cell>
          <cell r="B60">
            <v>46</v>
          </cell>
        </row>
        <row r="61">
          <cell r="A61" t="str">
            <v>Junior durán</v>
          </cell>
          <cell r="B61">
            <v>47</v>
          </cell>
        </row>
        <row r="62">
          <cell r="A62" t="str">
            <v>Miguel encargado</v>
          </cell>
          <cell r="B62">
            <v>48</v>
          </cell>
        </row>
        <row r="63">
          <cell r="A63" t="str">
            <v>Luis Corpus</v>
          </cell>
          <cell r="B63">
            <v>49</v>
          </cell>
        </row>
        <row r="64">
          <cell r="A64" t="str">
            <v>Jhon forero</v>
          </cell>
          <cell r="B64">
            <v>50</v>
          </cell>
        </row>
        <row r="65">
          <cell r="A65" t="str">
            <v>Elias frenos</v>
          </cell>
          <cell r="B65">
            <v>51</v>
          </cell>
        </row>
        <row r="66">
          <cell r="A66" t="str">
            <v>jhon Vasquez</v>
          </cell>
          <cell r="B66">
            <v>52</v>
          </cell>
        </row>
        <row r="67">
          <cell r="A67" t="str">
            <v>Alexander Tecniautomotriz</v>
          </cell>
          <cell r="B67">
            <v>53</v>
          </cell>
        </row>
        <row r="68">
          <cell r="A68" t="str">
            <v>German Gomez</v>
          </cell>
          <cell r="B68">
            <v>54</v>
          </cell>
        </row>
        <row r="69">
          <cell r="A69" t="str">
            <v>Diego serviteca</v>
          </cell>
          <cell r="B69">
            <v>55</v>
          </cell>
        </row>
        <row r="70">
          <cell r="A70" t="str">
            <v>Carlos durán</v>
          </cell>
          <cell r="B70">
            <v>56</v>
          </cell>
        </row>
        <row r="71">
          <cell r="A71" t="str">
            <v>Jorge Valencia</v>
          </cell>
          <cell r="B71">
            <v>57</v>
          </cell>
        </row>
        <row r="72">
          <cell r="A72" t="str">
            <v>Mervin</v>
          </cell>
          <cell r="B72">
            <v>58</v>
          </cell>
        </row>
        <row r="73">
          <cell r="A73" t="str">
            <v>Parqueadero Urbina</v>
          </cell>
          <cell r="B73">
            <v>59</v>
          </cell>
        </row>
        <row r="74">
          <cell r="A74" t="str">
            <v>Alejandro Tabiotronica</v>
          </cell>
          <cell r="B74">
            <v>60</v>
          </cell>
        </row>
        <row r="75">
          <cell r="A75" t="str">
            <v>Esteban Motos</v>
          </cell>
          <cell r="B75">
            <v>61</v>
          </cell>
        </row>
        <row r="76">
          <cell r="A76" t="str">
            <v>Leonardo Lujos</v>
          </cell>
          <cell r="B76">
            <v>62</v>
          </cell>
        </row>
        <row r="77">
          <cell r="A77" t="str">
            <v>Luis senejoa</v>
          </cell>
          <cell r="B77">
            <v>63</v>
          </cell>
        </row>
        <row r="78">
          <cell r="A78" t="str">
            <v>Ivan Az</v>
          </cell>
          <cell r="B78">
            <v>64</v>
          </cell>
        </row>
        <row r="79">
          <cell r="A79" t="str">
            <v>Norlys</v>
          </cell>
          <cell r="B79">
            <v>66</v>
          </cell>
        </row>
        <row r="80">
          <cell r="A80" t="str">
            <v>Edwin Motos</v>
          </cell>
          <cell r="B80">
            <v>67</v>
          </cell>
        </row>
        <row r="81">
          <cell r="A81" t="str">
            <v>Santiago lujos</v>
          </cell>
          <cell r="B81">
            <v>68</v>
          </cell>
        </row>
        <row r="82">
          <cell r="A82" t="str">
            <v>Juan carlos motos</v>
          </cell>
          <cell r="B82">
            <v>69</v>
          </cell>
        </row>
        <row r="83">
          <cell r="A83" t="str">
            <v xml:space="preserve">Frenos y embragues </v>
          </cell>
          <cell r="B83">
            <v>70</v>
          </cell>
        </row>
        <row r="84">
          <cell r="A84" t="str">
            <v>Danimitec Diesel</v>
          </cell>
          <cell r="B84">
            <v>71</v>
          </cell>
        </row>
        <row r="85">
          <cell r="A85" t="str">
            <v>Julian Bustos motos</v>
          </cell>
          <cell r="B85">
            <v>72</v>
          </cell>
        </row>
        <row r="86">
          <cell r="A86" t="str">
            <v>Adrian</v>
          </cell>
          <cell r="B86">
            <v>73</v>
          </cell>
        </row>
        <row r="87">
          <cell r="A87" t="str">
            <v>Hugo Peña</v>
          </cell>
          <cell r="B87">
            <v>74</v>
          </cell>
        </row>
        <row r="88">
          <cell r="A88" t="str">
            <v>Alvaro Gecko</v>
          </cell>
          <cell r="B88">
            <v>75</v>
          </cell>
        </row>
        <row r="89">
          <cell r="A89" t="str">
            <v>Jorge Eléctrico</v>
          </cell>
          <cell r="B89">
            <v>76</v>
          </cell>
        </row>
        <row r="90">
          <cell r="A90" t="str">
            <v>Alirio</v>
          </cell>
          <cell r="B90">
            <v>77</v>
          </cell>
        </row>
        <row r="91">
          <cell r="A91" t="str">
            <v>Daniel Briceño</v>
          </cell>
          <cell r="B91">
            <v>78</v>
          </cell>
        </row>
        <row r="92">
          <cell r="A92" t="str">
            <v xml:space="preserve">David Rubiano </v>
          </cell>
          <cell r="B92">
            <v>79</v>
          </cell>
        </row>
        <row r="93">
          <cell r="A93" t="str">
            <v>Giovanni</v>
          </cell>
          <cell r="B93">
            <v>80</v>
          </cell>
        </row>
        <row r="94">
          <cell r="A94" t="str">
            <v>Ferney serviteca</v>
          </cell>
          <cell r="B94">
            <v>81</v>
          </cell>
        </row>
        <row r="95">
          <cell r="A95" t="str">
            <v>Luis Bohorquez frenos</v>
          </cell>
          <cell r="B95">
            <v>82</v>
          </cell>
        </row>
        <row r="96">
          <cell r="A96" t="str">
            <v>Alfredo birla pits</v>
          </cell>
          <cell r="B96">
            <v>83</v>
          </cell>
        </row>
        <row r="97">
          <cell r="A97" t="str">
            <v>Andres Cruz Serviteca</v>
          </cell>
          <cell r="B97">
            <v>84</v>
          </cell>
        </row>
        <row r="98">
          <cell r="A98" t="str">
            <v>Nelson Niño</v>
          </cell>
          <cell r="B98">
            <v>85</v>
          </cell>
        </row>
        <row r="99">
          <cell r="A99" t="str">
            <v>Rafael Casallas</v>
          </cell>
          <cell r="B99">
            <v>86</v>
          </cell>
        </row>
        <row r="100">
          <cell r="A100" t="str">
            <v>Sebastian Diaz</v>
          </cell>
          <cell r="B100">
            <v>87</v>
          </cell>
        </row>
        <row r="101">
          <cell r="A101" t="str">
            <v>Leider Forero</v>
          </cell>
          <cell r="B101">
            <v>88</v>
          </cell>
        </row>
        <row r="102">
          <cell r="A102" t="str">
            <v>Marlon Palacios Dicar’s</v>
          </cell>
          <cell r="B102">
            <v>89</v>
          </cell>
        </row>
        <row r="103">
          <cell r="A103" t="str">
            <v>Nelson Lara LT Diesel</v>
          </cell>
          <cell r="B103">
            <v>90</v>
          </cell>
        </row>
        <row r="104">
          <cell r="A104" t="str">
            <v>Andres</v>
          </cell>
          <cell r="B104">
            <v>91</v>
          </cell>
        </row>
        <row r="105">
          <cell r="A105" t="str">
            <v>Juan</v>
          </cell>
          <cell r="B105">
            <v>92</v>
          </cell>
        </row>
        <row r="106">
          <cell r="A106" t="str">
            <v>Oscar Centro Lato</v>
          </cell>
          <cell r="B106">
            <v>93</v>
          </cell>
        </row>
        <row r="107">
          <cell r="A107" t="str">
            <v>Cristian</v>
          </cell>
          <cell r="B107">
            <v>94</v>
          </cell>
        </row>
        <row r="108">
          <cell r="A108" t="str">
            <v>Fernando MotosVillapaul</v>
          </cell>
          <cell r="B108">
            <v>95</v>
          </cell>
        </row>
        <row r="109">
          <cell r="A109" t="str">
            <v>Javier Berautos</v>
          </cell>
          <cell r="B109">
            <v>96</v>
          </cell>
        </row>
        <row r="110">
          <cell r="A110" t="str">
            <v>Eduardo</v>
          </cell>
          <cell r="B110">
            <v>97</v>
          </cell>
        </row>
        <row r="111">
          <cell r="A111" t="str">
            <v xml:space="preserve">Alvaro caballero </v>
          </cell>
          <cell r="B111">
            <v>98</v>
          </cell>
        </row>
        <row r="112">
          <cell r="A112" t="str">
            <v>ALL 4 MOTOS CESAR</v>
          </cell>
          <cell r="B112">
            <v>99</v>
          </cell>
        </row>
        <row r="113">
          <cell r="A113" t="str">
            <v>Cesar motos</v>
          </cell>
          <cell r="B113">
            <v>100</v>
          </cell>
        </row>
        <row r="114">
          <cell r="A114" t="str">
            <v>Javier Gorra</v>
          </cell>
          <cell r="B114">
            <v>101</v>
          </cell>
        </row>
        <row r="115">
          <cell r="A115" t="str">
            <v>Ferreteria la escuadra</v>
          </cell>
          <cell r="B115">
            <v>102</v>
          </cell>
        </row>
        <row r="116">
          <cell r="A116" t="str">
            <v>Carlos Encizo</v>
          </cell>
          <cell r="B116">
            <v>103</v>
          </cell>
        </row>
        <row r="117">
          <cell r="A117" t="str">
            <v xml:space="preserve">Juan Carlos motos </v>
          </cell>
          <cell r="B117">
            <v>104</v>
          </cell>
        </row>
        <row r="118">
          <cell r="A118" t="str">
            <v>Edinson Mototaller Parceros</v>
          </cell>
          <cell r="B118">
            <v>105</v>
          </cell>
        </row>
        <row r="119">
          <cell r="A119" t="str">
            <v xml:space="preserve">Steven </v>
          </cell>
          <cell r="B119">
            <v>106</v>
          </cell>
        </row>
        <row r="120">
          <cell r="A120" t="str">
            <v>Juan Carlos Bernal</v>
          </cell>
          <cell r="B120">
            <v>107</v>
          </cell>
        </row>
        <row r="121">
          <cell r="A121" t="str">
            <v>Marcos</v>
          </cell>
          <cell r="B121">
            <v>108</v>
          </cell>
        </row>
        <row r="122">
          <cell r="A122" t="str">
            <v>Camilo Posada Taller latoneria</v>
          </cell>
          <cell r="B122">
            <v>109</v>
          </cell>
        </row>
        <row r="123">
          <cell r="A123" t="str">
            <v>Daniel TecniAutos</v>
          </cell>
          <cell r="B123">
            <v>110</v>
          </cell>
        </row>
        <row r="124">
          <cell r="A124" t="str">
            <v>Jorge Parqueadero</v>
          </cell>
          <cell r="B124">
            <v>111</v>
          </cell>
        </row>
        <row r="125">
          <cell r="A125" t="str">
            <v>Edgar Patepalo</v>
          </cell>
          <cell r="B125">
            <v>112</v>
          </cell>
        </row>
        <row r="126">
          <cell r="A126" t="str">
            <v>Wilmar Latoneria Cepa</v>
          </cell>
          <cell r="B126">
            <v>113</v>
          </cell>
        </row>
        <row r="127">
          <cell r="A127" t="str">
            <v>Mauricio Chiquillo</v>
          </cell>
          <cell r="B127">
            <v>114</v>
          </cell>
        </row>
        <row r="128">
          <cell r="A128" t="str">
            <v>Jose Nizo</v>
          </cell>
          <cell r="B128">
            <v>115</v>
          </cell>
        </row>
        <row r="129">
          <cell r="A129" t="str">
            <v>Alejandro motos</v>
          </cell>
          <cell r="B129">
            <v>116</v>
          </cell>
        </row>
        <row r="130">
          <cell r="A130" t="str">
            <v>Alejandro motos</v>
          </cell>
          <cell r="B130">
            <v>117</v>
          </cell>
        </row>
        <row r="131">
          <cell r="A131" t="str">
            <v>Gilberto Tecnicar</v>
          </cell>
          <cell r="B131">
            <v>118</v>
          </cell>
        </row>
        <row r="132">
          <cell r="A132" t="str">
            <v>Jose Poveda</v>
          </cell>
          <cell r="B132">
            <v>119</v>
          </cell>
        </row>
        <row r="133">
          <cell r="A133" t="str">
            <v>Mauricio Yiyo Motos</v>
          </cell>
          <cell r="B133">
            <v>120</v>
          </cell>
        </row>
        <row r="134">
          <cell r="A134" t="str">
            <v>Andres xtreme development</v>
          </cell>
          <cell r="B134">
            <v>121</v>
          </cell>
        </row>
        <row r="135">
          <cell r="A135" t="str">
            <v xml:space="preserve">Miguel Angel </v>
          </cell>
          <cell r="B135">
            <v>122</v>
          </cell>
        </row>
        <row r="136">
          <cell r="A136" t="str">
            <v>Alejandro Parqueadero</v>
          </cell>
          <cell r="B136">
            <v>123</v>
          </cell>
        </row>
        <row r="137">
          <cell r="A137" t="str">
            <v>Ivan Villareal</v>
          </cell>
          <cell r="B137">
            <v>124</v>
          </cell>
        </row>
        <row r="138">
          <cell r="A138" t="str">
            <v>Gerardo (no es el jefe)</v>
          </cell>
          <cell r="B138">
            <v>125</v>
          </cell>
        </row>
        <row r="139">
          <cell r="A139" t="str">
            <v xml:space="preserve">Carlos y John Rodriguez </v>
          </cell>
          <cell r="B139">
            <v>126</v>
          </cell>
        </row>
        <row r="140">
          <cell r="A140" t="str">
            <v>Oscar OMG</v>
          </cell>
          <cell r="B140">
            <v>127</v>
          </cell>
        </row>
        <row r="141">
          <cell r="A141" t="str">
            <v>Andres Chia</v>
          </cell>
          <cell r="B141">
            <v>128</v>
          </cell>
        </row>
        <row r="142">
          <cell r="A142" t="str">
            <v>Oscar livianos y pesados</v>
          </cell>
          <cell r="B142">
            <v>129</v>
          </cell>
        </row>
        <row r="143">
          <cell r="A143" t="str">
            <v>Nelson</v>
          </cell>
          <cell r="B143">
            <v>130</v>
          </cell>
        </row>
        <row r="144">
          <cell r="A144" t="str">
            <v>Juan Pablo latoneria</v>
          </cell>
          <cell r="B144">
            <v>131</v>
          </cell>
        </row>
        <row r="145">
          <cell r="A145" t="str">
            <v>Daniel Motos</v>
          </cell>
          <cell r="B145">
            <v>132</v>
          </cell>
        </row>
        <row r="146">
          <cell r="A146" t="str">
            <v>Camilo Molina</v>
          </cell>
          <cell r="B146">
            <v>134</v>
          </cell>
        </row>
        <row r="147">
          <cell r="A147" t="str">
            <v>Javier MulticarService</v>
          </cell>
          <cell r="B147">
            <v>135</v>
          </cell>
        </row>
        <row r="148">
          <cell r="A148" t="str">
            <v>Sergio Latoneria</v>
          </cell>
          <cell r="B148">
            <v>136</v>
          </cell>
        </row>
        <row r="149">
          <cell r="A149" t="str">
            <v>Oscar Eléctrico</v>
          </cell>
          <cell r="B149">
            <v>137</v>
          </cell>
        </row>
        <row r="150">
          <cell r="A150" t="str">
            <v>Alfredo</v>
          </cell>
          <cell r="B150">
            <v>138</v>
          </cell>
        </row>
        <row r="151">
          <cell r="A151" t="str">
            <v>Alejandro Rocket Racing</v>
          </cell>
          <cell r="B151">
            <v>139</v>
          </cell>
        </row>
        <row r="152">
          <cell r="A152" t="str">
            <v>Orlando Rojas</v>
          </cell>
          <cell r="B152">
            <v>140</v>
          </cell>
        </row>
        <row r="153">
          <cell r="A153" t="str">
            <v>Miguel Motos</v>
          </cell>
          <cell r="B153">
            <v>141</v>
          </cell>
        </row>
        <row r="154">
          <cell r="A154" t="str">
            <v>Rodrigo Hermotos</v>
          </cell>
          <cell r="B154">
            <v>142</v>
          </cell>
        </row>
        <row r="155">
          <cell r="A155" t="str">
            <v>Yerson chacon</v>
          </cell>
          <cell r="B155">
            <v>143</v>
          </cell>
        </row>
        <row r="156">
          <cell r="A156" t="str">
            <v>Hermes Becerra</v>
          </cell>
          <cell r="B156">
            <v>144</v>
          </cell>
        </row>
        <row r="157">
          <cell r="A157" t="str">
            <v xml:space="preserve">Leonardo penagos </v>
          </cell>
          <cell r="B157">
            <v>145</v>
          </cell>
        </row>
        <row r="158">
          <cell r="A158" t="str">
            <v xml:space="preserve">Edwin Bolivar </v>
          </cell>
          <cell r="B158">
            <v>146</v>
          </cell>
        </row>
        <row r="159">
          <cell r="A159" t="str">
            <v xml:space="preserve">Jhon infante </v>
          </cell>
          <cell r="B159">
            <v>147</v>
          </cell>
        </row>
        <row r="160">
          <cell r="A160" t="str">
            <v>Camilo Siquima</v>
          </cell>
          <cell r="B160">
            <v>148</v>
          </cell>
        </row>
        <row r="161">
          <cell r="A161" t="str">
            <v>Wilmar Ceballos</v>
          </cell>
          <cell r="B161">
            <v>149</v>
          </cell>
        </row>
        <row r="162">
          <cell r="A162" t="str">
            <v>Stiven Espinoza</v>
          </cell>
          <cell r="B162">
            <v>150</v>
          </cell>
        </row>
        <row r="163">
          <cell r="A163" t="str">
            <v xml:space="preserve">Jhonny Hernández </v>
          </cell>
          <cell r="B163">
            <v>151</v>
          </cell>
        </row>
        <row r="164">
          <cell r="A164" t="str">
            <v>Asotec Diesel</v>
          </cell>
          <cell r="B164">
            <v>152</v>
          </cell>
        </row>
        <row r="165">
          <cell r="A165" t="str">
            <v>Jorge Morales</v>
          </cell>
          <cell r="B165">
            <v>153</v>
          </cell>
        </row>
        <row r="166">
          <cell r="A166" t="str">
            <v>Omar Quiroga</v>
          </cell>
          <cell r="B166">
            <v>154</v>
          </cell>
        </row>
        <row r="167">
          <cell r="A167" t="str">
            <v>Motor Diesel Colombian</v>
          </cell>
          <cell r="B167">
            <v>155</v>
          </cell>
        </row>
        <row r="168">
          <cell r="A168" t="str">
            <v>Carlos Espitia Motos</v>
          </cell>
          <cell r="B168">
            <v>156</v>
          </cell>
        </row>
        <row r="169">
          <cell r="A169" t="str">
            <v>Manuel Subachoque</v>
          </cell>
          <cell r="B169">
            <v>157</v>
          </cell>
        </row>
        <row r="170">
          <cell r="A170" t="str">
            <v xml:space="preserve">Gregorio Cáceres </v>
          </cell>
          <cell r="B170">
            <v>158</v>
          </cell>
        </row>
        <row r="171">
          <cell r="A171" t="str">
            <v>Henry vivas</v>
          </cell>
          <cell r="B171">
            <v>159</v>
          </cell>
        </row>
        <row r="172">
          <cell r="A172" t="str">
            <v>José Enrique sierra</v>
          </cell>
          <cell r="B172">
            <v>160</v>
          </cell>
        </row>
        <row r="173">
          <cell r="A173" t="str">
            <v>Ober Ariza</v>
          </cell>
          <cell r="B173">
            <v>161</v>
          </cell>
        </row>
        <row r="174">
          <cell r="A174" t="str">
            <v>Carlos prieto</v>
          </cell>
          <cell r="B174">
            <v>162</v>
          </cell>
        </row>
        <row r="175">
          <cell r="A175" t="str">
            <v xml:space="preserve">Ing Juan Manuel </v>
          </cell>
          <cell r="B175">
            <v>163</v>
          </cell>
        </row>
        <row r="176">
          <cell r="A176" t="str">
            <v xml:space="preserve">Jose Rio Bogotá </v>
          </cell>
          <cell r="B176">
            <v>164</v>
          </cell>
        </row>
        <row r="177">
          <cell r="A177" t="str">
            <v xml:space="preserve">Luis Escalante </v>
          </cell>
          <cell r="B177">
            <v>165</v>
          </cell>
        </row>
        <row r="178">
          <cell r="A178" t="str">
            <v>Arturo Giraldo</v>
          </cell>
          <cell r="B178">
            <v>166</v>
          </cell>
        </row>
        <row r="179">
          <cell r="A179" t="str">
            <v xml:space="preserve">A&amp;A Pinzón </v>
          </cell>
          <cell r="B179">
            <v>168</v>
          </cell>
        </row>
        <row r="180">
          <cell r="A180" t="str">
            <v>William Franco</v>
          </cell>
          <cell r="B180">
            <v>170</v>
          </cell>
        </row>
        <row r="181">
          <cell r="A181" t="str">
            <v xml:space="preserve">John Marín </v>
          </cell>
          <cell r="B181">
            <v>171</v>
          </cell>
        </row>
        <row r="182">
          <cell r="A182" t="str">
            <v>Erick Espitia</v>
          </cell>
          <cell r="B182">
            <v>172</v>
          </cell>
        </row>
        <row r="183">
          <cell r="A183" t="str">
            <v xml:space="preserve">Hector Hernán </v>
          </cell>
          <cell r="B183">
            <v>173</v>
          </cell>
        </row>
        <row r="184">
          <cell r="A184" t="str">
            <v>Soluciones Beltrán</v>
          </cell>
          <cell r="B184">
            <v>174</v>
          </cell>
        </row>
        <row r="185">
          <cell r="A185" t="str">
            <v>David Parqueadero</v>
          </cell>
          <cell r="B185">
            <v>175</v>
          </cell>
        </row>
        <row r="186">
          <cell r="A186" t="str">
            <v>Osvaldo motos socio</v>
          </cell>
          <cell r="B186">
            <v>176</v>
          </cell>
        </row>
        <row r="187">
          <cell r="A187" t="str">
            <v>Rodolfo Motos</v>
          </cell>
          <cell r="B187">
            <v>177</v>
          </cell>
        </row>
        <row r="188">
          <cell r="A188" t="str">
            <v>Eduardo Referido</v>
          </cell>
          <cell r="B188">
            <v>178</v>
          </cell>
        </row>
        <row r="189">
          <cell r="A189" t="str">
            <v>Nelson Daniel Torno</v>
          </cell>
          <cell r="B189">
            <v>179</v>
          </cell>
        </row>
        <row r="190">
          <cell r="A190" t="str">
            <v>Juan GyD</v>
          </cell>
          <cell r="B190">
            <v>180</v>
          </cell>
        </row>
        <row r="191">
          <cell r="A191" t="str">
            <v>David Peña</v>
          </cell>
          <cell r="B191">
            <v>181</v>
          </cell>
        </row>
        <row r="192">
          <cell r="A192" t="str">
            <v>Daniel Rojas</v>
          </cell>
          <cell r="B192">
            <v>182</v>
          </cell>
        </row>
        <row r="193">
          <cell r="A193" t="str">
            <v>Random</v>
          </cell>
          <cell r="B193" t="str">
            <v>R1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36E15-ED38-4BD3-AF8A-2704DF928A48}" name="Tabla1" displayName="Tabla1" ref="A1:A5" totalsRowShown="0" headerRowDxfId="45" headerRowBorderDxfId="44" tableBorderDxfId="43" totalsRowBorderDxfId="42">
  <autoFilter ref="A1:A5" xr:uid="{9CF36E15-ED38-4BD3-AF8A-2704DF928A48}"/>
  <tableColumns count="1">
    <tableColumn id="1" xr3:uid="{DEFCA688-4C75-451B-BBA3-B5219FB5A852}" name="Zona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F9626-E4B4-4473-B43A-9F5367BDE492}" name="Tabla3" displayName="Tabla3" ref="A1:E237" totalsRowShown="0">
  <autoFilter ref="A1:E237" xr:uid="{CA21B646-5D1C-46A8-9A5B-84FB2ADB9774}"/>
  <tableColumns count="5">
    <tableColumn id="1" xr3:uid="{33ED18A4-7DA2-44E5-AF7B-01FA636919E3}" name="ID" dataDxfId="40">
      <calculatedColumnFormula>VLOOKUP(Tabla3[[#This Row],[Producto]],Referencia!$E$2:$F$238,2,0)</calculatedColumnFormula>
    </tableColumn>
    <tableColumn id="2" xr3:uid="{663AF478-69E6-4568-BF88-D0922209C277}" name="Producto"/>
    <tableColumn id="3" xr3:uid="{0F825077-4501-48BF-8B44-7D80210D3390}" name="Categoria"/>
    <tableColumn id="4" xr3:uid="{6588F686-0595-4A8C-B323-A2F3DF4821F7}" name="Marca"/>
    <tableColumn id="5" xr3:uid="{41449DD9-A1EF-40AB-B23E-5A455CA2D225}" name="Proveed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D7587-80AB-4532-8759-35C65BEB4BCE}" name="Tabla2" displayName="Tabla2" ref="A1:J34" totalsRowShown="0" headerRowDxfId="39" headerRowBorderDxfId="38" tableBorderDxfId="37">
  <autoFilter ref="A1:J34" xr:uid="{A11D7587-80AB-4532-8759-35C65BEB4BCE}"/>
  <tableColumns count="10">
    <tableColumn id="1" xr3:uid="{854C869A-AA81-4B64-AB0A-284608A7DFD1}" name="Zona" dataDxfId="36"/>
    <tableColumn id="2" xr3:uid="{13FA2209-7EAF-42E2-8D6C-4D114A5D7862}" name="Fecha" dataDxfId="35"/>
    <tableColumn id="3" xr3:uid="{54B6487A-09A7-46AE-9465-CFFB8EE8A47E}" name="Venta_Total" dataDxfId="34"/>
    <tableColumn id="4" xr3:uid="{63822ACA-D090-4826-B9CA-C8FF912D2A8C}" name="Cobro_Total" dataDxfId="33"/>
    <tableColumn id="5" xr3:uid="{18053F63-E8CD-4B96-ACFC-C47F2EA4C3CD}" name="Cartera Actual" dataDxfId="32"/>
    <tableColumn id="6" xr3:uid="{6AB1DACC-BA88-4128-9CF8-91C16EF8B6BA}" name="Rodamiento" dataDxfId="31"/>
    <tableColumn id="7" xr3:uid="{20C4D54D-7079-44FD-8532-D2C2F30C0DEA}" name="#Visitas" dataDxfId="30"/>
    <tableColumn id="8" xr3:uid="{33060B4E-C287-4F4D-8540-9E89B8509ACD}" name="#Ventas" dataDxfId="29"/>
    <tableColumn id="9" xr3:uid="{2F1F8607-2C91-4DA3-979A-E6D38F28DA03}" name="%Cartera Recuperada" dataDxfId="28">
      <calculatedColumnFormula>(D2/E1)*100</calculatedColumnFormula>
    </tableColumn>
    <tableColumn id="10" xr3:uid="{E07FE848-EF12-40B4-AA2D-C661382873DE}" name="Observaciones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DCA567-FFC0-4DCF-85D4-9A058DA00333}" name="Tabla5" displayName="Tabla5" ref="A1:P375" totalsRowShown="0" headerRowDxfId="26">
  <autoFilter ref="A1:P375" xr:uid="{6FDCA567-FFC0-4DCF-85D4-9A058DA00333}"/>
  <tableColumns count="16">
    <tableColumn id="1" xr3:uid="{50A1D698-18DB-41EA-BE32-CBF332CDE7B7}" name="Fecha" dataDxfId="25"/>
    <tableColumn id="16" xr3:uid="{39AD5F66-B8C6-414D-9BEC-EC1805E4393A}" name="Pais" dataDxfId="24"/>
    <tableColumn id="15" xr3:uid="{78765C4E-8DE1-47AF-814F-0E32844D5AA1}" name="Departamento" dataDxfId="23"/>
    <tableColumn id="2" xr3:uid="{987B3F23-493C-4795-91E5-7A3BD8BFA61B}" name="Zona"/>
    <tableColumn id="14" xr3:uid="{F6F9837F-D504-4D34-B1B2-F86B5E264BDA}" name="Ciudad"/>
    <tableColumn id="3" xr3:uid="{AA93B813-1CD6-4AB6-9917-1B016AAF3287}" name="Tipo Cliente"/>
    <tableColumn id="4" xr3:uid="{8D502DA0-1F0B-4060-9879-F628E58C567F}" name="ID " dataDxfId="22"/>
    <tableColumn id="5" xr3:uid="{23A7350F-2873-40C1-BC59-10D1DB8F2DF0}" name="Cliente"/>
    <tableColumn id="13" xr3:uid="{9BA6971F-EBA6-4824-A73D-6DBF2D2BFBD1}" name="P_ID" dataDxfId="21">
      <calculatedColumnFormula>VLOOKUP(Tabla5[[#This Row],[Producto]],Referencia!$E$2:$F$238,2,0)</calculatedColumnFormula>
    </tableColumn>
    <tableColumn id="6" xr3:uid="{3229A015-594E-480B-B822-6475C52750B1}" name="Producto"/>
    <tableColumn id="7" xr3:uid="{55AB9478-6B59-40E5-8344-9D90F1382F79}" name="Cantidad" dataDxfId="20"/>
    <tableColumn id="8" xr3:uid="{D2871055-175A-42A4-AD60-9E3924CFD156}" name="Proveedor"/>
    <tableColumn id="9" xr3:uid="{5EAA2FB2-28A5-4D70-9931-25ED54E4E493}" name="Precio_Neto" dataDxfId="19"/>
    <tableColumn id="10" xr3:uid="{B6631AA9-9055-4F7C-A958-91DCEBCD3B04}" name="Precio_Venta" dataDxfId="18"/>
    <tableColumn id="11" xr3:uid="{53F83977-F156-4FDF-840E-9095939C6062}" name="Ganancia" dataDxfId="17"/>
    <tableColumn id="12" xr3:uid="{893A8472-E2EA-4AC4-9F7C-83BE65D92142}" name="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EF9C-085F-491C-92D3-7A00FED47134}">
  <dimension ref="A1:F238"/>
  <sheetViews>
    <sheetView workbookViewId="0">
      <selection activeCell="B5" sqref="B5"/>
    </sheetView>
  </sheetViews>
  <sheetFormatPr baseColWidth="10" defaultRowHeight="14.5" x14ac:dyDescent="0.35"/>
  <cols>
    <col min="1" max="1" width="17.54296875" customWidth="1"/>
    <col min="2" max="2" width="20.36328125" customWidth="1"/>
    <col min="5" max="5" width="22.36328125" customWidth="1"/>
  </cols>
  <sheetData>
    <row r="1" spans="1:6" x14ac:dyDescent="0.35">
      <c r="A1" s="41" t="s">
        <v>614</v>
      </c>
      <c r="B1" s="41" t="s">
        <v>0</v>
      </c>
      <c r="C1" s="41" t="s">
        <v>614</v>
      </c>
      <c r="D1" s="12" t="s">
        <v>620</v>
      </c>
      <c r="E1" s="12" t="s">
        <v>13</v>
      </c>
      <c r="F1" s="12" t="s">
        <v>620</v>
      </c>
    </row>
    <row r="2" spans="1:6" x14ac:dyDescent="0.35">
      <c r="A2" s="1" t="s">
        <v>109</v>
      </c>
      <c r="B2" s="1" t="s">
        <v>8</v>
      </c>
      <c r="C2" s="1" t="s">
        <v>109</v>
      </c>
      <c r="D2" s="1" t="s">
        <v>831</v>
      </c>
      <c r="E2" s="1" t="s">
        <v>637</v>
      </c>
      <c r="F2" s="1" t="s">
        <v>831</v>
      </c>
    </row>
    <row r="3" spans="1:6" x14ac:dyDescent="0.35">
      <c r="A3" s="1" t="s">
        <v>416</v>
      </c>
      <c r="B3" s="1" t="s">
        <v>8</v>
      </c>
      <c r="C3" s="1" t="s">
        <v>416</v>
      </c>
      <c r="D3" s="1" t="s">
        <v>832</v>
      </c>
      <c r="E3" s="1" t="s">
        <v>638</v>
      </c>
      <c r="F3" s="1" t="s">
        <v>832</v>
      </c>
    </row>
    <row r="4" spans="1:6" x14ac:dyDescent="0.35">
      <c r="A4" s="1" t="s">
        <v>418</v>
      </c>
      <c r="B4" s="1" t="s">
        <v>8</v>
      </c>
      <c r="C4" s="1" t="s">
        <v>418</v>
      </c>
      <c r="D4" s="1" t="s">
        <v>833</v>
      </c>
      <c r="E4" s="1" t="s">
        <v>639</v>
      </c>
      <c r="F4" s="1" t="s">
        <v>833</v>
      </c>
    </row>
    <row r="5" spans="1:6" x14ac:dyDescent="0.35">
      <c r="A5" s="1" t="s">
        <v>174</v>
      </c>
      <c r="B5" s="1" t="s">
        <v>8</v>
      </c>
      <c r="C5" s="1" t="s">
        <v>174</v>
      </c>
      <c r="D5" s="1" t="s">
        <v>834</v>
      </c>
      <c r="E5" s="1" t="s">
        <v>640</v>
      </c>
      <c r="F5" s="1" t="s">
        <v>834</v>
      </c>
    </row>
    <row r="6" spans="1:6" x14ac:dyDescent="0.35">
      <c r="A6" s="1" t="s">
        <v>122</v>
      </c>
      <c r="B6" s="1" t="s">
        <v>9</v>
      </c>
      <c r="C6" s="1" t="s">
        <v>122</v>
      </c>
      <c r="D6" s="1" t="s">
        <v>835</v>
      </c>
      <c r="E6" s="1" t="s">
        <v>636</v>
      </c>
      <c r="F6" s="1" t="s">
        <v>835</v>
      </c>
    </row>
    <row r="7" spans="1:6" x14ac:dyDescent="0.35">
      <c r="A7" s="1" t="s">
        <v>140</v>
      </c>
      <c r="B7" s="1" t="s">
        <v>9</v>
      </c>
      <c r="C7" s="1" t="s">
        <v>140</v>
      </c>
      <c r="D7" s="1" t="s">
        <v>836</v>
      </c>
      <c r="E7" s="1" t="s">
        <v>627</v>
      </c>
      <c r="F7" s="1" t="s">
        <v>836</v>
      </c>
    </row>
    <row r="8" spans="1:6" x14ac:dyDescent="0.35">
      <c r="A8" s="1" t="s">
        <v>155</v>
      </c>
      <c r="B8" s="1" t="s">
        <v>9</v>
      </c>
      <c r="C8" s="1" t="s">
        <v>155</v>
      </c>
      <c r="D8" s="1" t="s">
        <v>837</v>
      </c>
      <c r="E8" s="1" t="s">
        <v>641</v>
      </c>
      <c r="F8" s="1" t="s">
        <v>837</v>
      </c>
    </row>
    <row r="9" spans="1:6" x14ac:dyDescent="0.35">
      <c r="A9" s="1" t="s">
        <v>82</v>
      </c>
      <c r="B9" s="1" t="s">
        <v>415</v>
      </c>
      <c r="C9" s="1" t="s">
        <v>82</v>
      </c>
      <c r="D9" s="1" t="s">
        <v>838</v>
      </c>
      <c r="E9" s="1" t="s">
        <v>642</v>
      </c>
      <c r="F9" s="1" t="s">
        <v>838</v>
      </c>
    </row>
    <row r="10" spans="1:6" x14ac:dyDescent="0.35">
      <c r="A10" s="1" t="s">
        <v>301</v>
      </c>
      <c r="B10" s="1" t="s">
        <v>415</v>
      </c>
      <c r="C10" s="1" t="s">
        <v>301</v>
      </c>
      <c r="D10" s="1" t="s">
        <v>839</v>
      </c>
      <c r="E10" s="1" t="s">
        <v>643</v>
      </c>
      <c r="F10" s="1" t="s">
        <v>839</v>
      </c>
    </row>
    <row r="11" spans="1:6" x14ac:dyDescent="0.35">
      <c r="A11" s="1" t="s">
        <v>129</v>
      </c>
      <c r="B11" s="1" t="s">
        <v>615</v>
      </c>
      <c r="C11" s="1" t="s">
        <v>129</v>
      </c>
      <c r="D11" s="1" t="s">
        <v>840</v>
      </c>
      <c r="E11" s="1" t="s">
        <v>644</v>
      </c>
      <c r="F11" s="1" t="s">
        <v>840</v>
      </c>
    </row>
    <row r="12" spans="1:6" x14ac:dyDescent="0.35">
      <c r="A12" s="1" t="s">
        <v>127</v>
      </c>
      <c r="B12" s="1" t="s">
        <v>615</v>
      </c>
      <c r="C12" s="1" t="s">
        <v>127</v>
      </c>
      <c r="D12" s="1" t="s">
        <v>841</v>
      </c>
      <c r="E12" s="1" t="s">
        <v>645</v>
      </c>
      <c r="F12" s="1" t="s">
        <v>841</v>
      </c>
    </row>
    <row r="13" spans="1:6" x14ac:dyDescent="0.35">
      <c r="D13" s="1" t="s">
        <v>842</v>
      </c>
      <c r="E13" s="1" t="s">
        <v>646</v>
      </c>
      <c r="F13" s="1" t="s">
        <v>842</v>
      </c>
    </row>
    <row r="14" spans="1:6" x14ac:dyDescent="0.35">
      <c r="A14" s="12" t="s">
        <v>621</v>
      </c>
      <c r="B14" s="12" t="s">
        <v>620</v>
      </c>
      <c r="D14" s="1" t="s">
        <v>843</v>
      </c>
      <c r="E14" s="1" t="s">
        <v>647</v>
      </c>
      <c r="F14" s="1" t="s">
        <v>843</v>
      </c>
    </row>
    <row r="15" spans="1:6" x14ac:dyDescent="0.35">
      <c r="A15" s="10" t="s">
        <v>108</v>
      </c>
      <c r="B15" s="1">
        <v>1</v>
      </c>
      <c r="D15" s="1" t="s">
        <v>844</v>
      </c>
      <c r="E15" s="1" t="s">
        <v>648</v>
      </c>
      <c r="F15" s="1" t="s">
        <v>844</v>
      </c>
    </row>
    <row r="16" spans="1:6" x14ac:dyDescent="0.35">
      <c r="A16" s="10" t="s">
        <v>112</v>
      </c>
      <c r="B16" s="1">
        <v>2</v>
      </c>
      <c r="D16" s="1" t="s">
        <v>845</v>
      </c>
      <c r="E16" s="1" t="s">
        <v>649</v>
      </c>
      <c r="F16" s="1" t="s">
        <v>845</v>
      </c>
    </row>
    <row r="17" spans="1:6" x14ac:dyDescent="0.35">
      <c r="A17" s="10" t="s">
        <v>115</v>
      </c>
      <c r="B17" s="1">
        <v>3</v>
      </c>
      <c r="D17" s="1" t="s">
        <v>846</v>
      </c>
      <c r="E17" s="1" t="s">
        <v>650</v>
      </c>
      <c r="F17" s="1" t="s">
        <v>846</v>
      </c>
    </row>
    <row r="18" spans="1:6" x14ac:dyDescent="0.35">
      <c r="A18" s="10" t="s">
        <v>118</v>
      </c>
      <c r="B18" s="1">
        <v>4</v>
      </c>
      <c r="D18" s="1" t="s">
        <v>847</v>
      </c>
      <c r="E18" s="1" t="s">
        <v>46</v>
      </c>
      <c r="F18" s="1" t="s">
        <v>847</v>
      </c>
    </row>
    <row r="19" spans="1:6" x14ac:dyDescent="0.35">
      <c r="A19" s="10" t="s">
        <v>121</v>
      </c>
      <c r="B19" s="1">
        <v>5</v>
      </c>
      <c r="D19" s="1" t="s">
        <v>848</v>
      </c>
      <c r="E19" s="1" t="s">
        <v>651</v>
      </c>
      <c r="F19" s="1" t="s">
        <v>848</v>
      </c>
    </row>
    <row r="20" spans="1:6" x14ac:dyDescent="0.35">
      <c r="A20" s="10" t="s">
        <v>126</v>
      </c>
      <c r="B20" s="1">
        <v>6</v>
      </c>
      <c r="D20" s="1" t="s">
        <v>849</v>
      </c>
      <c r="E20" s="1" t="s">
        <v>652</v>
      </c>
      <c r="F20" s="1" t="s">
        <v>849</v>
      </c>
    </row>
    <row r="21" spans="1:6" x14ac:dyDescent="0.35">
      <c r="A21" s="10" t="s">
        <v>128</v>
      </c>
      <c r="B21" s="1">
        <v>7</v>
      </c>
      <c r="D21" s="1" t="s">
        <v>850</v>
      </c>
      <c r="E21" s="1" t="s">
        <v>653</v>
      </c>
      <c r="F21" s="1" t="s">
        <v>850</v>
      </c>
    </row>
    <row r="22" spans="1:6" x14ac:dyDescent="0.35">
      <c r="A22" s="10" t="s">
        <v>131</v>
      </c>
      <c r="B22" s="1">
        <v>8</v>
      </c>
      <c r="D22" s="1" t="s">
        <v>851</v>
      </c>
      <c r="E22" s="1" t="s">
        <v>654</v>
      </c>
      <c r="F22" s="1" t="s">
        <v>851</v>
      </c>
    </row>
    <row r="23" spans="1:6" x14ac:dyDescent="0.35">
      <c r="A23" s="10" t="s">
        <v>50</v>
      </c>
      <c r="B23" s="1">
        <v>9</v>
      </c>
      <c r="D23" s="1" t="s">
        <v>852</v>
      </c>
      <c r="E23" s="1" t="s">
        <v>655</v>
      </c>
      <c r="F23" s="1" t="s">
        <v>852</v>
      </c>
    </row>
    <row r="24" spans="1:6" x14ac:dyDescent="0.35">
      <c r="A24" s="10" t="s">
        <v>138</v>
      </c>
      <c r="B24" s="1">
        <v>10</v>
      </c>
      <c r="D24" s="1" t="s">
        <v>853</v>
      </c>
      <c r="E24" s="1" t="s">
        <v>656</v>
      </c>
      <c r="F24" s="1" t="s">
        <v>853</v>
      </c>
    </row>
    <row r="25" spans="1:6" x14ac:dyDescent="0.35">
      <c r="A25" s="10" t="s">
        <v>529</v>
      </c>
      <c r="B25" s="1">
        <v>11</v>
      </c>
      <c r="D25" s="1" t="s">
        <v>854</v>
      </c>
      <c r="E25" s="1" t="s">
        <v>657</v>
      </c>
      <c r="F25" s="1" t="s">
        <v>854</v>
      </c>
    </row>
    <row r="26" spans="1:6" x14ac:dyDescent="0.35">
      <c r="A26" s="10" t="s">
        <v>141</v>
      </c>
      <c r="B26" s="1">
        <v>12</v>
      </c>
      <c r="D26" s="1" t="s">
        <v>855</v>
      </c>
      <c r="E26" s="1" t="s">
        <v>658</v>
      </c>
      <c r="F26" s="1" t="s">
        <v>855</v>
      </c>
    </row>
    <row r="27" spans="1:6" x14ac:dyDescent="0.35">
      <c r="A27" s="10" t="s">
        <v>143</v>
      </c>
      <c r="B27" s="1">
        <v>13</v>
      </c>
      <c r="D27" s="1" t="s">
        <v>856</v>
      </c>
      <c r="E27" s="1" t="s">
        <v>659</v>
      </c>
      <c r="F27" s="1" t="s">
        <v>856</v>
      </c>
    </row>
    <row r="28" spans="1:6" x14ac:dyDescent="0.35">
      <c r="A28" s="10" t="s">
        <v>147</v>
      </c>
      <c r="B28" s="1">
        <v>14</v>
      </c>
      <c r="D28" s="1" t="s">
        <v>857</v>
      </c>
      <c r="E28" s="1" t="s">
        <v>467</v>
      </c>
      <c r="F28" s="1" t="s">
        <v>857</v>
      </c>
    </row>
    <row r="29" spans="1:6" x14ac:dyDescent="0.35">
      <c r="A29" s="10" t="s">
        <v>96</v>
      </c>
      <c r="B29" s="1">
        <v>15</v>
      </c>
      <c r="D29" s="1" t="s">
        <v>858</v>
      </c>
      <c r="E29" s="1" t="s">
        <v>660</v>
      </c>
      <c r="F29" s="1" t="s">
        <v>858</v>
      </c>
    </row>
    <row r="30" spans="1:6" x14ac:dyDescent="0.35">
      <c r="A30" s="10" t="s">
        <v>149</v>
      </c>
      <c r="B30" s="1">
        <v>16</v>
      </c>
      <c r="D30" s="1" t="s">
        <v>859</v>
      </c>
      <c r="E30" s="1" t="s">
        <v>661</v>
      </c>
      <c r="F30" s="1" t="s">
        <v>859</v>
      </c>
    </row>
    <row r="31" spans="1:6" x14ac:dyDescent="0.35">
      <c r="A31" s="10" t="s">
        <v>150</v>
      </c>
      <c r="B31" s="1">
        <v>17</v>
      </c>
      <c r="D31" s="1" t="s">
        <v>860</v>
      </c>
      <c r="E31" s="1" t="s">
        <v>662</v>
      </c>
      <c r="F31" s="1" t="s">
        <v>860</v>
      </c>
    </row>
    <row r="32" spans="1:6" x14ac:dyDescent="0.35">
      <c r="A32" s="10" t="s">
        <v>153</v>
      </c>
      <c r="B32" s="1">
        <v>18</v>
      </c>
      <c r="D32" s="1" t="s">
        <v>861</v>
      </c>
      <c r="E32" s="1" t="s">
        <v>663</v>
      </c>
      <c r="F32" s="1" t="s">
        <v>861</v>
      </c>
    </row>
    <row r="33" spans="1:6" x14ac:dyDescent="0.35">
      <c r="A33" s="10" t="s">
        <v>154</v>
      </c>
      <c r="B33" s="1">
        <v>19</v>
      </c>
      <c r="D33" s="1" t="s">
        <v>862</v>
      </c>
      <c r="E33" s="1" t="s">
        <v>664</v>
      </c>
      <c r="F33" s="1" t="s">
        <v>862</v>
      </c>
    </row>
    <row r="34" spans="1:6" x14ac:dyDescent="0.35">
      <c r="A34" s="10" t="s">
        <v>520</v>
      </c>
      <c r="B34" s="1">
        <v>20</v>
      </c>
      <c r="D34" s="1" t="s">
        <v>863</v>
      </c>
      <c r="E34" s="1" t="s">
        <v>665</v>
      </c>
      <c r="F34" s="1" t="s">
        <v>863</v>
      </c>
    </row>
    <row r="35" spans="1:6" x14ac:dyDescent="0.35">
      <c r="A35" s="10" t="s">
        <v>156</v>
      </c>
      <c r="B35" s="1">
        <v>21</v>
      </c>
      <c r="D35" s="1" t="s">
        <v>864</v>
      </c>
      <c r="E35" s="1" t="s">
        <v>666</v>
      </c>
      <c r="F35" s="1" t="s">
        <v>864</v>
      </c>
    </row>
    <row r="36" spans="1:6" x14ac:dyDescent="0.35">
      <c r="A36" s="10" t="s">
        <v>461</v>
      </c>
      <c r="B36" s="1">
        <v>22</v>
      </c>
      <c r="D36" s="1" t="s">
        <v>865</v>
      </c>
      <c r="E36" s="1" t="s">
        <v>667</v>
      </c>
      <c r="F36" s="1" t="s">
        <v>865</v>
      </c>
    </row>
    <row r="37" spans="1:6" x14ac:dyDescent="0.35">
      <c r="A37" s="10" t="s">
        <v>480</v>
      </c>
      <c r="B37" s="1">
        <v>23</v>
      </c>
      <c r="D37" s="1" t="s">
        <v>866</v>
      </c>
      <c r="E37" s="1" t="s">
        <v>668</v>
      </c>
      <c r="F37" s="1" t="s">
        <v>866</v>
      </c>
    </row>
    <row r="38" spans="1:6" x14ac:dyDescent="0.35">
      <c r="A38" s="10" t="s">
        <v>98</v>
      </c>
      <c r="B38" s="1">
        <v>24</v>
      </c>
      <c r="D38" s="1" t="s">
        <v>867</v>
      </c>
      <c r="E38" s="1" t="s">
        <v>669</v>
      </c>
      <c r="F38" s="1" t="s">
        <v>867</v>
      </c>
    </row>
    <row r="39" spans="1:6" x14ac:dyDescent="0.35">
      <c r="A39" s="10" t="s">
        <v>160</v>
      </c>
      <c r="B39" s="1">
        <v>25</v>
      </c>
      <c r="D39" s="1" t="s">
        <v>868</v>
      </c>
      <c r="E39" s="1" t="s">
        <v>670</v>
      </c>
      <c r="F39" s="1" t="s">
        <v>868</v>
      </c>
    </row>
    <row r="40" spans="1:6" x14ac:dyDescent="0.35">
      <c r="A40" s="10" t="s">
        <v>161</v>
      </c>
      <c r="B40" s="1">
        <v>26</v>
      </c>
      <c r="D40" s="1" t="s">
        <v>869</v>
      </c>
      <c r="E40" s="1" t="s">
        <v>671</v>
      </c>
      <c r="F40" s="1" t="s">
        <v>869</v>
      </c>
    </row>
    <row r="41" spans="1:6" x14ac:dyDescent="0.35">
      <c r="A41" s="10" t="s">
        <v>163</v>
      </c>
      <c r="B41" s="1">
        <v>27</v>
      </c>
      <c r="D41" s="1" t="s">
        <v>870</v>
      </c>
      <c r="E41" s="1" t="s">
        <v>672</v>
      </c>
      <c r="F41" s="1" t="s">
        <v>870</v>
      </c>
    </row>
    <row r="42" spans="1:6" x14ac:dyDescent="0.35">
      <c r="A42" s="10" t="s">
        <v>164</v>
      </c>
      <c r="B42" s="1">
        <v>28</v>
      </c>
      <c r="D42" s="1" t="s">
        <v>871</v>
      </c>
      <c r="E42" s="1" t="s">
        <v>673</v>
      </c>
      <c r="F42" s="1" t="s">
        <v>871</v>
      </c>
    </row>
    <row r="43" spans="1:6" x14ac:dyDescent="0.35">
      <c r="A43" s="10" t="s">
        <v>440</v>
      </c>
      <c r="B43" s="1">
        <v>29</v>
      </c>
      <c r="D43" s="1" t="s">
        <v>872</v>
      </c>
      <c r="E43" s="1" t="s">
        <v>674</v>
      </c>
      <c r="F43" s="1" t="s">
        <v>872</v>
      </c>
    </row>
    <row r="44" spans="1:6" x14ac:dyDescent="0.35">
      <c r="A44" s="10" t="s">
        <v>166</v>
      </c>
      <c r="B44" s="1">
        <v>30</v>
      </c>
      <c r="D44" s="1" t="s">
        <v>873</v>
      </c>
      <c r="E44" s="1" t="s">
        <v>675</v>
      </c>
      <c r="F44" s="1" t="s">
        <v>873</v>
      </c>
    </row>
    <row r="45" spans="1:6" x14ac:dyDescent="0.35">
      <c r="A45" s="10" t="s">
        <v>168</v>
      </c>
      <c r="B45" s="1">
        <v>31</v>
      </c>
      <c r="D45" s="1" t="s">
        <v>874</v>
      </c>
      <c r="E45" s="1" t="s">
        <v>676</v>
      </c>
      <c r="F45" s="1" t="s">
        <v>874</v>
      </c>
    </row>
    <row r="46" spans="1:6" x14ac:dyDescent="0.35">
      <c r="A46" s="10" t="s">
        <v>169</v>
      </c>
      <c r="B46" s="1">
        <v>32</v>
      </c>
      <c r="D46" s="1" t="s">
        <v>875</v>
      </c>
      <c r="E46" s="1" t="s">
        <v>677</v>
      </c>
      <c r="F46" s="1" t="s">
        <v>875</v>
      </c>
    </row>
    <row r="47" spans="1:6" x14ac:dyDescent="0.35">
      <c r="A47" s="10" t="s">
        <v>171</v>
      </c>
      <c r="B47" s="1">
        <v>33</v>
      </c>
      <c r="D47" s="1" t="s">
        <v>876</v>
      </c>
      <c r="E47" s="1" t="s">
        <v>678</v>
      </c>
      <c r="F47" s="1" t="s">
        <v>876</v>
      </c>
    </row>
    <row r="48" spans="1:6" x14ac:dyDescent="0.35">
      <c r="A48" s="10" t="s">
        <v>172</v>
      </c>
      <c r="B48" s="1">
        <v>34</v>
      </c>
      <c r="D48" s="1" t="s">
        <v>877</v>
      </c>
      <c r="E48" s="1" t="s">
        <v>679</v>
      </c>
      <c r="F48" s="1" t="s">
        <v>877</v>
      </c>
    </row>
    <row r="49" spans="1:6" x14ac:dyDescent="0.35">
      <c r="A49" s="10" t="s">
        <v>173</v>
      </c>
      <c r="B49" s="1">
        <v>35</v>
      </c>
      <c r="D49" s="1" t="s">
        <v>878</v>
      </c>
      <c r="E49" s="1" t="s">
        <v>680</v>
      </c>
      <c r="F49" s="1" t="s">
        <v>878</v>
      </c>
    </row>
    <row r="50" spans="1:6" x14ac:dyDescent="0.35">
      <c r="A50" s="10" t="s">
        <v>176</v>
      </c>
      <c r="B50" s="1">
        <v>36</v>
      </c>
      <c r="D50" s="1" t="s">
        <v>879</v>
      </c>
      <c r="E50" s="1" t="s">
        <v>681</v>
      </c>
      <c r="F50" s="1" t="s">
        <v>879</v>
      </c>
    </row>
    <row r="51" spans="1:6" x14ac:dyDescent="0.35">
      <c r="A51" s="10" t="s">
        <v>178</v>
      </c>
      <c r="B51" s="1">
        <v>37</v>
      </c>
      <c r="D51" s="1" t="s">
        <v>880</v>
      </c>
      <c r="E51" s="1" t="s">
        <v>682</v>
      </c>
      <c r="F51" s="1" t="s">
        <v>880</v>
      </c>
    </row>
    <row r="52" spans="1:6" x14ac:dyDescent="0.35">
      <c r="A52" s="10" t="s">
        <v>179</v>
      </c>
      <c r="B52" s="1">
        <v>38</v>
      </c>
      <c r="D52" s="1" t="s">
        <v>881</v>
      </c>
      <c r="E52" s="1" t="s">
        <v>683</v>
      </c>
      <c r="F52" s="1" t="s">
        <v>881</v>
      </c>
    </row>
    <row r="53" spans="1:6" x14ac:dyDescent="0.35">
      <c r="A53" s="10" t="s">
        <v>181</v>
      </c>
      <c r="B53" s="1">
        <v>39</v>
      </c>
      <c r="D53" s="1" t="s">
        <v>882</v>
      </c>
      <c r="E53" s="1" t="s">
        <v>684</v>
      </c>
      <c r="F53" s="1" t="s">
        <v>882</v>
      </c>
    </row>
    <row r="54" spans="1:6" x14ac:dyDescent="0.35">
      <c r="A54" s="10" t="s">
        <v>183</v>
      </c>
      <c r="B54" s="1">
        <v>40</v>
      </c>
      <c r="D54" s="1" t="s">
        <v>883</v>
      </c>
      <c r="E54" s="1" t="s">
        <v>685</v>
      </c>
      <c r="F54" s="1" t="s">
        <v>883</v>
      </c>
    </row>
    <row r="55" spans="1:6" x14ac:dyDescent="0.35">
      <c r="A55" s="10" t="s">
        <v>184</v>
      </c>
      <c r="B55" s="1">
        <v>41</v>
      </c>
      <c r="D55" s="1" t="s">
        <v>884</v>
      </c>
      <c r="E55" s="1" t="s">
        <v>686</v>
      </c>
      <c r="F55" s="1" t="s">
        <v>884</v>
      </c>
    </row>
    <row r="56" spans="1:6" x14ac:dyDescent="0.35">
      <c r="A56" s="10" t="s">
        <v>185</v>
      </c>
      <c r="B56" s="1">
        <v>42</v>
      </c>
      <c r="D56" s="1" t="s">
        <v>885</v>
      </c>
      <c r="E56" s="1" t="s">
        <v>687</v>
      </c>
      <c r="F56" s="1" t="s">
        <v>885</v>
      </c>
    </row>
    <row r="57" spans="1:6" x14ac:dyDescent="0.35">
      <c r="A57" s="10" t="s">
        <v>186</v>
      </c>
      <c r="B57" s="1">
        <v>43</v>
      </c>
      <c r="D57" s="1" t="s">
        <v>886</v>
      </c>
      <c r="E57" s="1" t="s">
        <v>688</v>
      </c>
      <c r="F57" s="1" t="s">
        <v>886</v>
      </c>
    </row>
    <row r="58" spans="1:6" x14ac:dyDescent="0.35">
      <c r="A58" s="10" t="s">
        <v>459</v>
      </c>
      <c r="B58" s="1">
        <v>44</v>
      </c>
      <c r="D58" s="1" t="s">
        <v>887</v>
      </c>
      <c r="E58" s="1" t="s">
        <v>689</v>
      </c>
      <c r="F58" s="1" t="s">
        <v>887</v>
      </c>
    </row>
    <row r="59" spans="1:6" x14ac:dyDescent="0.35">
      <c r="A59" s="10" t="s">
        <v>57</v>
      </c>
      <c r="B59" s="1">
        <v>45</v>
      </c>
      <c r="D59" s="1" t="s">
        <v>888</v>
      </c>
      <c r="E59" s="1" t="s">
        <v>690</v>
      </c>
      <c r="F59" s="1" t="s">
        <v>888</v>
      </c>
    </row>
    <row r="60" spans="1:6" x14ac:dyDescent="0.35">
      <c r="A60" s="10" t="s">
        <v>188</v>
      </c>
      <c r="B60" s="1">
        <v>46</v>
      </c>
      <c r="D60" s="1" t="s">
        <v>889</v>
      </c>
      <c r="E60" s="1" t="s">
        <v>691</v>
      </c>
      <c r="F60" s="1" t="s">
        <v>889</v>
      </c>
    </row>
    <row r="61" spans="1:6" x14ac:dyDescent="0.35">
      <c r="A61" s="10" t="s">
        <v>189</v>
      </c>
      <c r="B61" s="1">
        <v>47</v>
      </c>
      <c r="D61" s="1" t="s">
        <v>890</v>
      </c>
      <c r="E61" s="1" t="s">
        <v>692</v>
      </c>
      <c r="F61" s="1" t="s">
        <v>890</v>
      </c>
    </row>
    <row r="62" spans="1:6" x14ac:dyDescent="0.35">
      <c r="A62" s="10" t="s">
        <v>191</v>
      </c>
      <c r="B62" s="1">
        <v>48</v>
      </c>
      <c r="D62" s="1" t="s">
        <v>891</v>
      </c>
      <c r="E62" s="1" t="s">
        <v>693</v>
      </c>
      <c r="F62" s="1" t="s">
        <v>891</v>
      </c>
    </row>
    <row r="63" spans="1:6" x14ac:dyDescent="0.35">
      <c r="A63" s="10" t="s">
        <v>192</v>
      </c>
      <c r="B63" s="1">
        <v>49</v>
      </c>
      <c r="D63" s="1" t="s">
        <v>892</v>
      </c>
      <c r="E63" s="1" t="s">
        <v>694</v>
      </c>
      <c r="F63" s="1" t="s">
        <v>892</v>
      </c>
    </row>
    <row r="64" spans="1:6" x14ac:dyDescent="0.35">
      <c r="A64" s="10" t="s">
        <v>194</v>
      </c>
      <c r="B64" s="1">
        <v>50</v>
      </c>
      <c r="D64" s="1" t="s">
        <v>893</v>
      </c>
      <c r="E64" s="1" t="s">
        <v>419</v>
      </c>
      <c r="F64" s="1" t="s">
        <v>893</v>
      </c>
    </row>
    <row r="65" spans="1:6" x14ac:dyDescent="0.35">
      <c r="A65" s="10" t="s">
        <v>195</v>
      </c>
      <c r="B65" s="1">
        <v>51</v>
      </c>
      <c r="D65" s="1" t="s">
        <v>894</v>
      </c>
      <c r="E65" s="1" t="s">
        <v>695</v>
      </c>
      <c r="F65" s="1" t="s">
        <v>894</v>
      </c>
    </row>
    <row r="66" spans="1:6" x14ac:dyDescent="0.35">
      <c r="A66" s="10" t="s">
        <v>196</v>
      </c>
      <c r="B66" s="1">
        <v>52</v>
      </c>
      <c r="D66" s="1" t="s">
        <v>895</v>
      </c>
      <c r="E66" s="1" t="s">
        <v>696</v>
      </c>
      <c r="F66" s="1" t="s">
        <v>895</v>
      </c>
    </row>
    <row r="67" spans="1:6" x14ac:dyDescent="0.35">
      <c r="A67" s="10" t="s">
        <v>197</v>
      </c>
      <c r="B67" s="1">
        <v>53</v>
      </c>
      <c r="D67" s="1" t="s">
        <v>896</v>
      </c>
      <c r="E67" s="1" t="s">
        <v>697</v>
      </c>
      <c r="F67" s="1" t="s">
        <v>896</v>
      </c>
    </row>
    <row r="68" spans="1:6" x14ac:dyDescent="0.35">
      <c r="A68" s="10" t="s">
        <v>199</v>
      </c>
      <c r="B68" s="1">
        <v>54</v>
      </c>
      <c r="D68" s="1" t="s">
        <v>897</v>
      </c>
      <c r="E68" s="1" t="s">
        <v>698</v>
      </c>
      <c r="F68" s="1" t="s">
        <v>897</v>
      </c>
    </row>
    <row r="69" spans="1:6" x14ac:dyDescent="0.35">
      <c r="A69" s="10" t="s">
        <v>201</v>
      </c>
      <c r="B69" s="1">
        <v>55</v>
      </c>
      <c r="D69" s="1" t="s">
        <v>898</v>
      </c>
      <c r="E69" s="1" t="s">
        <v>699</v>
      </c>
      <c r="F69" s="1" t="s">
        <v>898</v>
      </c>
    </row>
    <row r="70" spans="1:6" x14ac:dyDescent="0.35">
      <c r="A70" s="10" t="s">
        <v>203</v>
      </c>
      <c r="B70" s="1">
        <v>56</v>
      </c>
      <c r="D70" s="1" t="s">
        <v>899</v>
      </c>
      <c r="E70" s="1" t="s">
        <v>700</v>
      </c>
      <c r="F70" s="1" t="s">
        <v>899</v>
      </c>
    </row>
    <row r="71" spans="1:6" x14ac:dyDescent="0.35">
      <c r="A71" s="10" t="s">
        <v>204</v>
      </c>
      <c r="B71" s="1">
        <v>57</v>
      </c>
      <c r="D71" s="1" t="s">
        <v>900</v>
      </c>
      <c r="E71" s="1" t="s">
        <v>701</v>
      </c>
      <c r="F71" s="1" t="s">
        <v>900</v>
      </c>
    </row>
    <row r="72" spans="1:6" x14ac:dyDescent="0.35">
      <c r="A72" s="10" t="s">
        <v>206</v>
      </c>
      <c r="B72" s="1">
        <v>58</v>
      </c>
      <c r="D72" s="1" t="s">
        <v>901</v>
      </c>
      <c r="E72" s="1" t="s">
        <v>702</v>
      </c>
      <c r="F72" s="1" t="s">
        <v>901</v>
      </c>
    </row>
    <row r="73" spans="1:6" x14ac:dyDescent="0.35">
      <c r="A73" s="10" t="s">
        <v>207</v>
      </c>
      <c r="B73" s="1">
        <v>59</v>
      </c>
      <c r="D73" s="1" t="s">
        <v>902</v>
      </c>
      <c r="E73" s="1" t="s">
        <v>703</v>
      </c>
      <c r="F73" s="1" t="s">
        <v>902</v>
      </c>
    </row>
    <row r="74" spans="1:6" x14ac:dyDescent="0.35">
      <c r="A74" s="10" t="s">
        <v>208</v>
      </c>
      <c r="B74" s="1">
        <v>60</v>
      </c>
      <c r="D74" s="1" t="s">
        <v>903</v>
      </c>
      <c r="E74" s="1" t="s">
        <v>704</v>
      </c>
      <c r="F74" s="1" t="s">
        <v>903</v>
      </c>
    </row>
    <row r="75" spans="1:6" x14ac:dyDescent="0.35">
      <c r="A75" s="10" t="s">
        <v>209</v>
      </c>
      <c r="B75" s="1">
        <v>61</v>
      </c>
      <c r="D75" s="1" t="s">
        <v>904</v>
      </c>
      <c r="E75" s="1" t="s">
        <v>705</v>
      </c>
      <c r="F75" s="1" t="s">
        <v>904</v>
      </c>
    </row>
    <row r="76" spans="1:6" x14ac:dyDescent="0.35">
      <c r="A76" s="10" t="s">
        <v>210</v>
      </c>
      <c r="B76" s="1">
        <v>62</v>
      </c>
      <c r="D76" s="1" t="s">
        <v>905</v>
      </c>
      <c r="E76" s="1" t="s">
        <v>566</v>
      </c>
      <c r="F76" s="1" t="s">
        <v>905</v>
      </c>
    </row>
    <row r="77" spans="1:6" x14ac:dyDescent="0.35">
      <c r="A77" s="10" t="s">
        <v>211</v>
      </c>
      <c r="B77" s="1">
        <v>63</v>
      </c>
      <c r="D77" s="1" t="s">
        <v>906</v>
      </c>
      <c r="E77" s="1" t="s">
        <v>706</v>
      </c>
      <c r="F77" s="1" t="s">
        <v>906</v>
      </c>
    </row>
    <row r="78" spans="1:6" x14ac:dyDescent="0.35">
      <c r="A78" s="10" t="s">
        <v>213</v>
      </c>
      <c r="B78" s="1">
        <v>64</v>
      </c>
      <c r="D78" s="1" t="s">
        <v>907</v>
      </c>
      <c r="E78" s="1" t="s">
        <v>707</v>
      </c>
      <c r="F78" s="1" t="s">
        <v>907</v>
      </c>
    </row>
    <row r="79" spans="1:6" x14ac:dyDescent="0.35">
      <c r="A79" s="10" t="s">
        <v>215</v>
      </c>
      <c r="B79" s="1">
        <v>66</v>
      </c>
      <c r="D79" s="1" t="s">
        <v>908</v>
      </c>
      <c r="E79" s="1" t="s">
        <v>708</v>
      </c>
      <c r="F79" s="1" t="s">
        <v>908</v>
      </c>
    </row>
    <row r="80" spans="1:6" x14ac:dyDescent="0.35">
      <c r="A80" s="10" t="s">
        <v>217</v>
      </c>
      <c r="B80" s="1">
        <v>67</v>
      </c>
      <c r="D80" s="1" t="s">
        <v>909</v>
      </c>
      <c r="E80" s="1" t="s">
        <v>709</v>
      </c>
      <c r="F80" s="1" t="s">
        <v>909</v>
      </c>
    </row>
    <row r="81" spans="1:6" x14ac:dyDescent="0.35">
      <c r="A81" s="10" t="s">
        <v>218</v>
      </c>
      <c r="B81" s="1">
        <v>68</v>
      </c>
      <c r="D81" s="1" t="s">
        <v>910</v>
      </c>
      <c r="E81" s="1" t="s">
        <v>710</v>
      </c>
      <c r="F81" s="1" t="s">
        <v>910</v>
      </c>
    </row>
    <row r="82" spans="1:6" x14ac:dyDescent="0.35">
      <c r="A82" s="10" t="s">
        <v>220</v>
      </c>
      <c r="B82" s="1">
        <v>69</v>
      </c>
      <c r="D82" s="1" t="s">
        <v>911</v>
      </c>
      <c r="E82" s="1" t="s">
        <v>711</v>
      </c>
      <c r="F82" s="1" t="s">
        <v>911</v>
      </c>
    </row>
    <row r="83" spans="1:6" x14ac:dyDescent="0.35">
      <c r="A83" s="10" t="s">
        <v>222</v>
      </c>
      <c r="B83" s="1">
        <v>70</v>
      </c>
      <c r="D83" s="1" t="s">
        <v>912</v>
      </c>
      <c r="E83" s="1" t="s">
        <v>712</v>
      </c>
      <c r="F83" s="1" t="s">
        <v>912</v>
      </c>
    </row>
    <row r="84" spans="1:6" x14ac:dyDescent="0.35">
      <c r="A84" s="10" t="s">
        <v>224</v>
      </c>
      <c r="B84" s="1">
        <v>71</v>
      </c>
      <c r="D84" s="1" t="s">
        <v>913</v>
      </c>
      <c r="E84" s="1" t="s">
        <v>713</v>
      </c>
      <c r="F84" s="1" t="s">
        <v>913</v>
      </c>
    </row>
    <row r="85" spans="1:6" x14ac:dyDescent="0.35">
      <c r="A85" s="10" t="s">
        <v>225</v>
      </c>
      <c r="B85" s="1">
        <v>72</v>
      </c>
      <c r="D85" s="1" t="s">
        <v>914</v>
      </c>
      <c r="E85" s="1" t="s">
        <v>714</v>
      </c>
      <c r="F85" s="1" t="s">
        <v>914</v>
      </c>
    </row>
    <row r="86" spans="1:6" x14ac:dyDescent="0.35">
      <c r="A86" s="10" t="s">
        <v>227</v>
      </c>
      <c r="B86" s="1">
        <v>73</v>
      </c>
      <c r="D86" s="1" t="s">
        <v>915</v>
      </c>
      <c r="E86" s="1" t="s">
        <v>715</v>
      </c>
      <c r="F86" s="1" t="s">
        <v>915</v>
      </c>
    </row>
    <row r="87" spans="1:6" x14ac:dyDescent="0.35">
      <c r="A87" s="10" t="s">
        <v>229</v>
      </c>
      <c r="B87" s="1">
        <v>74</v>
      </c>
      <c r="D87" s="1" t="s">
        <v>916</v>
      </c>
      <c r="E87" s="1" t="s">
        <v>716</v>
      </c>
      <c r="F87" s="1" t="s">
        <v>916</v>
      </c>
    </row>
    <row r="88" spans="1:6" x14ac:dyDescent="0.35">
      <c r="A88" s="10" t="s">
        <v>232</v>
      </c>
      <c r="B88" s="1">
        <v>75</v>
      </c>
      <c r="D88" s="1" t="s">
        <v>917</v>
      </c>
      <c r="E88" s="1" t="s">
        <v>454</v>
      </c>
      <c r="F88" s="1" t="s">
        <v>917</v>
      </c>
    </row>
    <row r="89" spans="1:6" x14ac:dyDescent="0.35">
      <c r="A89" s="10" t="s">
        <v>492</v>
      </c>
      <c r="B89" s="1">
        <v>76</v>
      </c>
      <c r="D89" s="1" t="s">
        <v>918</v>
      </c>
      <c r="E89" s="1" t="s">
        <v>630</v>
      </c>
      <c r="F89" s="1" t="s">
        <v>918</v>
      </c>
    </row>
    <row r="90" spans="1:6" x14ac:dyDescent="0.35">
      <c r="A90" s="10" t="s">
        <v>234</v>
      </c>
      <c r="B90" s="1">
        <v>77</v>
      </c>
      <c r="D90" s="1" t="s">
        <v>919</v>
      </c>
      <c r="E90" s="1" t="s">
        <v>455</v>
      </c>
      <c r="F90" s="1" t="s">
        <v>919</v>
      </c>
    </row>
    <row r="91" spans="1:6" x14ac:dyDescent="0.35">
      <c r="A91" s="10" t="s">
        <v>471</v>
      </c>
      <c r="B91" s="1">
        <v>78</v>
      </c>
      <c r="D91" s="1" t="s">
        <v>920</v>
      </c>
      <c r="E91" s="1" t="s">
        <v>717</v>
      </c>
      <c r="F91" s="1" t="s">
        <v>920</v>
      </c>
    </row>
    <row r="92" spans="1:6" x14ac:dyDescent="0.35">
      <c r="A92" s="10" t="s">
        <v>237</v>
      </c>
      <c r="B92" s="1">
        <v>79</v>
      </c>
      <c r="D92" s="1" t="s">
        <v>921</v>
      </c>
      <c r="E92" s="1" t="s">
        <v>718</v>
      </c>
      <c r="F92" s="1" t="s">
        <v>921</v>
      </c>
    </row>
    <row r="93" spans="1:6" x14ac:dyDescent="0.35">
      <c r="A93" s="10" t="s">
        <v>238</v>
      </c>
      <c r="B93" s="1">
        <v>80</v>
      </c>
      <c r="D93" s="1" t="s">
        <v>922</v>
      </c>
      <c r="E93" s="1" t="s">
        <v>719</v>
      </c>
      <c r="F93" s="1" t="s">
        <v>922</v>
      </c>
    </row>
    <row r="94" spans="1:6" x14ac:dyDescent="0.35">
      <c r="A94" s="10" t="s">
        <v>240</v>
      </c>
      <c r="B94" s="1">
        <v>81</v>
      </c>
      <c r="D94" s="1" t="s">
        <v>923</v>
      </c>
      <c r="E94" s="1" t="s">
        <v>720</v>
      </c>
      <c r="F94" s="1" t="s">
        <v>923</v>
      </c>
    </row>
    <row r="95" spans="1:6" x14ac:dyDescent="0.35">
      <c r="A95" s="10" t="s">
        <v>242</v>
      </c>
      <c r="B95" s="1">
        <v>82</v>
      </c>
      <c r="D95" s="1" t="s">
        <v>924</v>
      </c>
      <c r="E95" s="1" t="s">
        <v>721</v>
      </c>
      <c r="F95" s="1" t="s">
        <v>924</v>
      </c>
    </row>
    <row r="96" spans="1:6" x14ac:dyDescent="0.35">
      <c r="A96" s="10" t="s">
        <v>244</v>
      </c>
      <c r="B96" s="1">
        <v>83</v>
      </c>
      <c r="D96" s="1" t="s">
        <v>925</v>
      </c>
      <c r="E96" s="1" t="s">
        <v>722</v>
      </c>
      <c r="F96" s="1" t="s">
        <v>925</v>
      </c>
    </row>
    <row r="97" spans="1:6" x14ac:dyDescent="0.35">
      <c r="A97" s="10" t="s">
        <v>245</v>
      </c>
      <c r="B97" s="1">
        <v>84</v>
      </c>
      <c r="D97" s="1" t="s">
        <v>926</v>
      </c>
      <c r="E97" s="1" t="s">
        <v>538</v>
      </c>
      <c r="F97" s="1" t="s">
        <v>926</v>
      </c>
    </row>
    <row r="98" spans="1:6" x14ac:dyDescent="0.35">
      <c r="A98" s="10" t="s">
        <v>247</v>
      </c>
      <c r="B98" s="1">
        <v>85</v>
      </c>
      <c r="D98" s="1" t="s">
        <v>927</v>
      </c>
      <c r="E98" s="1" t="s">
        <v>468</v>
      </c>
      <c r="F98" s="1" t="s">
        <v>927</v>
      </c>
    </row>
    <row r="99" spans="1:6" x14ac:dyDescent="0.35">
      <c r="A99" s="10" t="s">
        <v>249</v>
      </c>
      <c r="B99" s="1">
        <v>86</v>
      </c>
      <c r="D99" s="1" t="s">
        <v>928</v>
      </c>
      <c r="E99" s="1" t="s">
        <v>723</v>
      </c>
      <c r="F99" s="1" t="s">
        <v>928</v>
      </c>
    </row>
    <row r="100" spans="1:6" x14ac:dyDescent="0.35">
      <c r="A100" s="10" t="s">
        <v>251</v>
      </c>
      <c r="B100" s="1">
        <v>87</v>
      </c>
      <c r="D100" s="1" t="s">
        <v>929</v>
      </c>
      <c r="E100" s="1" t="s">
        <v>470</v>
      </c>
      <c r="F100" s="1" t="s">
        <v>929</v>
      </c>
    </row>
    <row r="101" spans="1:6" x14ac:dyDescent="0.35">
      <c r="A101" s="10" t="s">
        <v>252</v>
      </c>
      <c r="B101" s="1">
        <v>88</v>
      </c>
      <c r="D101" s="1" t="s">
        <v>930</v>
      </c>
      <c r="E101" s="1" t="s">
        <v>472</v>
      </c>
      <c r="F101" s="1" t="s">
        <v>930</v>
      </c>
    </row>
    <row r="102" spans="1:6" x14ac:dyDescent="0.35">
      <c r="A102" s="10" t="s">
        <v>255</v>
      </c>
      <c r="B102" s="1">
        <v>89</v>
      </c>
      <c r="D102" s="1" t="s">
        <v>931</v>
      </c>
      <c r="E102" s="1" t="s">
        <v>473</v>
      </c>
      <c r="F102" s="1" t="s">
        <v>931</v>
      </c>
    </row>
    <row r="103" spans="1:6" x14ac:dyDescent="0.35">
      <c r="A103" s="10" t="s">
        <v>258</v>
      </c>
      <c r="B103" s="1">
        <v>90</v>
      </c>
      <c r="D103" s="1" t="s">
        <v>932</v>
      </c>
      <c r="E103" s="1" t="s">
        <v>724</v>
      </c>
      <c r="F103" s="1" t="s">
        <v>932</v>
      </c>
    </row>
    <row r="104" spans="1:6" x14ac:dyDescent="0.35">
      <c r="A104" s="10" t="s">
        <v>260</v>
      </c>
      <c r="B104" s="1">
        <v>91</v>
      </c>
      <c r="D104" s="1" t="s">
        <v>933</v>
      </c>
      <c r="E104" s="1" t="s">
        <v>478</v>
      </c>
      <c r="F104" s="1" t="s">
        <v>933</v>
      </c>
    </row>
    <row r="105" spans="1:6" x14ac:dyDescent="0.35">
      <c r="A105" s="10" t="s">
        <v>262</v>
      </c>
      <c r="B105" s="1">
        <v>92</v>
      </c>
      <c r="D105" s="1" t="s">
        <v>934</v>
      </c>
      <c r="E105" s="1" t="s">
        <v>725</v>
      </c>
      <c r="F105" s="1" t="s">
        <v>934</v>
      </c>
    </row>
    <row r="106" spans="1:6" x14ac:dyDescent="0.35">
      <c r="A106" s="10" t="s">
        <v>264</v>
      </c>
      <c r="B106" s="1">
        <v>93</v>
      </c>
      <c r="D106" s="1" t="s">
        <v>935</v>
      </c>
      <c r="E106" s="1" t="s">
        <v>726</v>
      </c>
      <c r="F106" s="1" t="s">
        <v>935</v>
      </c>
    </row>
    <row r="107" spans="1:6" x14ac:dyDescent="0.35">
      <c r="A107" s="10" t="s">
        <v>266</v>
      </c>
      <c r="B107" s="1">
        <v>94</v>
      </c>
      <c r="D107" s="1" t="s">
        <v>936</v>
      </c>
      <c r="E107" s="1" t="s">
        <v>727</v>
      </c>
      <c r="F107" s="1" t="s">
        <v>936</v>
      </c>
    </row>
    <row r="108" spans="1:6" x14ac:dyDescent="0.35">
      <c r="A108" s="10" t="s">
        <v>268</v>
      </c>
      <c r="B108" s="1">
        <v>95</v>
      </c>
      <c r="D108" s="1" t="s">
        <v>937</v>
      </c>
      <c r="E108" s="1" t="s">
        <v>728</v>
      </c>
      <c r="F108" s="1" t="s">
        <v>937</v>
      </c>
    </row>
    <row r="109" spans="1:6" x14ac:dyDescent="0.35">
      <c r="A109" s="10" t="s">
        <v>269</v>
      </c>
      <c r="B109" s="1">
        <v>96</v>
      </c>
      <c r="D109" s="1" t="s">
        <v>938</v>
      </c>
      <c r="E109" s="1" t="s">
        <v>729</v>
      </c>
      <c r="F109" s="1" t="s">
        <v>938</v>
      </c>
    </row>
    <row r="110" spans="1:6" x14ac:dyDescent="0.35">
      <c r="A110" s="10" t="s">
        <v>270</v>
      </c>
      <c r="B110" s="1">
        <v>97</v>
      </c>
      <c r="D110" s="1" t="s">
        <v>939</v>
      </c>
      <c r="E110" s="1" t="s">
        <v>730</v>
      </c>
      <c r="F110" s="1" t="s">
        <v>939</v>
      </c>
    </row>
    <row r="111" spans="1:6" x14ac:dyDescent="0.35">
      <c r="A111" s="10" t="s">
        <v>272</v>
      </c>
      <c r="B111" s="1">
        <v>98</v>
      </c>
      <c r="D111" s="1" t="s">
        <v>940</v>
      </c>
      <c r="E111" s="1" t="s">
        <v>731</v>
      </c>
      <c r="F111" s="1" t="s">
        <v>940</v>
      </c>
    </row>
    <row r="112" spans="1:6" x14ac:dyDescent="0.35">
      <c r="A112" s="10" t="s">
        <v>274</v>
      </c>
      <c r="B112" s="1">
        <v>99</v>
      </c>
      <c r="D112" s="1" t="s">
        <v>941</v>
      </c>
      <c r="E112" s="1" t="s">
        <v>536</v>
      </c>
      <c r="F112" s="1" t="s">
        <v>941</v>
      </c>
    </row>
    <row r="113" spans="1:6" x14ac:dyDescent="0.35">
      <c r="A113" s="10" t="s">
        <v>275</v>
      </c>
      <c r="B113" s="1">
        <v>100</v>
      </c>
      <c r="D113" s="1" t="s">
        <v>942</v>
      </c>
      <c r="E113" s="1" t="s">
        <v>732</v>
      </c>
      <c r="F113" s="1" t="s">
        <v>942</v>
      </c>
    </row>
    <row r="114" spans="1:6" x14ac:dyDescent="0.35">
      <c r="A114" s="10" t="s">
        <v>277</v>
      </c>
      <c r="B114" s="1">
        <v>101</v>
      </c>
      <c r="D114" s="1" t="s">
        <v>943</v>
      </c>
      <c r="E114" s="1" t="s">
        <v>733</v>
      </c>
      <c r="F114" s="1" t="s">
        <v>943</v>
      </c>
    </row>
    <row r="115" spans="1:6" x14ac:dyDescent="0.35">
      <c r="A115" s="10" t="s">
        <v>279</v>
      </c>
      <c r="B115" s="1">
        <v>102</v>
      </c>
      <c r="D115" s="1" t="s">
        <v>944</v>
      </c>
      <c r="E115" s="1" t="s">
        <v>734</v>
      </c>
      <c r="F115" s="1" t="s">
        <v>944</v>
      </c>
    </row>
    <row r="116" spans="1:6" x14ac:dyDescent="0.35">
      <c r="A116" s="10" t="s">
        <v>283</v>
      </c>
      <c r="B116" s="1">
        <v>103</v>
      </c>
      <c r="D116" s="1" t="s">
        <v>945</v>
      </c>
      <c r="E116" s="1" t="s">
        <v>735</v>
      </c>
      <c r="F116" s="1" t="s">
        <v>945</v>
      </c>
    </row>
    <row r="117" spans="1:6" x14ac:dyDescent="0.35">
      <c r="A117" s="10" t="s">
        <v>285</v>
      </c>
      <c r="B117" s="1">
        <v>104</v>
      </c>
      <c r="D117" s="1" t="s">
        <v>946</v>
      </c>
      <c r="E117" s="1" t="s">
        <v>736</v>
      </c>
      <c r="F117" s="1" t="s">
        <v>946</v>
      </c>
    </row>
    <row r="118" spans="1:6" x14ac:dyDescent="0.35">
      <c r="A118" s="10" t="s">
        <v>286</v>
      </c>
      <c r="B118" s="1">
        <v>105</v>
      </c>
      <c r="D118" s="1" t="s">
        <v>947</v>
      </c>
      <c r="E118" s="1" t="s">
        <v>737</v>
      </c>
      <c r="F118" s="1" t="s">
        <v>947</v>
      </c>
    </row>
    <row r="119" spans="1:6" x14ac:dyDescent="0.35">
      <c r="A119" s="10" t="s">
        <v>287</v>
      </c>
      <c r="B119" s="1">
        <v>106</v>
      </c>
      <c r="D119" s="1" t="s">
        <v>948</v>
      </c>
      <c r="E119" s="1" t="s">
        <v>738</v>
      </c>
      <c r="F119" s="1" t="s">
        <v>948</v>
      </c>
    </row>
    <row r="120" spans="1:6" x14ac:dyDescent="0.35">
      <c r="A120" s="10" t="s">
        <v>289</v>
      </c>
      <c r="B120" s="1">
        <v>107</v>
      </c>
      <c r="D120" s="1" t="s">
        <v>949</v>
      </c>
      <c r="E120" s="1" t="s">
        <v>739</v>
      </c>
      <c r="F120" s="1" t="s">
        <v>949</v>
      </c>
    </row>
    <row r="121" spans="1:6" x14ac:dyDescent="0.35">
      <c r="A121" s="10" t="s">
        <v>293</v>
      </c>
      <c r="B121" s="1">
        <v>108</v>
      </c>
      <c r="D121" s="1" t="s">
        <v>950</v>
      </c>
      <c r="E121" s="1" t="s">
        <v>740</v>
      </c>
      <c r="F121" s="1" t="s">
        <v>950</v>
      </c>
    </row>
    <row r="122" spans="1:6" x14ac:dyDescent="0.35">
      <c r="A122" s="10" t="s">
        <v>295</v>
      </c>
      <c r="B122" s="1">
        <v>109</v>
      </c>
      <c r="D122" s="1" t="s">
        <v>951</v>
      </c>
      <c r="E122" s="1" t="s">
        <v>741</v>
      </c>
      <c r="F122" s="1" t="s">
        <v>951</v>
      </c>
    </row>
    <row r="123" spans="1:6" x14ac:dyDescent="0.35">
      <c r="A123" s="10" t="s">
        <v>297</v>
      </c>
      <c r="B123" s="1">
        <v>110</v>
      </c>
      <c r="D123" s="1" t="s">
        <v>952</v>
      </c>
      <c r="E123" s="1" t="s">
        <v>742</v>
      </c>
      <c r="F123" s="1" t="s">
        <v>952</v>
      </c>
    </row>
    <row r="124" spans="1:6" x14ac:dyDescent="0.35">
      <c r="A124" s="10" t="s">
        <v>298</v>
      </c>
      <c r="B124" s="1">
        <v>111</v>
      </c>
      <c r="D124" s="1" t="s">
        <v>953</v>
      </c>
      <c r="E124" s="1" t="s">
        <v>743</v>
      </c>
      <c r="F124" s="1" t="s">
        <v>953</v>
      </c>
    </row>
    <row r="125" spans="1:6" x14ac:dyDescent="0.35">
      <c r="A125" s="10" t="s">
        <v>300</v>
      </c>
      <c r="B125" s="1">
        <v>112</v>
      </c>
      <c r="D125" s="1" t="s">
        <v>954</v>
      </c>
      <c r="E125" s="1" t="s">
        <v>503</v>
      </c>
      <c r="F125" s="1" t="s">
        <v>954</v>
      </c>
    </row>
    <row r="126" spans="1:6" x14ac:dyDescent="0.35">
      <c r="A126" s="10" t="s">
        <v>303</v>
      </c>
      <c r="B126" s="1">
        <v>113</v>
      </c>
      <c r="D126" s="1" t="s">
        <v>955</v>
      </c>
      <c r="E126" s="1" t="s">
        <v>744</v>
      </c>
      <c r="F126" s="1" t="s">
        <v>955</v>
      </c>
    </row>
    <row r="127" spans="1:6" x14ac:dyDescent="0.35">
      <c r="A127" s="10" t="s">
        <v>305</v>
      </c>
      <c r="B127" s="1">
        <v>114</v>
      </c>
      <c r="D127" s="1" t="s">
        <v>956</v>
      </c>
      <c r="E127" s="1" t="s">
        <v>745</v>
      </c>
      <c r="F127" s="1" t="s">
        <v>956</v>
      </c>
    </row>
    <row r="128" spans="1:6" x14ac:dyDescent="0.35">
      <c r="A128" s="10" t="s">
        <v>307</v>
      </c>
      <c r="B128" s="1">
        <v>115</v>
      </c>
      <c r="D128" s="1" t="s">
        <v>957</v>
      </c>
      <c r="E128" s="1" t="s">
        <v>746</v>
      </c>
      <c r="F128" s="1" t="s">
        <v>957</v>
      </c>
    </row>
    <row r="129" spans="1:6" x14ac:dyDescent="0.35">
      <c r="A129" s="10" t="s">
        <v>309</v>
      </c>
      <c r="B129" s="1">
        <v>116</v>
      </c>
      <c r="D129" s="1" t="s">
        <v>958</v>
      </c>
      <c r="E129" s="1" t="s">
        <v>632</v>
      </c>
      <c r="F129" s="1" t="s">
        <v>958</v>
      </c>
    </row>
    <row r="130" spans="1:6" x14ac:dyDescent="0.35">
      <c r="A130" s="10" t="s">
        <v>309</v>
      </c>
      <c r="B130" s="1">
        <v>117</v>
      </c>
      <c r="D130" s="1" t="s">
        <v>959</v>
      </c>
      <c r="E130" s="1" t="s">
        <v>747</v>
      </c>
      <c r="F130" s="1" t="s">
        <v>959</v>
      </c>
    </row>
    <row r="131" spans="1:6" x14ac:dyDescent="0.35">
      <c r="A131" s="10" t="s">
        <v>311</v>
      </c>
      <c r="B131" s="1">
        <v>118</v>
      </c>
      <c r="D131" s="1" t="s">
        <v>960</v>
      </c>
      <c r="E131" s="1" t="s">
        <v>748</v>
      </c>
      <c r="F131" s="1" t="s">
        <v>960</v>
      </c>
    </row>
    <row r="132" spans="1:6" x14ac:dyDescent="0.35">
      <c r="A132" s="10" t="s">
        <v>313</v>
      </c>
      <c r="B132" s="1">
        <v>119</v>
      </c>
      <c r="D132" s="1" t="s">
        <v>961</v>
      </c>
      <c r="E132" s="1" t="s">
        <v>749</v>
      </c>
      <c r="F132" s="1" t="s">
        <v>961</v>
      </c>
    </row>
    <row r="133" spans="1:6" x14ac:dyDescent="0.35">
      <c r="A133" s="10" t="s">
        <v>314</v>
      </c>
      <c r="B133" s="1">
        <v>120</v>
      </c>
      <c r="D133" s="1" t="s">
        <v>962</v>
      </c>
      <c r="E133" s="1" t="s">
        <v>750</v>
      </c>
      <c r="F133" s="1" t="s">
        <v>962</v>
      </c>
    </row>
    <row r="134" spans="1:6" x14ac:dyDescent="0.35">
      <c r="A134" s="10" t="s">
        <v>315</v>
      </c>
      <c r="B134" s="1">
        <v>121</v>
      </c>
      <c r="D134" s="1" t="s">
        <v>963</v>
      </c>
      <c r="E134" s="1" t="s">
        <v>515</v>
      </c>
      <c r="F134" s="1" t="s">
        <v>963</v>
      </c>
    </row>
    <row r="135" spans="1:6" x14ac:dyDescent="0.35">
      <c r="A135" s="10" t="s">
        <v>316</v>
      </c>
      <c r="B135" s="1">
        <v>122</v>
      </c>
      <c r="D135" s="1" t="s">
        <v>964</v>
      </c>
      <c r="E135" s="1" t="s">
        <v>751</v>
      </c>
      <c r="F135" s="1" t="s">
        <v>964</v>
      </c>
    </row>
    <row r="136" spans="1:6" x14ac:dyDescent="0.35">
      <c r="A136" s="10" t="s">
        <v>318</v>
      </c>
      <c r="B136" s="1">
        <v>123</v>
      </c>
      <c r="D136" s="1" t="s">
        <v>965</v>
      </c>
      <c r="E136" s="1" t="s">
        <v>752</v>
      </c>
      <c r="F136" s="1" t="s">
        <v>965</v>
      </c>
    </row>
    <row r="137" spans="1:6" x14ac:dyDescent="0.35">
      <c r="A137" s="10" t="s">
        <v>320</v>
      </c>
      <c r="B137" s="1">
        <v>124</v>
      </c>
      <c r="D137" s="1" t="s">
        <v>966</v>
      </c>
      <c r="E137" s="1" t="s">
        <v>753</v>
      </c>
      <c r="F137" s="1" t="s">
        <v>966</v>
      </c>
    </row>
    <row r="138" spans="1:6" x14ac:dyDescent="0.35">
      <c r="A138" s="10" t="s">
        <v>322</v>
      </c>
      <c r="B138" s="1">
        <v>125</v>
      </c>
      <c r="D138" s="1" t="s">
        <v>967</v>
      </c>
      <c r="E138" s="1" t="s">
        <v>754</v>
      </c>
      <c r="F138" s="1" t="s">
        <v>967</v>
      </c>
    </row>
    <row r="139" spans="1:6" x14ac:dyDescent="0.35">
      <c r="A139" s="10" t="s">
        <v>324</v>
      </c>
      <c r="B139" s="1">
        <v>126</v>
      </c>
      <c r="D139" s="1" t="s">
        <v>968</v>
      </c>
      <c r="E139" s="1" t="s">
        <v>755</v>
      </c>
      <c r="F139" s="1" t="s">
        <v>968</v>
      </c>
    </row>
    <row r="140" spans="1:6" x14ac:dyDescent="0.35">
      <c r="A140" s="10" t="s">
        <v>509</v>
      </c>
      <c r="B140" s="1">
        <v>127</v>
      </c>
      <c r="D140" s="1" t="s">
        <v>969</v>
      </c>
      <c r="E140" s="1" t="s">
        <v>756</v>
      </c>
      <c r="F140" s="1" t="s">
        <v>969</v>
      </c>
    </row>
    <row r="141" spans="1:6" x14ac:dyDescent="0.35">
      <c r="A141" s="10" t="s">
        <v>623</v>
      </c>
      <c r="B141" s="1">
        <v>128</v>
      </c>
      <c r="D141" s="1" t="s">
        <v>970</v>
      </c>
      <c r="E141" s="1" t="s">
        <v>757</v>
      </c>
      <c r="F141" s="1" t="s">
        <v>970</v>
      </c>
    </row>
    <row r="142" spans="1:6" x14ac:dyDescent="0.35">
      <c r="A142" s="10" t="s">
        <v>328</v>
      </c>
      <c r="B142" s="1">
        <v>129</v>
      </c>
      <c r="D142" s="1" t="s">
        <v>971</v>
      </c>
      <c r="E142" s="1" t="s">
        <v>758</v>
      </c>
      <c r="F142" s="1" t="s">
        <v>971</v>
      </c>
    </row>
    <row r="143" spans="1:6" x14ac:dyDescent="0.35">
      <c r="A143" s="10" t="s">
        <v>330</v>
      </c>
      <c r="B143" s="1">
        <v>130</v>
      </c>
      <c r="D143" s="1" t="s">
        <v>972</v>
      </c>
      <c r="E143" s="1" t="s">
        <v>759</v>
      </c>
      <c r="F143" s="1" t="s">
        <v>972</v>
      </c>
    </row>
    <row r="144" spans="1:6" x14ac:dyDescent="0.35">
      <c r="A144" s="10" t="s">
        <v>333</v>
      </c>
      <c r="B144" s="1">
        <v>131</v>
      </c>
      <c r="D144" s="1" t="s">
        <v>973</v>
      </c>
      <c r="E144" s="1" t="s">
        <v>760</v>
      </c>
      <c r="F144" s="1" t="s">
        <v>973</v>
      </c>
    </row>
    <row r="145" spans="1:6" x14ac:dyDescent="0.35">
      <c r="A145" s="10" t="s">
        <v>334</v>
      </c>
      <c r="B145" s="1">
        <v>132</v>
      </c>
      <c r="D145" s="1" t="s">
        <v>974</v>
      </c>
      <c r="E145" s="1" t="s">
        <v>761</v>
      </c>
      <c r="F145" s="1" t="s">
        <v>974</v>
      </c>
    </row>
    <row r="146" spans="1:6" x14ac:dyDescent="0.35">
      <c r="A146" s="10" t="s">
        <v>336</v>
      </c>
      <c r="B146" s="1">
        <v>134</v>
      </c>
      <c r="D146" s="1" t="s">
        <v>975</v>
      </c>
      <c r="E146" s="1" t="s">
        <v>762</v>
      </c>
      <c r="F146" s="1" t="s">
        <v>975</v>
      </c>
    </row>
    <row r="147" spans="1:6" x14ac:dyDescent="0.35">
      <c r="A147" s="10" t="s">
        <v>337</v>
      </c>
      <c r="B147" s="1">
        <v>135</v>
      </c>
      <c r="D147" s="1" t="s">
        <v>976</v>
      </c>
      <c r="E147" s="1" t="s">
        <v>763</v>
      </c>
      <c r="F147" s="1" t="s">
        <v>976</v>
      </c>
    </row>
    <row r="148" spans="1:6" x14ac:dyDescent="0.35">
      <c r="A148" s="10" t="s">
        <v>338</v>
      </c>
      <c r="B148" s="1">
        <v>136</v>
      </c>
      <c r="D148" s="1" t="s">
        <v>977</v>
      </c>
      <c r="E148" s="1" t="s">
        <v>764</v>
      </c>
      <c r="F148" s="1" t="s">
        <v>977</v>
      </c>
    </row>
    <row r="149" spans="1:6" x14ac:dyDescent="0.35">
      <c r="A149" s="10" t="s">
        <v>340</v>
      </c>
      <c r="B149" s="1">
        <v>137</v>
      </c>
      <c r="D149" s="1" t="s">
        <v>978</v>
      </c>
      <c r="E149" s="1" t="s">
        <v>765</v>
      </c>
      <c r="F149" s="1" t="s">
        <v>978</v>
      </c>
    </row>
    <row r="150" spans="1:6" x14ac:dyDescent="0.35">
      <c r="A150" s="10" t="s">
        <v>342</v>
      </c>
      <c r="B150" s="1">
        <v>138</v>
      </c>
      <c r="D150" s="1" t="s">
        <v>979</v>
      </c>
      <c r="E150" s="1" t="s">
        <v>766</v>
      </c>
      <c r="F150" s="1" t="s">
        <v>979</v>
      </c>
    </row>
    <row r="151" spans="1:6" x14ac:dyDescent="0.35">
      <c r="A151" s="10" t="s">
        <v>344</v>
      </c>
      <c r="B151" s="1">
        <v>139</v>
      </c>
      <c r="D151" s="1" t="s">
        <v>980</v>
      </c>
      <c r="E151" s="1" t="s">
        <v>767</v>
      </c>
      <c r="F151" s="1" t="s">
        <v>980</v>
      </c>
    </row>
    <row r="152" spans="1:6" x14ac:dyDescent="0.35">
      <c r="A152" s="10" t="s">
        <v>345</v>
      </c>
      <c r="B152" s="1">
        <v>140</v>
      </c>
      <c r="D152" s="1" t="s">
        <v>981</v>
      </c>
      <c r="E152" s="1" t="s">
        <v>768</v>
      </c>
      <c r="F152" s="1" t="s">
        <v>981</v>
      </c>
    </row>
    <row r="153" spans="1:6" x14ac:dyDescent="0.35">
      <c r="A153" s="10" t="s">
        <v>346</v>
      </c>
      <c r="B153" s="1">
        <v>141</v>
      </c>
      <c r="D153" s="1" t="s">
        <v>982</v>
      </c>
      <c r="E153" s="1" t="s">
        <v>769</v>
      </c>
      <c r="F153" s="1" t="s">
        <v>982</v>
      </c>
    </row>
    <row r="154" spans="1:6" x14ac:dyDescent="0.35">
      <c r="A154" s="10" t="s">
        <v>347</v>
      </c>
      <c r="B154" s="1">
        <v>142</v>
      </c>
      <c r="D154" s="1" t="s">
        <v>983</v>
      </c>
      <c r="E154" s="1" t="s">
        <v>634</v>
      </c>
      <c r="F154" s="1" t="s">
        <v>983</v>
      </c>
    </row>
    <row r="155" spans="1:6" x14ac:dyDescent="0.35">
      <c r="A155" s="10" t="s">
        <v>349</v>
      </c>
      <c r="B155" s="1">
        <v>143</v>
      </c>
      <c r="D155" s="1" t="s">
        <v>984</v>
      </c>
      <c r="E155" s="1" t="s">
        <v>540</v>
      </c>
      <c r="F155" s="1" t="s">
        <v>984</v>
      </c>
    </row>
    <row r="156" spans="1:6" x14ac:dyDescent="0.35">
      <c r="A156" s="10" t="s">
        <v>351</v>
      </c>
      <c r="B156" s="1">
        <v>144</v>
      </c>
      <c r="D156" s="1" t="s">
        <v>985</v>
      </c>
      <c r="E156" s="1" t="s">
        <v>770</v>
      </c>
      <c r="F156" s="1" t="s">
        <v>985</v>
      </c>
    </row>
    <row r="157" spans="1:6" x14ac:dyDescent="0.35">
      <c r="A157" s="10" t="s">
        <v>352</v>
      </c>
      <c r="B157" s="1">
        <v>145</v>
      </c>
      <c r="D157" s="1" t="s">
        <v>986</v>
      </c>
      <c r="E157" s="1" t="s">
        <v>771</v>
      </c>
      <c r="F157" s="1" t="s">
        <v>986</v>
      </c>
    </row>
    <row r="158" spans="1:6" x14ac:dyDescent="0.35">
      <c r="A158" s="10" t="s">
        <v>355</v>
      </c>
      <c r="B158" s="1">
        <v>146</v>
      </c>
      <c r="D158" s="1" t="s">
        <v>987</v>
      </c>
      <c r="E158" s="1" t="s">
        <v>772</v>
      </c>
      <c r="F158" s="1" t="s">
        <v>987</v>
      </c>
    </row>
    <row r="159" spans="1:6" x14ac:dyDescent="0.35">
      <c r="A159" s="10" t="s">
        <v>356</v>
      </c>
      <c r="B159" s="1">
        <v>147</v>
      </c>
      <c r="D159" s="1" t="s">
        <v>988</v>
      </c>
      <c r="E159" s="1" t="s">
        <v>773</v>
      </c>
      <c r="F159" s="1" t="s">
        <v>988</v>
      </c>
    </row>
    <row r="160" spans="1:6" x14ac:dyDescent="0.35">
      <c r="A160" s="10" t="s">
        <v>358</v>
      </c>
      <c r="B160" s="1">
        <v>148</v>
      </c>
      <c r="D160" s="1" t="s">
        <v>989</v>
      </c>
      <c r="E160" s="1" t="s">
        <v>774</v>
      </c>
      <c r="F160" s="1" t="s">
        <v>989</v>
      </c>
    </row>
    <row r="161" spans="1:6" x14ac:dyDescent="0.35">
      <c r="A161" s="10" t="s">
        <v>359</v>
      </c>
      <c r="B161" s="1">
        <v>149</v>
      </c>
      <c r="D161" s="1" t="s">
        <v>990</v>
      </c>
      <c r="E161" s="1" t="s">
        <v>546</v>
      </c>
      <c r="F161" s="1" t="s">
        <v>990</v>
      </c>
    </row>
    <row r="162" spans="1:6" x14ac:dyDescent="0.35">
      <c r="A162" s="10" t="s">
        <v>361</v>
      </c>
      <c r="B162" s="1">
        <v>150</v>
      </c>
      <c r="D162" s="1" t="s">
        <v>991</v>
      </c>
      <c r="E162" s="1" t="s">
        <v>547</v>
      </c>
      <c r="F162" s="1" t="s">
        <v>991</v>
      </c>
    </row>
    <row r="163" spans="1:6" x14ac:dyDescent="0.35">
      <c r="A163" s="10" t="s">
        <v>363</v>
      </c>
      <c r="B163" s="1">
        <v>151</v>
      </c>
      <c r="D163" s="1" t="s">
        <v>992</v>
      </c>
      <c r="E163" s="1" t="s">
        <v>548</v>
      </c>
      <c r="F163" s="1" t="s">
        <v>992</v>
      </c>
    </row>
    <row r="164" spans="1:6" x14ac:dyDescent="0.35">
      <c r="A164" s="10" t="s">
        <v>364</v>
      </c>
      <c r="B164" s="1">
        <v>152</v>
      </c>
      <c r="D164" s="1" t="s">
        <v>993</v>
      </c>
      <c r="E164" s="1" t="s">
        <v>775</v>
      </c>
      <c r="F164" s="1" t="s">
        <v>993</v>
      </c>
    </row>
    <row r="165" spans="1:6" x14ac:dyDescent="0.35">
      <c r="A165" s="10" t="s">
        <v>366</v>
      </c>
      <c r="B165" s="1">
        <v>153</v>
      </c>
      <c r="D165" s="1" t="s">
        <v>994</v>
      </c>
      <c r="E165" s="1" t="s">
        <v>776</v>
      </c>
      <c r="F165" s="1" t="s">
        <v>994</v>
      </c>
    </row>
    <row r="166" spans="1:6" x14ac:dyDescent="0.35">
      <c r="A166" s="10" t="s">
        <v>369</v>
      </c>
      <c r="B166" s="1">
        <v>154</v>
      </c>
      <c r="D166" s="1" t="s">
        <v>995</v>
      </c>
      <c r="E166" s="1" t="s">
        <v>777</v>
      </c>
      <c r="F166" s="1" t="s">
        <v>995</v>
      </c>
    </row>
    <row r="167" spans="1:6" x14ac:dyDescent="0.35">
      <c r="A167" s="10" t="s">
        <v>371</v>
      </c>
      <c r="B167" s="1">
        <v>155</v>
      </c>
      <c r="D167" s="1" t="s">
        <v>996</v>
      </c>
      <c r="E167" s="1" t="s">
        <v>778</v>
      </c>
      <c r="F167" s="1" t="s">
        <v>996</v>
      </c>
    </row>
    <row r="168" spans="1:6" x14ac:dyDescent="0.35">
      <c r="A168" s="10" t="s">
        <v>373</v>
      </c>
      <c r="B168" s="1">
        <v>156</v>
      </c>
      <c r="D168" s="1" t="s">
        <v>997</v>
      </c>
      <c r="E168" s="1" t="s">
        <v>779</v>
      </c>
      <c r="F168" s="1" t="s">
        <v>997</v>
      </c>
    </row>
    <row r="169" spans="1:6" x14ac:dyDescent="0.35">
      <c r="A169" s="10" t="s">
        <v>376</v>
      </c>
      <c r="B169" s="1">
        <v>157</v>
      </c>
      <c r="D169" s="1" t="s">
        <v>998</v>
      </c>
      <c r="E169" s="1" t="s">
        <v>554</v>
      </c>
      <c r="F169" s="1" t="s">
        <v>998</v>
      </c>
    </row>
    <row r="170" spans="1:6" x14ac:dyDescent="0.35">
      <c r="A170" s="10" t="s">
        <v>377</v>
      </c>
      <c r="B170" s="1">
        <v>158</v>
      </c>
      <c r="D170" s="1" t="s">
        <v>999</v>
      </c>
      <c r="E170" s="1" t="s">
        <v>780</v>
      </c>
      <c r="F170" s="1" t="s">
        <v>999</v>
      </c>
    </row>
    <row r="171" spans="1:6" x14ac:dyDescent="0.35">
      <c r="A171" s="10" t="s">
        <v>380</v>
      </c>
      <c r="B171" s="1">
        <v>159</v>
      </c>
      <c r="D171" s="1" t="s">
        <v>1000</v>
      </c>
      <c r="E171" s="1" t="s">
        <v>556</v>
      </c>
      <c r="F171" s="1" t="s">
        <v>1000</v>
      </c>
    </row>
    <row r="172" spans="1:6" x14ac:dyDescent="0.35">
      <c r="A172" s="10" t="s">
        <v>384</v>
      </c>
      <c r="B172" s="1">
        <v>160</v>
      </c>
      <c r="D172" s="1" t="s">
        <v>1001</v>
      </c>
      <c r="E172" s="1" t="s">
        <v>781</v>
      </c>
      <c r="F172" s="1" t="s">
        <v>1001</v>
      </c>
    </row>
    <row r="173" spans="1:6" x14ac:dyDescent="0.35">
      <c r="A173" s="10" t="s">
        <v>387</v>
      </c>
      <c r="B173" s="1">
        <v>161</v>
      </c>
      <c r="D173" s="1" t="s">
        <v>1002</v>
      </c>
      <c r="E173" s="1" t="s">
        <v>782</v>
      </c>
      <c r="F173" s="1" t="s">
        <v>1002</v>
      </c>
    </row>
    <row r="174" spans="1:6" x14ac:dyDescent="0.35">
      <c r="A174" s="10" t="s">
        <v>390</v>
      </c>
      <c r="B174" s="1">
        <v>162</v>
      </c>
      <c r="D174" s="1" t="s">
        <v>1003</v>
      </c>
      <c r="E174" s="1" t="s">
        <v>783</v>
      </c>
      <c r="F174" s="1" t="s">
        <v>1003</v>
      </c>
    </row>
    <row r="175" spans="1:6" x14ac:dyDescent="0.35">
      <c r="A175" s="10" t="s">
        <v>392</v>
      </c>
      <c r="B175" s="1">
        <v>163</v>
      </c>
      <c r="D175" s="1" t="s">
        <v>1004</v>
      </c>
      <c r="E175" s="1" t="s">
        <v>784</v>
      </c>
      <c r="F175" s="1" t="s">
        <v>1004</v>
      </c>
    </row>
    <row r="176" spans="1:6" x14ac:dyDescent="0.35">
      <c r="A176" s="10" t="s">
        <v>394</v>
      </c>
      <c r="B176" s="1">
        <v>164</v>
      </c>
      <c r="D176" s="1" t="s">
        <v>1005</v>
      </c>
      <c r="E176" s="1" t="s">
        <v>1092</v>
      </c>
      <c r="F176" s="1" t="s">
        <v>1005</v>
      </c>
    </row>
    <row r="177" spans="1:6" x14ac:dyDescent="0.35">
      <c r="A177" s="10" t="s">
        <v>396</v>
      </c>
      <c r="B177" s="1">
        <v>165</v>
      </c>
      <c r="D177" s="1" t="s">
        <v>1006</v>
      </c>
      <c r="E177" s="1" t="s">
        <v>785</v>
      </c>
      <c r="F177" s="1" t="s">
        <v>1006</v>
      </c>
    </row>
    <row r="178" spans="1:6" x14ac:dyDescent="0.35">
      <c r="A178" s="10" t="s">
        <v>397</v>
      </c>
      <c r="B178" s="1">
        <v>166</v>
      </c>
      <c r="D178" s="1" t="s">
        <v>1007</v>
      </c>
      <c r="E178" s="1" t="s">
        <v>580</v>
      </c>
      <c r="F178" s="1" t="s">
        <v>1007</v>
      </c>
    </row>
    <row r="179" spans="1:6" x14ac:dyDescent="0.35">
      <c r="A179" s="10" t="s">
        <v>398</v>
      </c>
      <c r="B179" s="1">
        <v>168</v>
      </c>
      <c r="D179" s="1" t="s">
        <v>1008</v>
      </c>
      <c r="E179" s="1" t="s">
        <v>562</v>
      </c>
      <c r="F179" s="1" t="s">
        <v>1008</v>
      </c>
    </row>
    <row r="180" spans="1:6" x14ac:dyDescent="0.35">
      <c r="A180" s="10" t="s">
        <v>400</v>
      </c>
      <c r="B180" s="1">
        <v>170</v>
      </c>
      <c r="D180" s="1" t="s">
        <v>1009</v>
      </c>
      <c r="E180" s="1" t="s">
        <v>786</v>
      </c>
      <c r="F180" s="1" t="s">
        <v>1009</v>
      </c>
    </row>
    <row r="181" spans="1:6" x14ac:dyDescent="0.35">
      <c r="A181" s="10" t="s">
        <v>401</v>
      </c>
      <c r="B181" s="1">
        <v>171</v>
      </c>
      <c r="D181" s="1" t="s">
        <v>1010</v>
      </c>
      <c r="E181" s="1" t="s">
        <v>787</v>
      </c>
      <c r="F181" s="1" t="s">
        <v>1010</v>
      </c>
    </row>
    <row r="182" spans="1:6" x14ac:dyDescent="0.35">
      <c r="A182" s="10" t="s">
        <v>402</v>
      </c>
      <c r="B182" s="1">
        <v>172</v>
      </c>
      <c r="D182" s="1" t="s">
        <v>1011</v>
      </c>
      <c r="E182" s="1" t="s">
        <v>788</v>
      </c>
      <c r="F182" s="1" t="s">
        <v>1011</v>
      </c>
    </row>
    <row r="183" spans="1:6" x14ac:dyDescent="0.35">
      <c r="A183" s="10" t="s">
        <v>403</v>
      </c>
      <c r="B183" s="1">
        <v>173</v>
      </c>
      <c r="D183" s="1" t="s">
        <v>1012</v>
      </c>
      <c r="E183" s="1" t="s">
        <v>789</v>
      </c>
      <c r="F183" s="1" t="s">
        <v>1012</v>
      </c>
    </row>
    <row r="184" spans="1:6" x14ac:dyDescent="0.35">
      <c r="A184" s="10" t="s">
        <v>406</v>
      </c>
      <c r="B184" s="1">
        <v>174</v>
      </c>
      <c r="D184" s="1" t="s">
        <v>1013</v>
      </c>
      <c r="E184" s="1" t="s">
        <v>790</v>
      </c>
      <c r="F184" s="1" t="s">
        <v>1013</v>
      </c>
    </row>
    <row r="185" spans="1:6" x14ac:dyDescent="0.35">
      <c r="A185" s="10" t="s">
        <v>407</v>
      </c>
      <c r="B185" s="1">
        <v>175</v>
      </c>
      <c r="D185" s="1" t="s">
        <v>1014</v>
      </c>
      <c r="E185" s="1" t="s">
        <v>791</v>
      </c>
      <c r="F185" s="1" t="s">
        <v>1014</v>
      </c>
    </row>
    <row r="186" spans="1:6" x14ac:dyDescent="0.35">
      <c r="A186" s="10" t="s">
        <v>408</v>
      </c>
      <c r="B186" s="1">
        <v>176</v>
      </c>
      <c r="D186" s="1" t="s">
        <v>1015</v>
      </c>
      <c r="E186" s="1" t="s">
        <v>792</v>
      </c>
      <c r="F186" s="1" t="s">
        <v>1015</v>
      </c>
    </row>
    <row r="187" spans="1:6" x14ac:dyDescent="0.35">
      <c r="A187" s="10" t="s">
        <v>410</v>
      </c>
      <c r="B187" s="1">
        <v>177</v>
      </c>
      <c r="D187" s="1" t="s">
        <v>1016</v>
      </c>
      <c r="E187" s="1" t="s">
        <v>793</v>
      </c>
      <c r="F187" s="1" t="s">
        <v>1016</v>
      </c>
    </row>
    <row r="188" spans="1:6" x14ac:dyDescent="0.35">
      <c r="A188" s="11" t="s">
        <v>424</v>
      </c>
      <c r="B188" s="1">
        <v>178</v>
      </c>
      <c r="D188" s="1" t="s">
        <v>1017</v>
      </c>
      <c r="E188" s="1" t="s">
        <v>794</v>
      </c>
      <c r="F188" s="1" t="s">
        <v>1017</v>
      </c>
    </row>
    <row r="189" spans="1:6" x14ac:dyDescent="0.35">
      <c r="A189" s="11" t="s">
        <v>518</v>
      </c>
      <c r="B189" s="1">
        <v>179</v>
      </c>
      <c r="D189" s="1" t="s">
        <v>1018</v>
      </c>
      <c r="E189" s="1" t="s">
        <v>795</v>
      </c>
      <c r="F189" s="1" t="s">
        <v>1018</v>
      </c>
    </row>
    <row r="190" spans="1:6" x14ac:dyDescent="0.35">
      <c r="A190" s="11" t="s">
        <v>463</v>
      </c>
      <c r="B190" s="1">
        <v>180</v>
      </c>
      <c r="D190" s="1" t="s">
        <v>1019</v>
      </c>
      <c r="E190" s="1" t="s">
        <v>796</v>
      </c>
      <c r="F190" s="1" t="s">
        <v>1019</v>
      </c>
    </row>
    <row r="191" spans="1:6" x14ac:dyDescent="0.35">
      <c r="A191" s="11" t="s">
        <v>514</v>
      </c>
      <c r="B191" s="1">
        <v>181</v>
      </c>
      <c r="D191" s="1" t="s">
        <v>1020</v>
      </c>
      <c r="E191" s="1" t="s">
        <v>797</v>
      </c>
      <c r="F191" s="1" t="s">
        <v>1020</v>
      </c>
    </row>
    <row r="192" spans="1:6" x14ac:dyDescent="0.35">
      <c r="A192" s="11" t="s">
        <v>609</v>
      </c>
      <c r="B192" s="1">
        <v>182</v>
      </c>
      <c r="D192" s="1" t="s">
        <v>1021</v>
      </c>
      <c r="E192" s="1" t="s">
        <v>798</v>
      </c>
      <c r="F192" s="1" t="s">
        <v>1021</v>
      </c>
    </row>
    <row r="193" spans="1:6" x14ac:dyDescent="0.35">
      <c r="A193" s="11" t="s">
        <v>477</v>
      </c>
      <c r="B193" s="1" t="s">
        <v>618</v>
      </c>
      <c r="D193" s="1" t="s">
        <v>1022</v>
      </c>
      <c r="E193" s="1" t="s">
        <v>799</v>
      </c>
      <c r="F193" s="1" t="s">
        <v>1022</v>
      </c>
    </row>
    <row r="194" spans="1:6" x14ac:dyDescent="0.35">
      <c r="D194" s="1" t="s">
        <v>1023</v>
      </c>
      <c r="E194" s="1" t="s">
        <v>800</v>
      </c>
      <c r="F194" s="1" t="s">
        <v>1023</v>
      </c>
    </row>
    <row r="195" spans="1:6" x14ac:dyDescent="0.35">
      <c r="D195" s="1" t="s">
        <v>1024</v>
      </c>
      <c r="E195" s="1" t="s">
        <v>801</v>
      </c>
      <c r="F195" s="1" t="s">
        <v>1024</v>
      </c>
    </row>
    <row r="196" spans="1:6" x14ac:dyDescent="0.35">
      <c r="D196" s="1" t="s">
        <v>1025</v>
      </c>
      <c r="E196" s="1" t="s">
        <v>802</v>
      </c>
      <c r="F196" s="1" t="s">
        <v>1025</v>
      </c>
    </row>
    <row r="197" spans="1:6" x14ac:dyDescent="0.35">
      <c r="D197" s="1" t="s">
        <v>1026</v>
      </c>
      <c r="E197" s="1" t="s">
        <v>803</v>
      </c>
      <c r="F197" s="1" t="s">
        <v>1026</v>
      </c>
    </row>
    <row r="198" spans="1:6" x14ac:dyDescent="0.35">
      <c r="D198" s="1" t="s">
        <v>1027</v>
      </c>
      <c r="E198" s="1" t="s">
        <v>804</v>
      </c>
      <c r="F198" s="1" t="s">
        <v>1027</v>
      </c>
    </row>
    <row r="199" spans="1:6" x14ac:dyDescent="0.35">
      <c r="D199" s="1" t="s">
        <v>1028</v>
      </c>
      <c r="E199" s="1" t="s">
        <v>805</v>
      </c>
      <c r="F199" s="1" t="s">
        <v>1028</v>
      </c>
    </row>
    <row r="200" spans="1:6" x14ac:dyDescent="0.35">
      <c r="D200" s="1" t="s">
        <v>1029</v>
      </c>
      <c r="E200" s="1" t="s">
        <v>806</v>
      </c>
      <c r="F200" s="1" t="s">
        <v>1029</v>
      </c>
    </row>
    <row r="201" spans="1:6" x14ac:dyDescent="0.35">
      <c r="D201" s="1" t="s">
        <v>1030</v>
      </c>
      <c r="E201" s="1" t="s">
        <v>807</v>
      </c>
      <c r="F201" s="1" t="s">
        <v>1030</v>
      </c>
    </row>
    <row r="202" spans="1:6" x14ac:dyDescent="0.35">
      <c r="D202" s="1" t="s">
        <v>1031</v>
      </c>
      <c r="E202" s="1" t="s">
        <v>808</v>
      </c>
      <c r="F202" s="1" t="s">
        <v>1031</v>
      </c>
    </row>
    <row r="203" spans="1:6" x14ac:dyDescent="0.35">
      <c r="D203" s="1" t="s">
        <v>1032</v>
      </c>
      <c r="E203" s="1" t="s">
        <v>809</v>
      </c>
      <c r="F203" s="1" t="s">
        <v>1032</v>
      </c>
    </row>
    <row r="204" spans="1:6" x14ac:dyDescent="0.35">
      <c r="D204" s="1" t="s">
        <v>1033</v>
      </c>
      <c r="E204" s="1" t="s">
        <v>810</v>
      </c>
      <c r="F204" s="1" t="s">
        <v>1033</v>
      </c>
    </row>
    <row r="205" spans="1:6" x14ac:dyDescent="0.35">
      <c r="D205" s="1" t="s">
        <v>1034</v>
      </c>
      <c r="E205" s="1" t="s">
        <v>811</v>
      </c>
      <c r="F205" s="1" t="s">
        <v>1034</v>
      </c>
    </row>
    <row r="206" spans="1:6" x14ac:dyDescent="0.35">
      <c r="D206" s="1" t="s">
        <v>1035</v>
      </c>
      <c r="E206" s="1" t="s">
        <v>812</v>
      </c>
      <c r="F206" s="1" t="s">
        <v>1035</v>
      </c>
    </row>
    <row r="207" spans="1:6" x14ac:dyDescent="0.35">
      <c r="D207" s="1" t="s">
        <v>1036</v>
      </c>
      <c r="E207" s="1" t="s">
        <v>813</v>
      </c>
      <c r="F207" s="1" t="s">
        <v>1036</v>
      </c>
    </row>
    <row r="208" spans="1:6" x14ac:dyDescent="0.35">
      <c r="D208" s="1" t="s">
        <v>1037</v>
      </c>
      <c r="E208" s="1" t="s">
        <v>814</v>
      </c>
      <c r="F208" s="1" t="s">
        <v>1037</v>
      </c>
    </row>
    <row r="209" spans="4:6" x14ac:dyDescent="0.35">
      <c r="D209" s="1" t="s">
        <v>1038</v>
      </c>
      <c r="E209" s="1" t="s">
        <v>815</v>
      </c>
      <c r="F209" s="1" t="s">
        <v>1038</v>
      </c>
    </row>
    <row r="210" spans="4:6" x14ac:dyDescent="0.35">
      <c r="D210" s="1" t="s">
        <v>1039</v>
      </c>
      <c r="E210" s="1" t="s">
        <v>816</v>
      </c>
      <c r="F210" s="1" t="s">
        <v>1039</v>
      </c>
    </row>
    <row r="211" spans="4:6" x14ac:dyDescent="0.35">
      <c r="D211" s="1" t="s">
        <v>1040</v>
      </c>
      <c r="E211" s="1" t="s">
        <v>817</v>
      </c>
      <c r="F211" s="1" t="s">
        <v>1040</v>
      </c>
    </row>
    <row r="212" spans="4:6" x14ac:dyDescent="0.35">
      <c r="D212" s="1" t="s">
        <v>1041</v>
      </c>
      <c r="E212" s="1" t="s">
        <v>818</v>
      </c>
      <c r="F212" s="1" t="s">
        <v>1041</v>
      </c>
    </row>
    <row r="213" spans="4:6" x14ac:dyDescent="0.35">
      <c r="D213" s="1" t="s">
        <v>1042</v>
      </c>
      <c r="E213" s="1" t="s">
        <v>819</v>
      </c>
      <c r="F213" s="1" t="s">
        <v>1042</v>
      </c>
    </row>
    <row r="214" spans="4:6" x14ac:dyDescent="0.35">
      <c r="D214" s="1" t="s">
        <v>1043</v>
      </c>
      <c r="E214" s="1" t="s">
        <v>820</v>
      </c>
      <c r="F214" s="1" t="s">
        <v>1043</v>
      </c>
    </row>
    <row r="215" spans="4:6" x14ac:dyDescent="0.35">
      <c r="D215" s="1" t="s">
        <v>1044</v>
      </c>
      <c r="E215" s="1" t="s">
        <v>821</v>
      </c>
      <c r="F215" s="1" t="s">
        <v>1044</v>
      </c>
    </row>
    <row r="216" spans="4:6" x14ac:dyDescent="0.35">
      <c r="D216" s="1" t="s">
        <v>1045</v>
      </c>
      <c r="E216" s="1" t="s">
        <v>822</v>
      </c>
      <c r="F216" s="1" t="s">
        <v>1045</v>
      </c>
    </row>
    <row r="217" spans="4:6" x14ac:dyDescent="0.35">
      <c r="D217" s="1" t="s">
        <v>1046</v>
      </c>
      <c r="E217" s="1" t="s">
        <v>823</v>
      </c>
      <c r="F217" s="1" t="s">
        <v>1046</v>
      </c>
    </row>
    <row r="218" spans="4:6" x14ac:dyDescent="0.35">
      <c r="D218" s="1" t="s">
        <v>1047</v>
      </c>
      <c r="E218" s="1" t="s">
        <v>824</v>
      </c>
      <c r="F218" s="1" t="s">
        <v>1047</v>
      </c>
    </row>
    <row r="219" spans="4:6" x14ac:dyDescent="0.35">
      <c r="D219" s="1" t="s">
        <v>1048</v>
      </c>
      <c r="E219" s="1" t="s">
        <v>825</v>
      </c>
      <c r="F219" s="1" t="s">
        <v>1048</v>
      </c>
    </row>
    <row r="220" spans="4:6" x14ac:dyDescent="0.35">
      <c r="D220" s="1" t="s">
        <v>1049</v>
      </c>
      <c r="E220" s="1" t="s">
        <v>826</v>
      </c>
      <c r="F220" s="1" t="s">
        <v>1049</v>
      </c>
    </row>
    <row r="221" spans="4:6" x14ac:dyDescent="0.35">
      <c r="D221" s="1" t="s">
        <v>1050</v>
      </c>
      <c r="E221" s="1" t="s">
        <v>827</v>
      </c>
      <c r="F221" s="1" t="s">
        <v>1050</v>
      </c>
    </row>
    <row r="222" spans="4:6" x14ac:dyDescent="0.35">
      <c r="D222" s="1" t="s">
        <v>1051</v>
      </c>
      <c r="E222" s="1" t="s">
        <v>828</v>
      </c>
      <c r="F222" s="1" t="s">
        <v>1051</v>
      </c>
    </row>
    <row r="223" spans="4:6" x14ac:dyDescent="0.35">
      <c r="D223" s="1" t="s">
        <v>1052</v>
      </c>
      <c r="E223" s="1" t="s">
        <v>635</v>
      </c>
      <c r="F223" s="1" t="s">
        <v>1052</v>
      </c>
    </row>
    <row r="224" spans="4:6" x14ac:dyDescent="0.35">
      <c r="D224" s="1" t="s">
        <v>1053</v>
      </c>
      <c r="E224" s="1" t="s">
        <v>829</v>
      </c>
      <c r="F224" s="1" t="s">
        <v>1053</v>
      </c>
    </row>
    <row r="225" spans="4:6" x14ac:dyDescent="0.35">
      <c r="D225" s="1" t="s">
        <v>1054</v>
      </c>
      <c r="E225" s="1" t="s">
        <v>830</v>
      </c>
      <c r="F225" s="1" t="s">
        <v>1054</v>
      </c>
    </row>
    <row r="226" spans="4:6" x14ac:dyDescent="0.35">
      <c r="D226" s="1" t="s">
        <v>1113</v>
      </c>
      <c r="E226" s="1" t="s">
        <v>1112</v>
      </c>
      <c r="F226" s="1" t="s">
        <v>1113</v>
      </c>
    </row>
    <row r="227" spans="4:6" x14ac:dyDescent="0.35">
      <c r="D227" s="1" t="s">
        <v>1114</v>
      </c>
      <c r="E227" s="1" t="s">
        <v>1126</v>
      </c>
      <c r="F227" s="1" t="s">
        <v>1114</v>
      </c>
    </row>
    <row r="228" spans="4:6" x14ac:dyDescent="0.35">
      <c r="D228" s="1" t="s">
        <v>1115</v>
      </c>
      <c r="E228" s="1" t="s">
        <v>1111</v>
      </c>
      <c r="F228" s="1" t="s">
        <v>1115</v>
      </c>
    </row>
    <row r="229" spans="4:6" x14ac:dyDescent="0.35">
      <c r="D229" s="1" t="s">
        <v>1116</v>
      </c>
      <c r="E229" s="1" t="s">
        <v>1110</v>
      </c>
      <c r="F229" s="1" t="s">
        <v>1116</v>
      </c>
    </row>
    <row r="230" spans="4:6" x14ac:dyDescent="0.35">
      <c r="D230" s="1" t="s">
        <v>1117</v>
      </c>
      <c r="E230" s="1" t="s">
        <v>1055</v>
      </c>
      <c r="F230" s="1" t="s">
        <v>1117</v>
      </c>
    </row>
    <row r="231" spans="4:6" x14ac:dyDescent="0.35">
      <c r="D231" s="1" t="s">
        <v>1118</v>
      </c>
      <c r="E231" s="1" t="s">
        <v>1056</v>
      </c>
      <c r="F231" s="1" t="s">
        <v>1118</v>
      </c>
    </row>
    <row r="232" spans="4:6" x14ac:dyDescent="0.35">
      <c r="D232" s="1" t="s">
        <v>1119</v>
      </c>
      <c r="E232" s="1" t="s">
        <v>1056</v>
      </c>
      <c r="F232" s="1" t="s">
        <v>1119</v>
      </c>
    </row>
    <row r="233" spans="4:6" x14ac:dyDescent="0.35">
      <c r="D233" s="1" t="s">
        <v>1120</v>
      </c>
      <c r="E233" s="1" t="s">
        <v>1057</v>
      </c>
      <c r="F233" s="1" t="s">
        <v>1120</v>
      </c>
    </row>
    <row r="234" spans="4:6" x14ac:dyDescent="0.35">
      <c r="D234" s="1" t="s">
        <v>1121</v>
      </c>
      <c r="E234" s="1" t="s">
        <v>1058</v>
      </c>
      <c r="F234" s="1" t="s">
        <v>1121</v>
      </c>
    </row>
    <row r="235" spans="4:6" x14ac:dyDescent="0.35">
      <c r="D235" s="1" t="s">
        <v>1122</v>
      </c>
      <c r="E235" s="1" t="s">
        <v>1059</v>
      </c>
      <c r="F235" s="1" t="s">
        <v>1122</v>
      </c>
    </row>
    <row r="236" spans="4:6" x14ac:dyDescent="0.35">
      <c r="D236" s="1" t="s">
        <v>1123</v>
      </c>
      <c r="E236" s="1" t="s">
        <v>1060</v>
      </c>
      <c r="F236" s="1" t="s">
        <v>1123</v>
      </c>
    </row>
    <row r="237" spans="4:6" x14ac:dyDescent="0.35">
      <c r="D237" s="1" t="s">
        <v>1124</v>
      </c>
      <c r="E237" s="1" t="s">
        <v>1094</v>
      </c>
      <c r="F237" s="1" t="s">
        <v>1124</v>
      </c>
    </row>
    <row r="238" spans="4:6" x14ac:dyDescent="0.35">
      <c r="D238" s="1" t="s">
        <v>1125</v>
      </c>
      <c r="E238" s="1" t="s">
        <v>1095</v>
      </c>
      <c r="F238" s="1" t="s">
        <v>1125</v>
      </c>
    </row>
  </sheetData>
  <autoFilter ref="A14:B193" xr:uid="{7A82EF9C-085F-491C-92D3-7A00FED47134}"/>
  <phoneticPr fontId="6" type="noConversion"/>
  <conditionalFormatting sqref="A15:B192 A193">
    <cfRule type="containsText" dxfId="16" priority="1" operator="containsText" text="Moroso">
      <formula>NOT(ISERROR(SEARCH("Moroso",A15)))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B51C-E911-4F5A-891D-3F4B88524567}">
  <dimension ref="A1:A5"/>
  <sheetViews>
    <sheetView tabSelected="1" workbookViewId="0">
      <selection activeCell="B2" sqref="B2"/>
    </sheetView>
  </sheetViews>
  <sheetFormatPr baseColWidth="10" defaultRowHeight="14.5" x14ac:dyDescent="0.35"/>
  <cols>
    <col min="1" max="1" width="18.81640625" customWidth="1"/>
  </cols>
  <sheetData>
    <row r="1" spans="1:1" x14ac:dyDescent="0.35">
      <c r="A1" s="43" t="s">
        <v>0</v>
      </c>
    </row>
    <row r="2" spans="1:1" x14ac:dyDescent="0.35">
      <c r="A2" s="42" t="s">
        <v>9</v>
      </c>
    </row>
    <row r="3" spans="1:1" x14ac:dyDescent="0.35">
      <c r="A3" s="42" t="s">
        <v>615</v>
      </c>
    </row>
    <row r="4" spans="1:1" x14ac:dyDescent="0.35">
      <c r="A4" s="42" t="s">
        <v>8</v>
      </c>
    </row>
    <row r="5" spans="1:1" x14ac:dyDescent="0.35">
      <c r="A5" s="40" t="s">
        <v>415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B646-5D1C-46A8-9A5B-84FB2ADB9774}">
  <dimension ref="A1:E237"/>
  <sheetViews>
    <sheetView topLeftCell="A223" workbookViewId="0">
      <selection activeCell="A230" sqref="A230"/>
    </sheetView>
  </sheetViews>
  <sheetFormatPr baseColWidth="10" defaultRowHeight="14.5" x14ac:dyDescent="0.35"/>
  <cols>
    <col min="1" max="1" width="7.453125" customWidth="1"/>
    <col min="2" max="2" width="31.453125" bestFit="1" customWidth="1"/>
    <col min="4" max="4" width="13" bestFit="1" customWidth="1"/>
    <col min="5" max="5" width="14.26953125" bestFit="1" customWidth="1"/>
    <col min="6" max="6" width="17.453125" customWidth="1"/>
  </cols>
  <sheetData>
    <row r="1" spans="1:5" x14ac:dyDescent="0.35">
      <c r="A1" t="s">
        <v>620</v>
      </c>
      <c r="B1" t="s">
        <v>13</v>
      </c>
      <c r="C1" t="s">
        <v>1062</v>
      </c>
      <c r="D1" t="s">
        <v>1061</v>
      </c>
      <c r="E1" t="s">
        <v>15</v>
      </c>
    </row>
    <row r="2" spans="1:5" x14ac:dyDescent="0.35">
      <c r="A2" t="str">
        <f>VLOOKUP(Tabla3[[#This Row],[Producto]],Referencia!$E$2:$F$238,2,0)</f>
        <v>P1</v>
      </c>
      <c r="B2" t="s">
        <v>637</v>
      </c>
      <c r="C2" t="s">
        <v>1088</v>
      </c>
      <c r="D2" t="s">
        <v>1072</v>
      </c>
      <c r="E2" t="s">
        <v>1063</v>
      </c>
    </row>
    <row r="3" spans="1:5" x14ac:dyDescent="0.35">
      <c r="A3" t="str">
        <f>VLOOKUP(Tabla3[[#This Row],[Producto]],Referencia!$E$2:$F$238,2,0)</f>
        <v>P2</v>
      </c>
      <c r="B3" t="s">
        <v>638</v>
      </c>
      <c r="C3" t="s">
        <v>1085</v>
      </c>
      <c r="D3" t="s">
        <v>1072</v>
      </c>
      <c r="E3" t="s">
        <v>1064</v>
      </c>
    </row>
    <row r="4" spans="1:5" x14ac:dyDescent="0.35">
      <c r="A4" t="str">
        <f>VLOOKUP(Tabla3[[#This Row],[Producto]],Referencia!$E$2:$F$238,2,0)</f>
        <v>P3</v>
      </c>
      <c r="B4" t="s">
        <v>639</v>
      </c>
      <c r="C4" t="s">
        <v>1085</v>
      </c>
      <c r="D4" t="s">
        <v>1072</v>
      </c>
      <c r="E4" t="s">
        <v>1063</v>
      </c>
    </row>
    <row r="5" spans="1:5" x14ac:dyDescent="0.35">
      <c r="A5" t="str">
        <f>VLOOKUP(Tabla3[[#This Row],[Producto]],Referencia!$E$2:$F$238,2,0)</f>
        <v>P4</v>
      </c>
      <c r="B5" t="s">
        <v>640</v>
      </c>
      <c r="C5" t="s">
        <v>1085</v>
      </c>
      <c r="D5" t="s">
        <v>1072</v>
      </c>
      <c r="E5" t="s">
        <v>1063</v>
      </c>
    </row>
    <row r="6" spans="1:5" x14ac:dyDescent="0.35">
      <c r="A6" t="str">
        <f>VLOOKUP(Tabla3[[#This Row],[Producto]],Referencia!$E$2:$F$238,2,0)</f>
        <v>P5</v>
      </c>
      <c r="B6" t="s">
        <v>636</v>
      </c>
      <c r="C6" t="s">
        <v>1085</v>
      </c>
      <c r="D6" t="s">
        <v>1072</v>
      </c>
      <c r="E6" t="s">
        <v>1063</v>
      </c>
    </row>
    <row r="7" spans="1:5" x14ac:dyDescent="0.35">
      <c r="A7" t="str">
        <f>VLOOKUP(Tabla3[[#This Row],[Producto]],Referencia!$E$2:$F$238,2,0)</f>
        <v>P6</v>
      </c>
      <c r="B7" t="s">
        <v>627</v>
      </c>
      <c r="C7" t="s">
        <v>1087</v>
      </c>
      <c r="D7" t="s">
        <v>1082</v>
      </c>
      <c r="E7" t="s">
        <v>31</v>
      </c>
    </row>
    <row r="8" spans="1:5" x14ac:dyDescent="0.35">
      <c r="A8" t="str">
        <f>VLOOKUP(Tabla3[[#This Row],[Producto]],Referencia!$E$2:$F$238,2,0)</f>
        <v>P7</v>
      </c>
      <c r="B8" t="s">
        <v>641</v>
      </c>
      <c r="C8" t="s">
        <v>1087</v>
      </c>
      <c r="D8" t="s">
        <v>1086</v>
      </c>
      <c r="E8" t="s">
        <v>1065</v>
      </c>
    </row>
    <row r="9" spans="1:5" x14ac:dyDescent="0.35">
      <c r="A9" t="str">
        <f>VLOOKUP(Tabla3[[#This Row],[Producto]],Referencia!$E$2:$F$238,2,0)</f>
        <v>P8</v>
      </c>
      <c r="B9" t="s">
        <v>642</v>
      </c>
      <c r="C9" t="s">
        <v>1085</v>
      </c>
      <c r="D9" t="s">
        <v>1072</v>
      </c>
      <c r="E9" t="s">
        <v>1063</v>
      </c>
    </row>
    <row r="10" spans="1:5" x14ac:dyDescent="0.35">
      <c r="A10" t="str">
        <f>VLOOKUP(Tabla3[[#This Row],[Producto]],Referencia!$E$2:$F$238,2,0)</f>
        <v>P9</v>
      </c>
      <c r="B10" t="s">
        <v>643</v>
      </c>
      <c r="C10" t="s">
        <v>1085</v>
      </c>
      <c r="D10" t="s">
        <v>1077</v>
      </c>
      <c r="E10" t="s">
        <v>1075</v>
      </c>
    </row>
    <row r="11" spans="1:5" x14ac:dyDescent="0.35">
      <c r="A11" t="str">
        <f>VLOOKUP(Tabla3[[#This Row],[Producto]],Referencia!$E$2:$F$238,2,0)</f>
        <v>P10</v>
      </c>
      <c r="B11" t="s">
        <v>644</v>
      </c>
      <c r="C11" t="s">
        <v>1085</v>
      </c>
      <c r="D11" t="s">
        <v>1072</v>
      </c>
      <c r="E11" t="s">
        <v>1063</v>
      </c>
    </row>
    <row r="12" spans="1:5" x14ac:dyDescent="0.35">
      <c r="A12" t="str">
        <f>VLOOKUP(Tabla3[[#This Row],[Producto]],Referencia!$E$2:$F$238,2,0)</f>
        <v>P11</v>
      </c>
      <c r="B12" t="s">
        <v>645</v>
      </c>
      <c r="C12" t="s">
        <v>1085</v>
      </c>
      <c r="D12" t="s">
        <v>1072</v>
      </c>
      <c r="E12" t="s">
        <v>1063</v>
      </c>
    </row>
    <row r="13" spans="1:5" x14ac:dyDescent="0.35">
      <c r="A13" t="str">
        <f>VLOOKUP(Tabla3[[#This Row],[Producto]],Referencia!$E$2:$F$238,2,0)</f>
        <v>P12</v>
      </c>
      <c r="B13" t="s">
        <v>646</v>
      </c>
      <c r="C13" t="s">
        <v>1085</v>
      </c>
      <c r="D13" t="s">
        <v>1080</v>
      </c>
      <c r="E13" t="s">
        <v>1078</v>
      </c>
    </row>
    <row r="14" spans="1:5" x14ac:dyDescent="0.35">
      <c r="A14" t="str">
        <f>VLOOKUP(Tabla3[[#This Row],[Producto]],Referencia!$E$2:$F$238,2,0)</f>
        <v>P13</v>
      </c>
      <c r="B14" t="s">
        <v>647</v>
      </c>
      <c r="C14" t="s">
        <v>1085</v>
      </c>
      <c r="D14" t="s">
        <v>1079</v>
      </c>
      <c r="E14" t="s">
        <v>1078</v>
      </c>
    </row>
    <row r="15" spans="1:5" x14ac:dyDescent="0.35">
      <c r="A15" t="str">
        <f>VLOOKUP(Tabla3[[#This Row],[Producto]],Referencia!$E$2:$F$238,2,0)</f>
        <v>P14</v>
      </c>
      <c r="B15" t="s">
        <v>648</v>
      </c>
      <c r="C15" t="s">
        <v>1085</v>
      </c>
      <c r="D15" t="s">
        <v>1072</v>
      </c>
      <c r="E15" t="s">
        <v>1066</v>
      </c>
    </row>
    <row r="16" spans="1:5" x14ac:dyDescent="0.35">
      <c r="A16" t="str">
        <f>VLOOKUP(Tabla3[[#This Row],[Producto]],Referencia!$E$2:$F$238,2,0)</f>
        <v>P15</v>
      </c>
      <c r="B16" t="s">
        <v>649</v>
      </c>
      <c r="C16" t="s">
        <v>1085</v>
      </c>
      <c r="D16" t="s">
        <v>1082</v>
      </c>
      <c r="E16" t="s">
        <v>1078</v>
      </c>
    </row>
    <row r="17" spans="1:5" x14ac:dyDescent="0.35">
      <c r="A17" t="str">
        <f>VLOOKUP(Tabla3[[#This Row],[Producto]],Referencia!$E$2:$F$238,2,0)</f>
        <v>P16</v>
      </c>
      <c r="B17" t="s">
        <v>650</v>
      </c>
      <c r="C17" t="s">
        <v>1085</v>
      </c>
      <c r="D17" t="s">
        <v>1079</v>
      </c>
      <c r="E17" t="s">
        <v>1078</v>
      </c>
    </row>
    <row r="18" spans="1:5" x14ac:dyDescent="0.35">
      <c r="A18" t="str">
        <f>VLOOKUP(Tabla3[[#This Row],[Producto]],Referencia!$E$2:$F$238,2,0)</f>
        <v>P17</v>
      </c>
      <c r="B18" t="s">
        <v>46</v>
      </c>
      <c r="C18" t="s">
        <v>1085</v>
      </c>
      <c r="D18" t="s">
        <v>1072</v>
      </c>
      <c r="E18" t="s">
        <v>1066</v>
      </c>
    </row>
    <row r="19" spans="1:5" x14ac:dyDescent="0.35">
      <c r="A19" t="str">
        <f>VLOOKUP(Tabla3[[#This Row],[Producto]],Referencia!$E$2:$F$238,2,0)</f>
        <v>P18</v>
      </c>
      <c r="B19" t="s">
        <v>651</v>
      </c>
      <c r="C19" t="s">
        <v>1089</v>
      </c>
      <c r="D19" t="s">
        <v>1072</v>
      </c>
      <c r="E19" t="s">
        <v>1063</v>
      </c>
    </row>
    <row r="20" spans="1:5" x14ac:dyDescent="0.35">
      <c r="A20" t="str">
        <f>VLOOKUP(Tabla3[[#This Row],[Producto]],Referencia!$E$2:$F$238,2,0)</f>
        <v>P19</v>
      </c>
      <c r="B20" t="s">
        <v>652</v>
      </c>
      <c r="C20" t="s">
        <v>1085</v>
      </c>
      <c r="D20" t="s">
        <v>1082</v>
      </c>
      <c r="E20" t="s">
        <v>1078</v>
      </c>
    </row>
    <row r="21" spans="1:5" x14ac:dyDescent="0.35">
      <c r="A21" t="str">
        <f>VLOOKUP(Tabla3[[#This Row],[Producto]],Referencia!$E$2:$F$238,2,0)</f>
        <v>P20</v>
      </c>
      <c r="B21" t="s">
        <v>653</v>
      </c>
      <c r="C21" t="s">
        <v>1093</v>
      </c>
      <c r="D21" t="s">
        <v>1077</v>
      </c>
      <c r="E21" t="s">
        <v>1075</v>
      </c>
    </row>
    <row r="22" spans="1:5" x14ac:dyDescent="0.35">
      <c r="A22" t="str">
        <f>VLOOKUP(Tabla3[[#This Row],[Producto]],Referencia!$E$2:$F$238,2,0)</f>
        <v>P21</v>
      </c>
      <c r="B22" t="s">
        <v>654</v>
      </c>
      <c r="C22" t="s">
        <v>1089</v>
      </c>
      <c r="D22" t="s">
        <v>1072</v>
      </c>
      <c r="E22" t="s">
        <v>1066</v>
      </c>
    </row>
    <row r="23" spans="1:5" x14ac:dyDescent="0.35">
      <c r="A23" t="str">
        <f>VLOOKUP(Tabla3[[#This Row],[Producto]],Referencia!$E$2:$F$238,2,0)</f>
        <v>P22</v>
      </c>
      <c r="B23" t="s">
        <v>655</v>
      </c>
      <c r="C23" t="s">
        <v>1085</v>
      </c>
      <c r="D23" t="s">
        <v>1072</v>
      </c>
      <c r="E23" t="s">
        <v>1063</v>
      </c>
    </row>
    <row r="24" spans="1:5" x14ac:dyDescent="0.35">
      <c r="A24" t="str">
        <f>VLOOKUP(Tabla3[[#This Row],[Producto]],Referencia!$E$2:$F$238,2,0)</f>
        <v>P23</v>
      </c>
      <c r="B24" t="s">
        <v>656</v>
      </c>
      <c r="C24" t="s">
        <v>1085</v>
      </c>
      <c r="D24" t="s">
        <v>1073</v>
      </c>
      <c r="E24" t="s">
        <v>1063</v>
      </c>
    </row>
    <row r="25" spans="1:5" x14ac:dyDescent="0.35">
      <c r="A25" t="str">
        <f>VLOOKUP(Tabla3[[#This Row],[Producto]],Referencia!$E$2:$F$238,2,0)</f>
        <v>P24</v>
      </c>
      <c r="B25" t="s">
        <v>657</v>
      </c>
      <c r="C25" t="s">
        <v>1085</v>
      </c>
      <c r="D25" t="s">
        <v>1073</v>
      </c>
      <c r="E25" t="s">
        <v>1063</v>
      </c>
    </row>
    <row r="26" spans="1:5" x14ac:dyDescent="0.35">
      <c r="A26" t="str">
        <f>VLOOKUP(Tabla3[[#This Row],[Producto]],Referencia!$E$2:$F$238,2,0)</f>
        <v>P25</v>
      </c>
      <c r="B26" t="s">
        <v>658</v>
      </c>
      <c r="C26" t="s">
        <v>1085</v>
      </c>
      <c r="D26" t="s">
        <v>1073</v>
      </c>
      <c r="E26" t="s">
        <v>1063</v>
      </c>
    </row>
    <row r="27" spans="1:5" x14ac:dyDescent="0.35">
      <c r="A27" t="str">
        <f>VLOOKUP(Tabla3[[#This Row],[Producto]],Referencia!$E$2:$F$238,2,0)</f>
        <v>P26</v>
      </c>
      <c r="B27" t="s">
        <v>659</v>
      </c>
      <c r="C27" t="s">
        <v>1085</v>
      </c>
      <c r="D27" t="s">
        <v>1074</v>
      </c>
      <c r="E27" t="s">
        <v>1067</v>
      </c>
    </row>
    <row r="28" spans="1:5" x14ac:dyDescent="0.35">
      <c r="A28" t="str">
        <f>VLOOKUP(Tabla3[[#This Row],[Producto]],Referencia!$E$2:$F$238,2,0)</f>
        <v>P27</v>
      </c>
      <c r="B28" t="s">
        <v>467</v>
      </c>
      <c r="C28" t="s">
        <v>1085</v>
      </c>
      <c r="D28" t="s">
        <v>1074</v>
      </c>
      <c r="E28" t="s">
        <v>1067</v>
      </c>
    </row>
    <row r="29" spans="1:5" x14ac:dyDescent="0.35">
      <c r="A29" t="str">
        <f>VLOOKUP(Tabla3[[#This Row],[Producto]],Referencia!$E$2:$F$238,2,0)</f>
        <v>P28</v>
      </c>
      <c r="B29" t="s">
        <v>660</v>
      </c>
      <c r="C29" t="s">
        <v>1090</v>
      </c>
      <c r="D29" t="s">
        <v>1079</v>
      </c>
      <c r="E29" t="s">
        <v>1078</v>
      </c>
    </row>
    <row r="30" spans="1:5" x14ac:dyDescent="0.35">
      <c r="A30" t="str">
        <f>VLOOKUP(Tabla3[[#This Row],[Producto]],Referencia!$E$2:$F$238,2,0)</f>
        <v>P29</v>
      </c>
      <c r="B30" t="s">
        <v>661</v>
      </c>
      <c r="C30" t="s">
        <v>1085</v>
      </c>
      <c r="D30" t="s">
        <v>1079</v>
      </c>
      <c r="E30" t="s">
        <v>1078</v>
      </c>
    </row>
    <row r="31" spans="1:5" x14ac:dyDescent="0.35">
      <c r="A31" t="str">
        <f>VLOOKUP(Tabla3[[#This Row],[Producto]],Referencia!$E$2:$F$238,2,0)</f>
        <v>P30</v>
      </c>
      <c r="B31" t="s">
        <v>662</v>
      </c>
      <c r="C31" t="s">
        <v>1085</v>
      </c>
      <c r="D31" t="s">
        <v>1079</v>
      </c>
      <c r="E31" t="s">
        <v>1078</v>
      </c>
    </row>
    <row r="32" spans="1:5" x14ac:dyDescent="0.35">
      <c r="A32" t="str">
        <f>VLOOKUP(Tabla3[[#This Row],[Producto]],Referencia!$E$2:$F$238,2,0)</f>
        <v>P31</v>
      </c>
      <c r="B32" t="s">
        <v>663</v>
      </c>
      <c r="C32" t="s">
        <v>1085</v>
      </c>
      <c r="D32" t="s">
        <v>1073</v>
      </c>
      <c r="E32" t="s">
        <v>1063</v>
      </c>
    </row>
    <row r="33" spans="1:5" x14ac:dyDescent="0.35">
      <c r="A33" t="str">
        <f>VLOOKUP(Tabla3[[#This Row],[Producto]],Referencia!$E$2:$F$238,2,0)</f>
        <v>P32</v>
      </c>
      <c r="B33" t="s">
        <v>664</v>
      </c>
      <c r="C33" t="s">
        <v>1085</v>
      </c>
      <c r="D33" t="s">
        <v>1072</v>
      </c>
      <c r="E33" t="s">
        <v>1063</v>
      </c>
    </row>
    <row r="34" spans="1:5" x14ac:dyDescent="0.35">
      <c r="A34" t="str">
        <f>VLOOKUP(Tabla3[[#This Row],[Producto]],Referencia!$E$2:$F$238,2,0)</f>
        <v>P33</v>
      </c>
      <c r="B34" t="s">
        <v>665</v>
      </c>
      <c r="C34" t="s">
        <v>1085</v>
      </c>
      <c r="D34" t="s">
        <v>1072</v>
      </c>
      <c r="E34" t="s">
        <v>1063</v>
      </c>
    </row>
    <row r="35" spans="1:5" x14ac:dyDescent="0.35">
      <c r="A35" t="str">
        <f>VLOOKUP(Tabla3[[#This Row],[Producto]],Referencia!$E$2:$F$238,2,0)</f>
        <v>P34</v>
      </c>
      <c r="B35" t="s">
        <v>666</v>
      </c>
      <c r="C35" t="s">
        <v>1085</v>
      </c>
      <c r="D35" t="s">
        <v>1080</v>
      </c>
      <c r="E35" t="s">
        <v>1078</v>
      </c>
    </row>
    <row r="36" spans="1:5" x14ac:dyDescent="0.35">
      <c r="A36" t="str">
        <f>VLOOKUP(Tabla3[[#This Row],[Producto]],Referencia!$E$2:$F$238,2,0)</f>
        <v>P35</v>
      </c>
      <c r="B36" t="s">
        <v>667</v>
      </c>
      <c r="C36" t="s">
        <v>1085</v>
      </c>
      <c r="D36" t="s">
        <v>1072</v>
      </c>
      <c r="E36" t="s">
        <v>1063</v>
      </c>
    </row>
    <row r="37" spans="1:5" x14ac:dyDescent="0.35">
      <c r="A37" t="str">
        <f>VLOOKUP(Tabla3[[#This Row],[Producto]],Referencia!$E$2:$F$238,2,0)</f>
        <v>P36</v>
      </c>
      <c r="B37" t="s">
        <v>668</v>
      </c>
      <c r="C37" t="s">
        <v>1085</v>
      </c>
      <c r="D37" t="s">
        <v>1072</v>
      </c>
      <c r="E37" t="s">
        <v>1066</v>
      </c>
    </row>
    <row r="38" spans="1:5" x14ac:dyDescent="0.35">
      <c r="A38" t="str">
        <f>VLOOKUP(Tabla3[[#This Row],[Producto]],Referencia!$E$2:$F$238,2,0)</f>
        <v>P37</v>
      </c>
      <c r="B38" t="s">
        <v>669</v>
      </c>
      <c r="C38" t="s">
        <v>1085</v>
      </c>
      <c r="D38" t="s">
        <v>1072</v>
      </c>
      <c r="E38" t="s">
        <v>1066</v>
      </c>
    </row>
    <row r="39" spans="1:5" x14ac:dyDescent="0.35">
      <c r="A39" t="str">
        <f>VLOOKUP(Tabla3[[#This Row],[Producto]],Referencia!$E$2:$F$238,2,0)</f>
        <v>P38</v>
      </c>
      <c r="B39" t="s">
        <v>670</v>
      </c>
      <c r="C39" t="s">
        <v>1089</v>
      </c>
      <c r="D39" t="s">
        <v>1082</v>
      </c>
      <c r="E39" t="s">
        <v>74</v>
      </c>
    </row>
    <row r="40" spans="1:5" x14ac:dyDescent="0.35">
      <c r="A40" t="str">
        <f>VLOOKUP(Tabla3[[#This Row],[Producto]],Referencia!$E$2:$F$238,2,0)</f>
        <v>P39</v>
      </c>
      <c r="B40" t="s">
        <v>671</v>
      </c>
      <c r="C40" t="s">
        <v>1091</v>
      </c>
      <c r="D40" t="s">
        <v>1077</v>
      </c>
      <c r="E40" t="s">
        <v>1078</v>
      </c>
    </row>
    <row r="41" spans="1:5" x14ac:dyDescent="0.35">
      <c r="A41" t="str">
        <f>VLOOKUP(Tabla3[[#This Row],[Producto]],Referencia!$E$2:$F$238,2,0)</f>
        <v>P40</v>
      </c>
      <c r="B41" t="s">
        <v>672</v>
      </c>
      <c r="C41" t="s">
        <v>1085</v>
      </c>
      <c r="D41" t="s">
        <v>1073</v>
      </c>
      <c r="E41" t="s">
        <v>1063</v>
      </c>
    </row>
    <row r="42" spans="1:5" x14ac:dyDescent="0.35">
      <c r="A42" t="str">
        <f>VLOOKUP(Tabla3[[#This Row],[Producto]],Referencia!$E$2:$F$238,2,0)</f>
        <v>P41</v>
      </c>
      <c r="B42" t="s">
        <v>673</v>
      </c>
      <c r="C42" t="s">
        <v>1085</v>
      </c>
      <c r="D42" t="s">
        <v>1077</v>
      </c>
      <c r="E42" t="s">
        <v>1078</v>
      </c>
    </row>
    <row r="43" spans="1:5" x14ac:dyDescent="0.35">
      <c r="A43" t="str">
        <f>VLOOKUP(Tabla3[[#This Row],[Producto]],Referencia!$E$2:$F$238,2,0)</f>
        <v>P42</v>
      </c>
      <c r="B43" t="s">
        <v>674</v>
      </c>
      <c r="C43" t="s">
        <v>1089</v>
      </c>
      <c r="D43" t="s">
        <v>1072</v>
      </c>
      <c r="E43" t="s">
        <v>1064</v>
      </c>
    </row>
    <row r="44" spans="1:5" x14ac:dyDescent="0.35">
      <c r="A44" t="str">
        <f>VLOOKUP(Tabla3[[#This Row],[Producto]],Referencia!$E$2:$F$238,2,0)</f>
        <v>P43</v>
      </c>
      <c r="B44" t="s">
        <v>675</v>
      </c>
      <c r="C44" t="s">
        <v>1085</v>
      </c>
      <c r="D44" t="s">
        <v>1082</v>
      </c>
      <c r="E44" t="s">
        <v>1078</v>
      </c>
    </row>
    <row r="45" spans="1:5" x14ac:dyDescent="0.35">
      <c r="A45" t="str">
        <f>VLOOKUP(Tabla3[[#This Row],[Producto]],Referencia!$E$2:$F$238,2,0)</f>
        <v>P44</v>
      </c>
      <c r="B45" t="s">
        <v>676</v>
      </c>
      <c r="C45" t="s">
        <v>1085</v>
      </c>
      <c r="D45" t="s">
        <v>1079</v>
      </c>
      <c r="E45" t="s">
        <v>1078</v>
      </c>
    </row>
    <row r="46" spans="1:5" x14ac:dyDescent="0.35">
      <c r="A46" t="str">
        <f>VLOOKUP(Tabla3[[#This Row],[Producto]],Referencia!$E$2:$F$238,2,0)</f>
        <v>P45</v>
      </c>
      <c r="B46" t="s">
        <v>677</v>
      </c>
      <c r="C46" t="s">
        <v>1085</v>
      </c>
      <c r="D46" t="s">
        <v>1072</v>
      </c>
      <c r="E46" t="s">
        <v>1066</v>
      </c>
    </row>
    <row r="47" spans="1:5" x14ac:dyDescent="0.35">
      <c r="A47" t="str">
        <f>VLOOKUP(Tabla3[[#This Row],[Producto]],Referencia!$E$2:$F$238,2,0)</f>
        <v>P46</v>
      </c>
      <c r="B47" t="s">
        <v>678</v>
      </c>
      <c r="C47" t="s">
        <v>1085</v>
      </c>
      <c r="D47" t="s">
        <v>1081</v>
      </c>
      <c r="E47" t="s">
        <v>1078</v>
      </c>
    </row>
    <row r="48" spans="1:5" x14ac:dyDescent="0.35">
      <c r="A48" t="str">
        <f>VLOOKUP(Tabla3[[#This Row],[Producto]],Referencia!$E$2:$F$238,2,0)</f>
        <v>P47</v>
      </c>
      <c r="B48" t="s">
        <v>679</v>
      </c>
      <c r="C48" t="s">
        <v>1085</v>
      </c>
      <c r="D48" t="s">
        <v>1073</v>
      </c>
      <c r="E48" t="s">
        <v>1063</v>
      </c>
    </row>
    <row r="49" spans="1:5" x14ac:dyDescent="0.35">
      <c r="A49" t="str">
        <f>VLOOKUP(Tabla3[[#This Row],[Producto]],Referencia!$E$2:$F$238,2,0)</f>
        <v>P48</v>
      </c>
      <c r="B49" t="s">
        <v>680</v>
      </c>
      <c r="C49" t="s">
        <v>1091</v>
      </c>
      <c r="D49" t="s">
        <v>1072</v>
      </c>
      <c r="E49" t="s">
        <v>1063</v>
      </c>
    </row>
    <row r="50" spans="1:5" x14ac:dyDescent="0.35">
      <c r="A50" t="str">
        <f>VLOOKUP(Tabla3[[#This Row],[Producto]],Referencia!$E$2:$F$238,2,0)</f>
        <v>P49</v>
      </c>
      <c r="B50" t="s">
        <v>681</v>
      </c>
      <c r="C50" t="s">
        <v>1085</v>
      </c>
      <c r="D50" t="s">
        <v>1072</v>
      </c>
      <c r="E50" t="s">
        <v>1064</v>
      </c>
    </row>
    <row r="51" spans="1:5" x14ac:dyDescent="0.35">
      <c r="A51" t="str">
        <f>VLOOKUP(Tabla3[[#This Row],[Producto]],Referencia!$E$2:$F$238,2,0)</f>
        <v>P50</v>
      </c>
      <c r="B51" t="s">
        <v>682</v>
      </c>
      <c r="C51" t="s">
        <v>1085</v>
      </c>
      <c r="D51" t="s">
        <v>1072</v>
      </c>
      <c r="E51" t="s">
        <v>1066</v>
      </c>
    </row>
    <row r="52" spans="1:5" x14ac:dyDescent="0.35">
      <c r="A52" t="str">
        <f>VLOOKUP(Tabla3[[#This Row],[Producto]],Referencia!$E$2:$F$238,2,0)</f>
        <v>P51</v>
      </c>
      <c r="B52" t="s">
        <v>683</v>
      </c>
      <c r="C52" t="s">
        <v>1085</v>
      </c>
      <c r="D52" t="s">
        <v>1072</v>
      </c>
      <c r="E52" t="s">
        <v>1063</v>
      </c>
    </row>
    <row r="53" spans="1:5" x14ac:dyDescent="0.35">
      <c r="A53" t="str">
        <f>VLOOKUP(Tabla3[[#This Row],[Producto]],Referencia!$E$2:$F$238,2,0)</f>
        <v>P52</v>
      </c>
      <c r="B53" t="s">
        <v>684</v>
      </c>
      <c r="C53" t="s">
        <v>1085</v>
      </c>
      <c r="D53" t="s">
        <v>1072</v>
      </c>
      <c r="E53" t="s">
        <v>1064</v>
      </c>
    </row>
    <row r="54" spans="1:5" x14ac:dyDescent="0.35">
      <c r="A54" t="str">
        <f>VLOOKUP(Tabla3[[#This Row],[Producto]],Referencia!$E$2:$F$238,2,0)</f>
        <v>P53</v>
      </c>
      <c r="B54" t="s">
        <v>685</v>
      </c>
      <c r="C54" t="s">
        <v>1085</v>
      </c>
      <c r="D54" t="s">
        <v>1080</v>
      </c>
      <c r="E54" t="s">
        <v>1078</v>
      </c>
    </row>
    <row r="55" spans="1:5" x14ac:dyDescent="0.35">
      <c r="A55" t="str">
        <f>VLOOKUP(Tabla3[[#This Row],[Producto]],Referencia!$E$2:$F$238,2,0)</f>
        <v>P54</v>
      </c>
      <c r="B55" t="s">
        <v>686</v>
      </c>
      <c r="C55" t="s">
        <v>1085</v>
      </c>
      <c r="D55" t="s">
        <v>1072</v>
      </c>
      <c r="E55" t="s">
        <v>1063</v>
      </c>
    </row>
    <row r="56" spans="1:5" x14ac:dyDescent="0.35">
      <c r="A56" t="str">
        <f>VLOOKUP(Tabla3[[#This Row],[Producto]],Referencia!$E$2:$F$238,2,0)</f>
        <v>P55</v>
      </c>
      <c r="B56" t="s">
        <v>687</v>
      </c>
      <c r="C56" t="s">
        <v>1085</v>
      </c>
      <c r="D56" t="s">
        <v>1072</v>
      </c>
      <c r="E56" t="s">
        <v>1063</v>
      </c>
    </row>
    <row r="57" spans="1:5" x14ac:dyDescent="0.35">
      <c r="A57" t="str">
        <f>VLOOKUP(Tabla3[[#This Row],[Producto]],Referencia!$E$2:$F$238,2,0)</f>
        <v>P56</v>
      </c>
      <c r="B57" t="s">
        <v>688</v>
      </c>
      <c r="C57" t="s">
        <v>1085</v>
      </c>
      <c r="D57" t="s">
        <v>1082</v>
      </c>
      <c r="E57" t="s">
        <v>1078</v>
      </c>
    </row>
    <row r="58" spans="1:5" x14ac:dyDescent="0.35">
      <c r="A58" t="str">
        <f>VLOOKUP(Tabla3[[#This Row],[Producto]],Referencia!$E$2:$F$238,2,0)</f>
        <v>P57</v>
      </c>
      <c r="B58" t="s">
        <v>689</v>
      </c>
      <c r="C58" t="s">
        <v>1085</v>
      </c>
      <c r="D58" t="s">
        <v>1077</v>
      </c>
      <c r="E58" t="s">
        <v>1078</v>
      </c>
    </row>
    <row r="59" spans="1:5" x14ac:dyDescent="0.35">
      <c r="A59" t="str">
        <f>VLOOKUP(Tabla3[[#This Row],[Producto]],Referencia!$E$2:$F$238,2,0)</f>
        <v>P58</v>
      </c>
      <c r="B59" t="s">
        <v>690</v>
      </c>
      <c r="C59" t="s">
        <v>1085</v>
      </c>
      <c r="D59" t="s">
        <v>1077</v>
      </c>
      <c r="E59" t="s">
        <v>1078</v>
      </c>
    </row>
    <row r="60" spans="1:5" x14ac:dyDescent="0.35">
      <c r="A60" t="str">
        <f>VLOOKUP(Tabla3[[#This Row],[Producto]],Referencia!$E$2:$F$238,2,0)</f>
        <v>P59</v>
      </c>
      <c r="B60" t="s">
        <v>691</v>
      </c>
      <c r="C60" t="s">
        <v>1085</v>
      </c>
      <c r="D60" t="s">
        <v>1072</v>
      </c>
      <c r="E60" t="s">
        <v>1066</v>
      </c>
    </row>
    <row r="61" spans="1:5" x14ac:dyDescent="0.35">
      <c r="A61" t="str">
        <f>VLOOKUP(Tabla3[[#This Row],[Producto]],Referencia!$E$2:$F$238,2,0)</f>
        <v>P60</v>
      </c>
      <c r="B61" t="s">
        <v>692</v>
      </c>
      <c r="C61" t="s">
        <v>1091</v>
      </c>
      <c r="D61" t="s">
        <v>1072</v>
      </c>
      <c r="E61" t="s">
        <v>1063</v>
      </c>
    </row>
    <row r="62" spans="1:5" x14ac:dyDescent="0.35">
      <c r="A62" t="str">
        <f>VLOOKUP(Tabla3[[#This Row],[Producto]],Referencia!$E$2:$F$238,2,0)</f>
        <v>P61</v>
      </c>
      <c r="B62" t="s">
        <v>693</v>
      </c>
      <c r="C62" t="s">
        <v>1090</v>
      </c>
      <c r="D62" t="s">
        <v>1072</v>
      </c>
      <c r="E62" t="s">
        <v>1066</v>
      </c>
    </row>
    <row r="63" spans="1:5" x14ac:dyDescent="0.35">
      <c r="A63" t="str">
        <f>VLOOKUP(Tabla3[[#This Row],[Producto]],Referencia!$E$2:$F$238,2,0)</f>
        <v>P62</v>
      </c>
      <c r="B63" t="s">
        <v>694</v>
      </c>
      <c r="C63" t="s">
        <v>1085</v>
      </c>
      <c r="D63" t="s">
        <v>1077</v>
      </c>
      <c r="E63" t="s">
        <v>1075</v>
      </c>
    </row>
    <row r="64" spans="1:5" x14ac:dyDescent="0.35">
      <c r="A64" t="str">
        <f>VLOOKUP(Tabla3[[#This Row],[Producto]],Referencia!$E$2:$F$238,2,0)</f>
        <v>P63</v>
      </c>
      <c r="B64" t="s">
        <v>419</v>
      </c>
      <c r="C64" t="s">
        <v>1089</v>
      </c>
      <c r="D64" t="s">
        <v>1072</v>
      </c>
      <c r="E64" t="s">
        <v>1064</v>
      </c>
    </row>
    <row r="65" spans="1:5" x14ac:dyDescent="0.35">
      <c r="A65" t="str">
        <f>VLOOKUP(Tabla3[[#This Row],[Producto]],Referencia!$E$2:$F$238,2,0)</f>
        <v>P64</v>
      </c>
      <c r="B65" t="s">
        <v>695</v>
      </c>
      <c r="C65" t="s">
        <v>1085</v>
      </c>
      <c r="D65" t="s">
        <v>1074</v>
      </c>
      <c r="E65" t="s">
        <v>1067</v>
      </c>
    </row>
    <row r="66" spans="1:5" x14ac:dyDescent="0.35">
      <c r="A66" t="str">
        <f>VLOOKUP(Tabla3[[#This Row],[Producto]],Referencia!$E$2:$F$238,2,0)</f>
        <v>P65</v>
      </c>
      <c r="B66" t="s">
        <v>696</v>
      </c>
      <c r="C66" t="s">
        <v>1085</v>
      </c>
      <c r="D66" t="s">
        <v>1082</v>
      </c>
      <c r="E66" t="s">
        <v>1078</v>
      </c>
    </row>
    <row r="67" spans="1:5" x14ac:dyDescent="0.35">
      <c r="A67" t="str">
        <f>VLOOKUP(Tabla3[[#This Row],[Producto]],Referencia!$E$2:$F$238,2,0)</f>
        <v>P66</v>
      </c>
      <c r="B67" t="s">
        <v>697</v>
      </c>
      <c r="C67" t="s">
        <v>1085</v>
      </c>
      <c r="D67" t="s">
        <v>1072</v>
      </c>
      <c r="E67" t="s">
        <v>1066</v>
      </c>
    </row>
    <row r="68" spans="1:5" x14ac:dyDescent="0.35">
      <c r="A68" t="str">
        <f>VLOOKUP(Tabla3[[#This Row],[Producto]],Referencia!$E$2:$F$238,2,0)</f>
        <v>P67</v>
      </c>
      <c r="B68" t="s">
        <v>698</v>
      </c>
      <c r="C68" t="s">
        <v>1085</v>
      </c>
      <c r="D68" t="s">
        <v>1074</v>
      </c>
      <c r="E68" t="s">
        <v>1067</v>
      </c>
    </row>
    <row r="69" spans="1:5" x14ac:dyDescent="0.35">
      <c r="A69" t="str">
        <f>VLOOKUP(Tabla3[[#This Row],[Producto]],Referencia!$E$2:$F$238,2,0)</f>
        <v>P68</v>
      </c>
      <c r="B69" t="s">
        <v>699</v>
      </c>
      <c r="C69" t="s">
        <v>1085</v>
      </c>
      <c r="D69" t="s">
        <v>1082</v>
      </c>
      <c r="E69" t="s">
        <v>1078</v>
      </c>
    </row>
    <row r="70" spans="1:5" x14ac:dyDescent="0.35">
      <c r="A70" t="str">
        <f>VLOOKUP(Tabla3[[#This Row],[Producto]],Referencia!$E$2:$F$238,2,0)</f>
        <v>P69</v>
      </c>
      <c r="B70" t="s">
        <v>700</v>
      </c>
      <c r="C70" t="s">
        <v>1085</v>
      </c>
      <c r="D70" t="s">
        <v>1082</v>
      </c>
      <c r="E70" t="s">
        <v>1078</v>
      </c>
    </row>
    <row r="71" spans="1:5" x14ac:dyDescent="0.35">
      <c r="A71" t="str">
        <f>VLOOKUP(Tabla3[[#This Row],[Producto]],Referencia!$E$2:$F$238,2,0)</f>
        <v>P70</v>
      </c>
      <c r="B71" t="s">
        <v>701</v>
      </c>
      <c r="C71" t="s">
        <v>1085</v>
      </c>
      <c r="D71" t="s">
        <v>1082</v>
      </c>
      <c r="E71" t="s">
        <v>1068</v>
      </c>
    </row>
    <row r="72" spans="1:5" x14ac:dyDescent="0.35">
      <c r="A72" t="str">
        <f>VLOOKUP(Tabla3[[#This Row],[Producto]],Referencia!$E$2:$F$238,2,0)</f>
        <v>P71</v>
      </c>
      <c r="B72" t="s">
        <v>702</v>
      </c>
      <c r="C72" t="s">
        <v>1085</v>
      </c>
      <c r="D72" t="s">
        <v>1072</v>
      </c>
      <c r="E72" t="s">
        <v>1066</v>
      </c>
    </row>
    <row r="73" spans="1:5" x14ac:dyDescent="0.35">
      <c r="A73" t="str">
        <f>VLOOKUP(Tabla3[[#This Row],[Producto]],Referencia!$E$2:$F$238,2,0)</f>
        <v>P72</v>
      </c>
      <c r="B73" t="s">
        <v>703</v>
      </c>
      <c r="C73" t="s">
        <v>1085</v>
      </c>
      <c r="D73" t="s">
        <v>1074</v>
      </c>
      <c r="E73" t="s">
        <v>1067</v>
      </c>
    </row>
    <row r="74" spans="1:5" x14ac:dyDescent="0.35">
      <c r="A74" t="str">
        <f>VLOOKUP(Tabla3[[#This Row],[Producto]],Referencia!$E$2:$F$238,2,0)</f>
        <v>P73</v>
      </c>
      <c r="B74" t="s">
        <v>704</v>
      </c>
      <c r="C74" t="s">
        <v>1091</v>
      </c>
      <c r="D74" t="s">
        <v>1074</v>
      </c>
      <c r="E74" t="s">
        <v>1067</v>
      </c>
    </row>
    <row r="75" spans="1:5" x14ac:dyDescent="0.35">
      <c r="A75" t="str">
        <f>VLOOKUP(Tabla3[[#This Row],[Producto]],Referencia!$E$2:$F$238,2,0)</f>
        <v>P74</v>
      </c>
      <c r="B75" t="s">
        <v>705</v>
      </c>
      <c r="C75" t="s">
        <v>1087</v>
      </c>
      <c r="D75" t="s">
        <v>1082</v>
      </c>
      <c r="E75" t="s">
        <v>74</v>
      </c>
    </row>
    <row r="76" spans="1:5" x14ac:dyDescent="0.35">
      <c r="A76" t="str">
        <f>VLOOKUP(Tabla3[[#This Row],[Producto]],Referencia!$E$2:$F$238,2,0)</f>
        <v>P75</v>
      </c>
      <c r="B76" t="s">
        <v>566</v>
      </c>
      <c r="C76" t="s">
        <v>1085</v>
      </c>
      <c r="D76" t="s">
        <v>1082</v>
      </c>
      <c r="E76" t="s">
        <v>74</v>
      </c>
    </row>
    <row r="77" spans="1:5" x14ac:dyDescent="0.35">
      <c r="A77" t="str">
        <f>VLOOKUP(Tabla3[[#This Row],[Producto]],Referencia!$E$2:$F$238,2,0)</f>
        <v>P76</v>
      </c>
      <c r="B77" t="s">
        <v>706</v>
      </c>
      <c r="C77" t="s">
        <v>1085</v>
      </c>
      <c r="D77" t="s">
        <v>1072</v>
      </c>
      <c r="E77" t="s">
        <v>1066</v>
      </c>
    </row>
    <row r="78" spans="1:5" x14ac:dyDescent="0.35">
      <c r="A78" t="str">
        <f>VLOOKUP(Tabla3[[#This Row],[Producto]],Referencia!$E$2:$F$238,2,0)</f>
        <v>P77</v>
      </c>
      <c r="B78" t="s">
        <v>707</v>
      </c>
      <c r="C78" t="s">
        <v>1085</v>
      </c>
      <c r="D78" t="s">
        <v>1084</v>
      </c>
      <c r="E78" t="s">
        <v>1069</v>
      </c>
    </row>
    <row r="79" spans="1:5" x14ac:dyDescent="0.35">
      <c r="A79" t="str">
        <f>VLOOKUP(Tabla3[[#This Row],[Producto]],Referencia!$E$2:$F$238,2,0)</f>
        <v>P78</v>
      </c>
      <c r="B79" t="s">
        <v>708</v>
      </c>
      <c r="C79" t="s">
        <v>1085</v>
      </c>
      <c r="D79" t="s">
        <v>1074</v>
      </c>
      <c r="E79" t="s">
        <v>1067</v>
      </c>
    </row>
    <row r="80" spans="1:5" x14ac:dyDescent="0.35">
      <c r="A80" t="str">
        <f>VLOOKUP(Tabla3[[#This Row],[Producto]],Referencia!$E$2:$F$238,2,0)</f>
        <v>P79</v>
      </c>
      <c r="B80" t="s">
        <v>709</v>
      </c>
      <c r="C80" t="s">
        <v>1085</v>
      </c>
      <c r="D80" t="s">
        <v>1072</v>
      </c>
      <c r="E80" t="s">
        <v>1066</v>
      </c>
    </row>
    <row r="81" spans="1:5" x14ac:dyDescent="0.35">
      <c r="A81" t="str">
        <f>VLOOKUP(Tabla3[[#This Row],[Producto]],Referencia!$E$2:$F$238,2,0)</f>
        <v>P80</v>
      </c>
      <c r="B81" t="s">
        <v>710</v>
      </c>
      <c r="C81" t="s">
        <v>1087</v>
      </c>
      <c r="D81" t="s">
        <v>1077</v>
      </c>
      <c r="E81" t="s">
        <v>1078</v>
      </c>
    </row>
    <row r="82" spans="1:5" x14ac:dyDescent="0.35">
      <c r="A82" t="str">
        <f>VLOOKUP(Tabla3[[#This Row],[Producto]],Referencia!$E$2:$F$238,2,0)</f>
        <v>P81</v>
      </c>
      <c r="B82" t="s">
        <v>711</v>
      </c>
      <c r="C82" t="s">
        <v>1085</v>
      </c>
      <c r="D82" t="s">
        <v>1072</v>
      </c>
      <c r="E82" t="s">
        <v>1066</v>
      </c>
    </row>
    <row r="83" spans="1:5" x14ac:dyDescent="0.35">
      <c r="A83" t="str">
        <f>VLOOKUP(Tabla3[[#This Row],[Producto]],Referencia!$E$2:$F$238,2,0)</f>
        <v>P82</v>
      </c>
      <c r="B83" t="s">
        <v>712</v>
      </c>
      <c r="C83" t="s">
        <v>1085</v>
      </c>
      <c r="D83" t="s">
        <v>1077</v>
      </c>
      <c r="E83" t="s">
        <v>1078</v>
      </c>
    </row>
    <row r="84" spans="1:5" x14ac:dyDescent="0.35">
      <c r="A84" t="str">
        <f>VLOOKUP(Tabla3[[#This Row],[Producto]],Referencia!$E$2:$F$238,2,0)</f>
        <v>P83</v>
      </c>
      <c r="B84" t="s">
        <v>713</v>
      </c>
      <c r="C84" t="s">
        <v>1085</v>
      </c>
      <c r="D84" t="s">
        <v>1082</v>
      </c>
      <c r="E84" t="s">
        <v>74</v>
      </c>
    </row>
    <row r="85" spans="1:5" x14ac:dyDescent="0.35">
      <c r="A85" t="str">
        <f>VLOOKUP(Tabla3[[#This Row],[Producto]],Referencia!$E$2:$F$238,2,0)</f>
        <v>P84</v>
      </c>
      <c r="B85" t="s">
        <v>714</v>
      </c>
      <c r="C85" t="s">
        <v>1085</v>
      </c>
      <c r="D85" t="s">
        <v>1072</v>
      </c>
      <c r="E85" t="s">
        <v>1063</v>
      </c>
    </row>
    <row r="86" spans="1:5" x14ac:dyDescent="0.35">
      <c r="A86" t="str">
        <f>VLOOKUP(Tabla3[[#This Row],[Producto]],Referencia!$E$2:$F$238,2,0)</f>
        <v>P85</v>
      </c>
      <c r="B86" t="s">
        <v>715</v>
      </c>
      <c r="C86" t="s">
        <v>1085</v>
      </c>
      <c r="D86" t="s">
        <v>1083</v>
      </c>
      <c r="E86" t="s">
        <v>1078</v>
      </c>
    </row>
    <row r="87" spans="1:5" x14ac:dyDescent="0.35">
      <c r="A87" t="str">
        <f>VLOOKUP(Tabla3[[#This Row],[Producto]],Referencia!$E$2:$F$238,2,0)</f>
        <v>P86</v>
      </c>
      <c r="B87" t="s">
        <v>716</v>
      </c>
      <c r="C87" t="s">
        <v>1085</v>
      </c>
      <c r="D87" t="s">
        <v>1079</v>
      </c>
      <c r="E87" t="s">
        <v>1078</v>
      </c>
    </row>
    <row r="88" spans="1:5" x14ac:dyDescent="0.35">
      <c r="A88" t="str">
        <f>VLOOKUP(Tabla3[[#This Row],[Producto]],Referencia!$E$2:$F$238,2,0)</f>
        <v>P87</v>
      </c>
      <c r="B88" t="s">
        <v>454</v>
      </c>
      <c r="C88" t="s">
        <v>1085</v>
      </c>
      <c r="D88" t="s">
        <v>1074</v>
      </c>
      <c r="E88" t="s">
        <v>1067</v>
      </c>
    </row>
    <row r="89" spans="1:5" x14ac:dyDescent="0.35">
      <c r="A89" t="str">
        <f>VLOOKUP(Tabla3[[#This Row],[Producto]],Referencia!$E$2:$F$238,2,0)</f>
        <v>P88</v>
      </c>
      <c r="B89" t="s">
        <v>630</v>
      </c>
      <c r="C89" t="s">
        <v>1087</v>
      </c>
      <c r="D89" t="s">
        <v>1082</v>
      </c>
      <c r="E89" t="s">
        <v>74</v>
      </c>
    </row>
    <row r="90" spans="1:5" x14ac:dyDescent="0.35">
      <c r="A90" t="str">
        <f>VLOOKUP(Tabla3[[#This Row],[Producto]],Referencia!$E$2:$F$238,2,0)</f>
        <v>P89</v>
      </c>
      <c r="B90" t="s">
        <v>455</v>
      </c>
      <c r="C90" t="s">
        <v>1087</v>
      </c>
      <c r="D90" t="s">
        <v>1070</v>
      </c>
      <c r="E90" t="s">
        <v>1070</v>
      </c>
    </row>
    <row r="91" spans="1:5" x14ac:dyDescent="0.35">
      <c r="A91" t="str">
        <f>VLOOKUP(Tabla3[[#This Row],[Producto]],Referencia!$E$2:$F$238,2,0)</f>
        <v>P90</v>
      </c>
      <c r="B91" t="s">
        <v>717</v>
      </c>
      <c r="C91" t="s">
        <v>1085</v>
      </c>
      <c r="D91" t="s">
        <v>1074</v>
      </c>
      <c r="E91" t="s">
        <v>1067</v>
      </c>
    </row>
    <row r="92" spans="1:5" x14ac:dyDescent="0.35">
      <c r="A92" t="str">
        <f>VLOOKUP(Tabla3[[#This Row],[Producto]],Referencia!$E$2:$F$238,2,0)</f>
        <v>P91</v>
      </c>
      <c r="B92" t="s">
        <v>718</v>
      </c>
      <c r="C92" t="s">
        <v>1085</v>
      </c>
      <c r="D92" t="s">
        <v>1074</v>
      </c>
      <c r="E92" t="s">
        <v>1067</v>
      </c>
    </row>
    <row r="93" spans="1:5" x14ac:dyDescent="0.35">
      <c r="A93" t="str">
        <f>VLOOKUP(Tabla3[[#This Row],[Producto]],Referencia!$E$2:$F$238,2,0)</f>
        <v>P92</v>
      </c>
      <c r="B93" t="s">
        <v>719</v>
      </c>
      <c r="C93" t="s">
        <v>1091</v>
      </c>
      <c r="D93" t="s">
        <v>1074</v>
      </c>
      <c r="E93" t="s">
        <v>1067</v>
      </c>
    </row>
    <row r="94" spans="1:5" x14ac:dyDescent="0.35">
      <c r="A94" t="str">
        <f>VLOOKUP(Tabla3[[#This Row],[Producto]],Referencia!$E$2:$F$238,2,0)</f>
        <v>P93</v>
      </c>
      <c r="B94" t="s">
        <v>720</v>
      </c>
      <c r="C94" t="s">
        <v>1085</v>
      </c>
      <c r="D94" t="s">
        <v>1072</v>
      </c>
      <c r="E94" t="s">
        <v>1063</v>
      </c>
    </row>
    <row r="95" spans="1:5" x14ac:dyDescent="0.35">
      <c r="A95" t="str">
        <f>VLOOKUP(Tabla3[[#This Row],[Producto]],Referencia!$E$2:$F$238,2,0)</f>
        <v>P94</v>
      </c>
      <c r="B95" t="s">
        <v>721</v>
      </c>
      <c r="C95" t="s">
        <v>1085</v>
      </c>
      <c r="D95" t="s">
        <v>1072</v>
      </c>
      <c r="E95" t="s">
        <v>1066</v>
      </c>
    </row>
    <row r="96" spans="1:5" x14ac:dyDescent="0.35">
      <c r="A96" t="str">
        <f>VLOOKUP(Tabla3[[#This Row],[Producto]],Referencia!$E$2:$F$238,2,0)</f>
        <v>P95</v>
      </c>
      <c r="B96" t="s">
        <v>722</v>
      </c>
      <c r="C96" t="s">
        <v>1085</v>
      </c>
      <c r="D96" t="s">
        <v>1074</v>
      </c>
      <c r="E96" t="s">
        <v>1067</v>
      </c>
    </row>
    <row r="97" spans="1:5" x14ac:dyDescent="0.35">
      <c r="A97" t="str">
        <f>VLOOKUP(Tabla3[[#This Row],[Producto]],Referencia!$E$2:$F$238,2,0)</f>
        <v>P96</v>
      </c>
      <c r="B97" t="s">
        <v>538</v>
      </c>
      <c r="C97" t="s">
        <v>1085</v>
      </c>
      <c r="D97" t="s">
        <v>1077</v>
      </c>
      <c r="E97" t="s">
        <v>1078</v>
      </c>
    </row>
    <row r="98" spans="1:5" x14ac:dyDescent="0.35">
      <c r="A98" t="str">
        <f>VLOOKUP(Tabla3[[#This Row],[Producto]],Referencia!$E$2:$F$238,2,0)</f>
        <v>P97</v>
      </c>
      <c r="B98" t="s">
        <v>468</v>
      </c>
      <c r="C98" t="s">
        <v>1085</v>
      </c>
      <c r="D98" t="s">
        <v>1074</v>
      </c>
      <c r="E98" t="s">
        <v>1067</v>
      </c>
    </row>
    <row r="99" spans="1:5" x14ac:dyDescent="0.35">
      <c r="A99" t="str">
        <f>VLOOKUP(Tabla3[[#This Row],[Producto]],Referencia!$E$2:$F$238,2,0)</f>
        <v>P98</v>
      </c>
      <c r="B99" t="s">
        <v>723</v>
      </c>
      <c r="C99" t="s">
        <v>1085</v>
      </c>
      <c r="D99" t="s">
        <v>1072</v>
      </c>
      <c r="E99" t="s">
        <v>1063</v>
      </c>
    </row>
    <row r="100" spans="1:5" x14ac:dyDescent="0.35">
      <c r="A100" t="str">
        <f>VLOOKUP(Tabla3[[#This Row],[Producto]],Referencia!$E$2:$F$238,2,0)</f>
        <v>P99</v>
      </c>
      <c r="B100" t="s">
        <v>470</v>
      </c>
      <c r="C100" t="s">
        <v>1087</v>
      </c>
      <c r="D100" t="s">
        <v>1072</v>
      </c>
      <c r="E100" t="s">
        <v>1063</v>
      </c>
    </row>
    <row r="101" spans="1:5" x14ac:dyDescent="0.35">
      <c r="A101" t="str">
        <f>VLOOKUP(Tabla3[[#This Row],[Producto]],Referencia!$E$2:$F$238,2,0)</f>
        <v>P100</v>
      </c>
      <c r="B101" t="s">
        <v>472</v>
      </c>
      <c r="C101" t="s">
        <v>1085</v>
      </c>
      <c r="D101" t="s">
        <v>1074</v>
      </c>
      <c r="E101" t="s">
        <v>1067</v>
      </c>
    </row>
    <row r="102" spans="1:5" x14ac:dyDescent="0.35">
      <c r="A102" t="str">
        <f>VLOOKUP(Tabla3[[#This Row],[Producto]],Referencia!$E$2:$F$238,2,0)</f>
        <v>P101</v>
      </c>
      <c r="B102" t="s">
        <v>473</v>
      </c>
      <c r="C102" t="s">
        <v>1085</v>
      </c>
      <c r="D102" t="s">
        <v>1074</v>
      </c>
      <c r="E102" t="s">
        <v>1067</v>
      </c>
    </row>
    <row r="103" spans="1:5" x14ac:dyDescent="0.35">
      <c r="A103" t="str">
        <f>VLOOKUP(Tabla3[[#This Row],[Producto]],Referencia!$E$2:$F$238,2,0)</f>
        <v>P102</v>
      </c>
      <c r="B103" t="s">
        <v>724</v>
      </c>
      <c r="C103" t="s">
        <v>1085</v>
      </c>
      <c r="D103" t="s">
        <v>1072</v>
      </c>
      <c r="E103" t="s">
        <v>1064</v>
      </c>
    </row>
    <row r="104" spans="1:5" x14ac:dyDescent="0.35">
      <c r="A104" t="str">
        <f>VLOOKUP(Tabla3[[#This Row],[Producto]],Referencia!$E$2:$F$238,2,0)</f>
        <v>P103</v>
      </c>
      <c r="B104" t="s">
        <v>478</v>
      </c>
      <c r="C104" t="s">
        <v>1085</v>
      </c>
      <c r="D104" t="s">
        <v>1082</v>
      </c>
      <c r="E104" t="s">
        <v>1069</v>
      </c>
    </row>
    <row r="105" spans="1:5" x14ac:dyDescent="0.35">
      <c r="A105" t="str">
        <f>VLOOKUP(Tabla3[[#This Row],[Producto]],Referencia!$E$2:$F$238,2,0)</f>
        <v>P104</v>
      </c>
      <c r="B105" t="s">
        <v>725</v>
      </c>
      <c r="C105" t="s">
        <v>1085</v>
      </c>
      <c r="D105" t="s">
        <v>1074</v>
      </c>
      <c r="E105" t="s">
        <v>1067</v>
      </c>
    </row>
    <row r="106" spans="1:5" x14ac:dyDescent="0.35">
      <c r="A106" t="str">
        <f>VLOOKUP(Tabla3[[#This Row],[Producto]],Referencia!$E$2:$F$238,2,0)</f>
        <v>P105</v>
      </c>
      <c r="B106" t="s">
        <v>726</v>
      </c>
      <c r="C106" t="s">
        <v>1085</v>
      </c>
      <c r="D106" t="s">
        <v>1077</v>
      </c>
      <c r="E106" t="s">
        <v>1075</v>
      </c>
    </row>
    <row r="107" spans="1:5" x14ac:dyDescent="0.35">
      <c r="A107" t="str">
        <f>VLOOKUP(Tabla3[[#This Row],[Producto]],Referencia!$E$2:$F$238,2,0)</f>
        <v>P106</v>
      </c>
      <c r="B107" t="s">
        <v>727</v>
      </c>
      <c r="C107" t="s">
        <v>1085</v>
      </c>
      <c r="D107" t="s">
        <v>1077</v>
      </c>
      <c r="E107" t="s">
        <v>1075</v>
      </c>
    </row>
    <row r="108" spans="1:5" x14ac:dyDescent="0.35">
      <c r="A108" t="str">
        <f>VLOOKUP(Tabla3[[#This Row],[Producto]],Referencia!$E$2:$F$238,2,0)</f>
        <v>P107</v>
      </c>
      <c r="B108" t="s">
        <v>728</v>
      </c>
      <c r="C108" t="s">
        <v>1085</v>
      </c>
      <c r="D108" t="s">
        <v>1072</v>
      </c>
      <c r="E108" t="s">
        <v>1063</v>
      </c>
    </row>
    <row r="109" spans="1:5" x14ac:dyDescent="0.35">
      <c r="A109" t="str">
        <f>VLOOKUP(Tabla3[[#This Row],[Producto]],Referencia!$E$2:$F$238,2,0)</f>
        <v>P108</v>
      </c>
      <c r="B109" t="s">
        <v>729</v>
      </c>
      <c r="C109" t="s">
        <v>1085</v>
      </c>
      <c r="D109" t="s">
        <v>1077</v>
      </c>
      <c r="E109" t="s">
        <v>1075</v>
      </c>
    </row>
    <row r="110" spans="1:5" x14ac:dyDescent="0.35">
      <c r="A110" t="str">
        <f>VLOOKUP(Tabla3[[#This Row],[Producto]],Referencia!$E$2:$F$238,2,0)</f>
        <v>P109</v>
      </c>
      <c r="B110" t="s">
        <v>730</v>
      </c>
      <c r="C110" t="s">
        <v>1085</v>
      </c>
      <c r="D110" t="s">
        <v>1072</v>
      </c>
      <c r="E110" t="s">
        <v>1066</v>
      </c>
    </row>
    <row r="111" spans="1:5" x14ac:dyDescent="0.35">
      <c r="A111" t="str">
        <f>VLOOKUP(Tabla3[[#This Row],[Producto]],Referencia!$E$2:$F$238,2,0)</f>
        <v>P110</v>
      </c>
      <c r="B111" t="s">
        <v>731</v>
      </c>
      <c r="C111" t="s">
        <v>1091</v>
      </c>
      <c r="D111" t="s">
        <v>1074</v>
      </c>
      <c r="E111" t="s">
        <v>1067</v>
      </c>
    </row>
    <row r="112" spans="1:5" x14ac:dyDescent="0.35">
      <c r="A112" t="str">
        <f>VLOOKUP(Tabla3[[#This Row],[Producto]],Referencia!$E$2:$F$238,2,0)</f>
        <v>P111</v>
      </c>
      <c r="B112" t="s">
        <v>536</v>
      </c>
      <c r="C112" t="s">
        <v>1085</v>
      </c>
      <c r="D112" t="s">
        <v>1072</v>
      </c>
      <c r="E112" t="s">
        <v>1063</v>
      </c>
    </row>
    <row r="113" spans="1:5" x14ac:dyDescent="0.35">
      <c r="A113" t="str">
        <f>VLOOKUP(Tabla3[[#This Row],[Producto]],Referencia!$E$2:$F$238,2,0)</f>
        <v>P112</v>
      </c>
      <c r="B113" t="s">
        <v>732</v>
      </c>
      <c r="C113" t="s">
        <v>1085</v>
      </c>
      <c r="D113" t="s">
        <v>1073</v>
      </c>
      <c r="E113" t="s">
        <v>1063</v>
      </c>
    </row>
    <row r="114" spans="1:5" x14ac:dyDescent="0.35">
      <c r="A114" t="str">
        <f>VLOOKUP(Tabla3[[#This Row],[Producto]],Referencia!$E$2:$F$238,2,0)</f>
        <v>P113</v>
      </c>
      <c r="B114" t="s">
        <v>733</v>
      </c>
      <c r="C114" t="s">
        <v>1085</v>
      </c>
      <c r="D114" t="s">
        <v>1072</v>
      </c>
      <c r="E114" t="s">
        <v>1063</v>
      </c>
    </row>
    <row r="115" spans="1:5" x14ac:dyDescent="0.35">
      <c r="A115" t="str">
        <f>VLOOKUP(Tabla3[[#This Row],[Producto]],Referencia!$E$2:$F$238,2,0)</f>
        <v>P114</v>
      </c>
      <c r="B115" t="s">
        <v>734</v>
      </c>
      <c r="C115" t="s">
        <v>1085</v>
      </c>
      <c r="D115" t="s">
        <v>1082</v>
      </c>
      <c r="E115" t="s">
        <v>1078</v>
      </c>
    </row>
    <row r="116" spans="1:5" x14ac:dyDescent="0.35">
      <c r="A116" t="str">
        <f>VLOOKUP(Tabla3[[#This Row],[Producto]],Referencia!$E$2:$F$238,2,0)</f>
        <v>P115</v>
      </c>
      <c r="B116" t="s">
        <v>735</v>
      </c>
      <c r="C116" t="s">
        <v>1085</v>
      </c>
      <c r="D116" t="s">
        <v>1072</v>
      </c>
      <c r="E116" t="s">
        <v>1063</v>
      </c>
    </row>
    <row r="117" spans="1:5" x14ac:dyDescent="0.35">
      <c r="A117" t="str">
        <f>VLOOKUP(Tabla3[[#This Row],[Producto]],Referencia!$E$2:$F$238,2,0)</f>
        <v>P116</v>
      </c>
      <c r="B117" t="s">
        <v>736</v>
      </c>
      <c r="C117" t="s">
        <v>1085</v>
      </c>
      <c r="D117" t="s">
        <v>1072</v>
      </c>
      <c r="E117" t="s">
        <v>1063</v>
      </c>
    </row>
    <row r="118" spans="1:5" x14ac:dyDescent="0.35">
      <c r="A118" t="str">
        <f>VLOOKUP(Tabla3[[#This Row],[Producto]],Referencia!$E$2:$F$238,2,0)</f>
        <v>P117</v>
      </c>
      <c r="B118" t="s">
        <v>737</v>
      </c>
      <c r="C118" t="s">
        <v>1085</v>
      </c>
      <c r="D118" t="s">
        <v>1074</v>
      </c>
      <c r="E118" t="s">
        <v>1067</v>
      </c>
    </row>
    <row r="119" spans="1:5" x14ac:dyDescent="0.35">
      <c r="A119" t="str">
        <f>VLOOKUP(Tabla3[[#This Row],[Producto]],Referencia!$E$2:$F$238,2,0)</f>
        <v>P118</v>
      </c>
      <c r="B119" t="s">
        <v>738</v>
      </c>
      <c r="C119" t="s">
        <v>1085</v>
      </c>
      <c r="D119" t="s">
        <v>1074</v>
      </c>
      <c r="E119" t="s">
        <v>1067</v>
      </c>
    </row>
    <row r="120" spans="1:5" x14ac:dyDescent="0.35">
      <c r="A120" t="str">
        <f>VLOOKUP(Tabla3[[#This Row],[Producto]],Referencia!$E$2:$F$238,2,0)</f>
        <v>P119</v>
      </c>
      <c r="B120" t="s">
        <v>739</v>
      </c>
      <c r="C120" t="s">
        <v>1090</v>
      </c>
      <c r="D120" t="s">
        <v>1072</v>
      </c>
      <c r="E120" t="s">
        <v>1063</v>
      </c>
    </row>
    <row r="121" spans="1:5" x14ac:dyDescent="0.35">
      <c r="A121" t="str">
        <f>VLOOKUP(Tabla3[[#This Row],[Producto]],Referencia!$E$2:$F$238,2,0)</f>
        <v>P120</v>
      </c>
      <c r="B121" t="s">
        <v>740</v>
      </c>
      <c r="C121" t="s">
        <v>1085</v>
      </c>
      <c r="D121" t="s">
        <v>1072</v>
      </c>
      <c r="E121" t="s">
        <v>1063</v>
      </c>
    </row>
    <row r="122" spans="1:5" x14ac:dyDescent="0.35">
      <c r="A122" t="str">
        <f>VLOOKUP(Tabla3[[#This Row],[Producto]],Referencia!$E$2:$F$238,2,0)</f>
        <v>P121</v>
      </c>
      <c r="B122" t="s">
        <v>741</v>
      </c>
      <c r="C122" t="s">
        <v>1085</v>
      </c>
      <c r="D122" t="s">
        <v>1082</v>
      </c>
      <c r="E122" t="s">
        <v>1068</v>
      </c>
    </row>
    <row r="123" spans="1:5" x14ac:dyDescent="0.35">
      <c r="A123" t="str">
        <f>VLOOKUP(Tabla3[[#This Row],[Producto]],Referencia!$E$2:$F$238,2,0)</f>
        <v>P122</v>
      </c>
      <c r="B123" t="s">
        <v>742</v>
      </c>
      <c r="C123" t="s">
        <v>1085</v>
      </c>
      <c r="D123" t="s">
        <v>1082</v>
      </c>
      <c r="E123" t="s">
        <v>1068</v>
      </c>
    </row>
    <row r="124" spans="1:5" x14ac:dyDescent="0.35">
      <c r="A124" t="str">
        <f>VLOOKUP(Tabla3[[#This Row],[Producto]],Referencia!$E$2:$F$238,2,0)</f>
        <v>P123</v>
      </c>
      <c r="B124" t="s">
        <v>743</v>
      </c>
      <c r="C124" t="s">
        <v>1085</v>
      </c>
      <c r="D124" t="s">
        <v>1074</v>
      </c>
      <c r="E124" t="s">
        <v>1067</v>
      </c>
    </row>
    <row r="125" spans="1:5" x14ac:dyDescent="0.35">
      <c r="A125" t="str">
        <f>VLOOKUP(Tabla3[[#This Row],[Producto]],Referencia!$E$2:$F$238,2,0)</f>
        <v>P124</v>
      </c>
      <c r="B125" t="s">
        <v>503</v>
      </c>
      <c r="C125" t="s">
        <v>1085</v>
      </c>
      <c r="D125" t="s">
        <v>1083</v>
      </c>
      <c r="E125" t="s">
        <v>1068</v>
      </c>
    </row>
    <row r="126" spans="1:5" x14ac:dyDescent="0.35">
      <c r="A126" t="str">
        <f>VLOOKUP(Tabla3[[#This Row],[Producto]],Referencia!$E$2:$F$238,2,0)</f>
        <v>P125</v>
      </c>
      <c r="B126" t="s">
        <v>744</v>
      </c>
      <c r="C126" t="s">
        <v>1085</v>
      </c>
      <c r="D126" t="s">
        <v>1082</v>
      </c>
      <c r="E126" t="s">
        <v>1068</v>
      </c>
    </row>
    <row r="127" spans="1:5" x14ac:dyDescent="0.35">
      <c r="A127" t="str">
        <f>VLOOKUP(Tabla3[[#This Row],[Producto]],Referencia!$E$2:$F$238,2,0)</f>
        <v>P126</v>
      </c>
      <c r="B127" t="s">
        <v>745</v>
      </c>
      <c r="C127" t="s">
        <v>1085</v>
      </c>
      <c r="D127" t="s">
        <v>1073</v>
      </c>
      <c r="E127" t="s">
        <v>1063</v>
      </c>
    </row>
    <row r="128" spans="1:5" x14ac:dyDescent="0.35">
      <c r="A128" t="str">
        <f>VLOOKUP(Tabla3[[#This Row],[Producto]],Referencia!$E$2:$F$238,2,0)</f>
        <v>P127</v>
      </c>
      <c r="B128" t="s">
        <v>746</v>
      </c>
      <c r="C128" t="s">
        <v>1091</v>
      </c>
      <c r="D128" t="s">
        <v>1077</v>
      </c>
      <c r="E128" t="s">
        <v>1078</v>
      </c>
    </row>
    <row r="129" spans="1:5" x14ac:dyDescent="0.35">
      <c r="A129" t="str">
        <f>VLOOKUP(Tabla3[[#This Row],[Producto]],Referencia!$E$2:$F$238,2,0)</f>
        <v>P128</v>
      </c>
      <c r="B129" t="s">
        <v>632</v>
      </c>
      <c r="C129" t="s">
        <v>1085</v>
      </c>
      <c r="D129" t="s">
        <v>1079</v>
      </c>
      <c r="E129" t="s">
        <v>1078</v>
      </c>
    </row>
    <row r="130" spans="1:5" x14ac:dyDescent="0.35">
      <c r="A130" t="str">
        <f>VLOOKUP(Tabla3[[#This Row],[Producto]],Referencia!$E$2:$F$238,2,0)</f>
        <v>P129</v>
      </c>
      <c r="B130" t="s">
        <v>747</v>
      </c>
      <c r="C130" t="s">
        <v>1087</v>
      </c>
      <c r="D130" t="s">
        <v>1086</v>
      </c>
      <c r="E130" t="s">
        <v>1065</v>
      </c>
    </row>
    <row r="131" spans="1:5" x14ac:dyDescent="0.35">
      <c r="A131" t="str">
        <f>VLOOKUP(Tabla3[[#This Row],[Producto]],Referencia!$E$2:$F$238,2,0)</f>
        <v>P130</v>
      </c>
      <c r="B131" t="s">
        <v>748</v>
      </c>
      <c r="C131" t="s">
        <v>1089</v>
      </c>
      <c r="D131" t="s">
        <v>1072</v>
      </c>
      <c r="E131" t="s">
        <v>1063</v>
      </c>
    </row>
    <row r="132" spans="1:5" x14ac:dyDescent="0.35">
      <c r="A132" t="str">
        <f>VLOOKUP(Tabla3[[#This Row],[Producto]],Referencia!$E$2:$F$238,2,0)</f>
        <v>P131</v>
      </c>
      <c r="B132" t="s">
        <v>749</v>
      </c>
      <c r="C132" t="s">
        <v>1085</v>
      </c>
      <c r="D132" t="s">
        <v>1082</v>
      </c>
      <c r="E132" t="s">
        <v>1068</v>
      </c>
    </row>
    <row r="133" spans="1:5" x14ac:dyDescent="0.35">
      <c r="A133" t="str">
        <f>VLOOKUP(Tabla3[[#This Row],[Producto]],Referencia!$E$2:$F$238,2,0)</f>
        <v>P132</v>
      </c>
      <c r="B133" t="s">
        <v>750</v>
      </c>
      <c r="C133" t="s">
        <v>1085</v>
      </c>
      <c r="D133" t="s">
        <v>1074</v>
      </c>
      <c r="E133" t="s">
        <v>1067</v>
      </c>
    </row>
    <row r="134" spans="1:5" x14ac:dyDescent="0.35">
      <c r="A134" t="str">
        <f>VLOOKUP(Tabla3[[#This Row],[Producto]],Referencia!$E$2:$F$238,2,0)</f>
        <v>P133</v>
      </c>
      <c r="B134" t="s">
        <v>515</v>
      </c>
      <c r="C134" t="s">
        <v>1090</v>
      </c>
      <c r="D134" t="s">
        <v>1083</v>
      </c>
      <c r="E134" t="s">
        <v>1078</v>
      </c>
    </row>
    <row r="135" spans="1:5" x14ac:dyDescent="0.35">
      <c r="A135" t="str">
        <f>VLOOKUP(Tabla3[[#This Row],[Producto]],Referencia!$E$2:$F$238,2,0)</f>
        <v>P134</v>
      </c>
      <c r="B135" t="s">
        <v>751</v>
      </c>
      <c r="C135" t="s">
        <v>1085</v>
      </c>
      <c r="D135" t="s">
        <v>1083</v>
      </c>
      <c r="E135" t="s">
        <v>1078</v>
      </c>
    </row>
    <row r="136" spans="1:5" x14ac:dyDescent="0.35">
      <c r="A136" t="str">
        <f>VLOOKUP(Tabla3[[#This Row],[Producto]],Referencia!$E$2:$F$238,2,0)</f>
        <v>P135</v>
      </c>
      <c r="B136" t="s">
        <v>752</v>
      </c>
      <c r="C136" t="s">
        <v>1085</v>
      </c>
      <c r="D136" t="s">
        <v>1072</v>
      </c>
      <c r="E136" t="s">
        <v>1063</v>
      </c>
    </row>
    <row r="137" spans="1:5" x14ac:dyDescent="0.35">
      <c r="A137" t="str">
        <f>VLOOKUP(Tabla3[[#This Row],[Producto]],Referencia!$E$2:$F$238,2,0)</f>
        <v>P136</v>
      </c>
      <c r="B137" t="s">
        <v>753</v>
      </c>
      <c r="C137" t="s">
        <v>1085</v>
      </c>
      <c r="D137" t="s">
        <v>1082</v>
      </c>
      <c r="E137" t="s">
        <v>1078</v>
      </c>
    </row>
    <row r="138" spans="1:5" x14ac:dyDescent="0.35">
      <c r="A138" t="str">
        <f>VLOOKUP(Tabla3[[#This Row],[Producto]],Referencia!$E$2:$F$238,2,0)</f>
        <v>P137</v>
      </c>
      <c r="B138" t="s">
        <v>754</v>
      </c>
      <c r="C138" t="s">
        <v>1087</v>
      </c>
      <c r="D138" t="s">
        <v>1082</v>
      </c>
      <c r="E138" t="s">
        <v>31</v>
      </c>
    </row>
    <row r="139" spans="1:5" x14ac:dyDescent="0.35">
      <c r="A139" t="str">
        <f>VLOOKUP(Tabla3[[#This Row],[Producto]],Referencia!$E$2:$F$238,2,0)</f>
        <v>P138</v>
      </c>
      <c r="B139" t="s">
        <v>755</v>
      </c>
      <c r="C139" t="s">
        <v>1085</v>
      </c>
      <c r="D139" t="s">
        <v>1082</v>
      </c>
      <c r="E139" t="s">
        <v>1078</v>
      </c>
    </row>
    <row r="140" spans="1:5" x14ac:dyDescent="0.35">
      <c r="A140" t="str">
        <f>VLOOKUP(Tabla3[[#This Row],[Producto]],Referencia!$E$2:$F$238,2,0)</f>
        <v>P139</v>
      </c>
      <c r="B140" t="s">
        <v>756</v>
      </c>
      <c r="C140" t="s">
        <v>1091</v>
      </c>
      <c r="D140" t="s">
        <v>1074</v>
      </c>
      <c r="E140" t="s">
        <v>1067</v>
      </c>
    </row>
    <row r="141" spans="1:5" x14ac:dyDescent="0.35">
      <c r="A141" t="str">
        <f>VLOOKUP(Tabla3[[#This Row],[Producto]],Referencia!$E$2:$F$238,2,0)</f>
        <v>P140</v>
      </c>
      <c r="B141" t="s">
        <v>757</v>
      </c>
      <c r="C141" t="s">
        <v>1085</v>
      </c>
      <c r="D141" t="s">
        <v>1074</v>
      </c>
      <c r="E141" t="s">
        <v>1067</v>
      </c>
    </row>
    <row r="142" spans="1:5" x14ac:dyDescent="0.35">
      <c r="A142" t="str">
        <f>VLOOKUP(Tabla3[[#This Row],[Producto]],Referencia!$E$2:$F$238,2,0)</f>
        <v>P141</v>
      </c>
      <c r="B142" t="s">
        <v>758</v>
      </c>
      <c r="C142" t="s">
        <v>1085</v>
      </c>
      <c r="D142" t="s">
        <v>1082</v>
      </c>
      <c r="E142" t="s">
        <v>74</v>
      </c>
    </row>
    <row r="143" spans="1:5" x14ac:dyDescent="0.35">
      <c r="A143" t="str">
        <f>VLOOKUP(Tabla3[[#This Row],[Producto]],Referencia!$E$2:$F$238,2,0)</f>
        <v>P142</v>
      </c>
      <c r="B143" t="s">
        <v>759</v>
      </c>
      <c r="C143" t="s">
        <v>1087</v>
      </c>
      <c r="D143" t="s">
        <v>1072</v>
      </c>
      <c r="E143" t="s">
        <v>1063</v>
      </c>
    </row>
    <row r="144" spans="1:5" x14ac:dyDescent="0.35">
      <c r="A144" t="str">
        <f>VLOOKUP(Tabla3[[#This Row],[Producto]],Referencia!$E$2:$F$238,2,0)</f>
        <v>P143</v>
      </c>
      <c r="B144" t="s">
        <v>760</v>
      </c>
      <c r="C144" t="s">
        <v>1085</v>
      </c>
      <c r="D144" t="s">
        <v>1072</v>
      </c>
      <c r="E144" t="s">
        <v>1066</v>
      </c>
    </row>
    <row r="145" spans="1:5" x14ac:dyDescent="0.35">
      <c r="A145" t="str">
        <f>VLOOKUP(Tabla3[[#This Row],[Producto]],Referencia!$E$2:$F$238,2,0)</f>
        <v>P144</v>
      </c>
      <c r="B145" t="s">
        <v>761</v>
      </c>
      <c r="C145" t="s">
        <v>1085</v>
      </c>
      <c r="D145" t="s">
        <v>1077</v>
      </c>
      <c r="E145" t="s">
        <v>1078</v>
      </c>
    </row>
    <row r="146" spans="1:5" x14ac:dyDescent="0.35">
      <c r="A146" t="str">
        <f>VLOOKUP(Tabla3[[#This Row],[Producto]],Referencia!$E$2:$F$238,2,0)</f>
        <v>P145</v>
      </c>
      <c r="B146" t="s">
        <v>762</v>
      </c>
      <c r="C146" t="s">
        <v>1085</v>
      </c>
      <c r="D146" t="s">
        <v>1072</v>
      </c>
      <c r="E146" t="s">
        <v>1066</v>
      </c>
    </row>
    <row r="147" spans="1:5" x14ac:dyDescent="0.35">
      <c r="A147" t="str">
        <f>VLOOKUP(Tabla3[[#This Row],[Producto]],Referencia!$E$2:$F$238,2,0)</f>
        <v>P146</v>
      </c>
      <c r="B147" t="s">
        <v>763</v>
      </c>
      <c r="C147" t="s">
        <v>1085</v>
      </c>
      <c r="D147" t="s">
        <v>1077</v>
      </c>
      <c r="E147" t="s">
        <v>1078</v>
      </c>
    </row>
    <row r="148" spans="1:5" x14ac:dyDescent="0.35">
      <c r="A148" t="str">
        <f>VLOOKUP(Tabla3[[#This Row],[Producto]],Referencia!$E$2:$F$238,2,0)</f>
        <v>P147</v>
      </c>
      <c r="B148" t="s">
        <v>764</v>
      </c>
      <c r="C148" t="s">
        <v>1085</v>
      </c>
      <c r="D148" t="s">
        <v>1074</v>
      </c>
      <c r="E148" t="s">
        <v>1067</v>
      </c>
    </row>
    <row r="149" spans="1:5" x14ac:dyDescent="0.35">
      <c r="A149" t="str">
        <f>VLOOKUP(Tabla3[[#This Row],[Producto]],Referencia!$E$2:$F$238,2,0)</f>
        <v>P148</v>
      </c>
      <c r="B149" t="s">
        <v>765</v>
      </c>
      <c r="C149" t="s">
        <v>1085</v>
      </c>
      <c r="D149" t="s">
        <v>1082</v>
      </c>
      <c r="E149" t="s">
        <v>1078</v>
      </c>
    </row>
    <row r="150" spans="1:5" x14ac:dyDescent="0.35">
      <c r="A150" t="str">
        <f>VLOOKUP(Tabla3[[#This Row],[Producto]],Referencia!$E$2:$F$238,2,0)</f>
        <v>P149</v>
      </c>
      <c r="B150" t="s">
        <v>766</v>
      </c>
      <c r="C150" t="s">
        <v>1085</v>
      </c>
      <c r="D150" t="s">
        <v>1082</v>
      </c>
      <c r="E150" t="s">
        <v>1078</v>
      </c>
    </row>
    <row r="151" spans="1:5" x14ac:dyDescent="0.35">
      <c r="A151" t="str">
        <f>VLOOKUP(Tabla3[[#This Row],[Producto]],Referencia!$E$2:$F$238,2,0)</f>
        <v>P150</v>
      </c>
      <c r="B151" t="s">
        <v>767</v>
      </c>
      <c r="C151" t="s">
        <v>1085</v>
      </c>
      <c r="D151" t="s">
        <v>1072</v>
      </c>
      <c r="E151" t="s">
        <v>1066</v>
      </c>
    </row>
    <row r="152" spans="1:5" x14ac:dyDescent="0.35">
      <c r="A152" t="str">
        <f>VLOOKUP(Tabla3[[#This Row],[Producto]],Referencia!$E$2:$F$238,2,0)</f>
        <v>P151</v>
      </c>
      <c r="B152" t="s">
        <v>768</v>
      </c>
      <c r="C152" t="s">
        <v>1085</v>
      </c>
      <c r="D152" t="s">
        <v>1074</v>
      </c>
      <c r="E152" t="s">
        <v>1067</v>
      </c>
    </row>
    <row r="153" spans="1:5" x14ac:dyDescent="0.35">
      <c r="A153" t="str">
        <f>VLOOKUP(Tabla3[[#This Row],[Producto]],Referencia!$E$2:$F$238,2,0)</f>
        <v>P152</v>
      </c>
      <c r="B153" t="s">
        <v>769</v>
      </c>
      <c r="C153" t="s">
        <v>1091</v>
      </c>
      <c r="D153" t="s">
        <v>1072</v>
      </c>
      <c r="E153" t="s">
        <v>1066</v>
      </c>
    </row>
    <row r="154" spans="1:5" x14ac:dyDescent="0.35">
      <c r="A154" t="str">
        <f>VLOOKUP(Tabla3[[#This Row],[Producto]],Referencia!$E$2:$F$238,2,0)</f>
        <v>P153</v>
      </c>
      <c r="B154" t="s">
        <v>634</v>
      </c>
      <c r="C154" t="s">
        <v>1091</v>
      </c>
      <c r="D154" t="s">
        <v>1074</v>
      </c>
      <c r="E154" t="s">
        <v>1067</v>
      </c>
    </row>
    <row r="155" spans="1:5" x14ac:dyDescent="0.35">
      <c r="A155" t="str">
        <f>VLOOKUP(Tabla3[[#This Row],[Producto]],Referencia!$E$2:$F$238,2,0)</f>
        <v>P154</v>
      </c>
      <c r="B155" t="s">
        <v>540</v>
      </c>
      <c r="C155" t="s">
        <v>1085</v>
      </c>
      <c r="D155" t="s">
        <v>1074</v>
      </c>
      <c r="E155" t="s">
        <v>1067</v>
      </c>
    </row>
    <row r="156" spans="1:5" x14ac:dyDescent="0.35">
      <c r="A156" t="str">
        <f>VLOOKUP(Tabla3[[#This Row],[Producto]],Referencia!$E$2:$F$238,2,0)</f>
        <v>P155</v>
      </c>
      <c r="B156" t="s">
        <v>770</v>
      </c>
      <c r="C156" t="s">
        <v>1085</v>
      </c>
      <c r="D156" t="s">
        <v>1072</v>
      </c>
      <c r="E156" t="s">
        <v>1063</v>
      </c>
    </row>
    <row r="157" spans="1:5" x14ac:dyDescent="0.35">
      <c r="A157" t="str">
        <f>VLOOKUP(Tabla3[[#This Row],[Producto]],Referencia!$E$2:$F$238,2,0)</f>
        <v>P156</v>
      </c>
      <c r="B157" t="s">
        <v>771</v>
      </c>
      <c r="C157" t="s">
        <v>1087</v>
      </c>
      <c r="D157" t="s">
        <v>1086</v>
      </c>
      <c r="E157" t="s">
        <v>1065</v>
      </c>
    </row>
    <row r="158" spans="1:5" x14ac:dyDescent="0.35">
      <c r="A158" t="str">
        <f>VLOOKUP(Tabla3[[#This Row],[Producto]],Referencia!$E$2:$F$238,2,0)</f>
        <v>P157</v>
      </c>
      <c r="B158" t="s">
        <v>772</v>
      </c>
      <c r="C158" t="s">
        <v>1088</v>
      </c>
      <c r="D158" t="s">
        <v>1072</v>
      </c>
      <c r="E158" t="s">
        <v>1064</v>
      </c>
    </row>
    <row r="159" spans="1:5" x14ac:dyDescent="0.35">
      <c r="A159" t="str">
        <f>VLOOKUP(Tabla3[[#This Row],[Producto]],Referencia!$E$2:$F$238,2,0)</f>
        <v>P158</v>
      </c>
      <c r="B159" t="s">
        <v>773</v>
      </c>
      <c r="C159" t="s">
        <v>1085</v>
      </c>
      <c r="D159" t="s">
        <v>1077</v>
      </c>
      <c r="E159" t="s">
        <v>1078</v>
      </c>
    </row>
    <row r="160" spans="1:5" x14ac:dyDescent="0.35">
      <c r="A160" t="str">
        <f>VLOOKUP(Tabla3[[#This Row],[Producto]],Referencia!$E$2:$F$238,2,0)</f>
        <v>P159</v>
      </c>
      <c r="B160" t="s">
        <v>774</v>
      </c>
      <c r="C160" t="s">
        <v>1085</v>
      </c>
      <c r="D160" t="s">
        <v>1082</v>
      </c>
      <c r="E160" t="s">
        <v>1078</v>
      </c>
    </row>
    <row r="161" spans="1:5" x14ac:dyDescent="0.35">
      <c r="A161" t="str">
        <f>VLOOKUP(Tabla3[[#This Row],[Producto]],Referencia!$E$2:$F$238,2,0)</f>
        <v>P160</v>
      </c>
      <c r="B161" t="s">
        <v>546</v>
      </c>
      <c r="C161" t="s">
        <v>1085</v>
      </c>
      <c r="D161" t="s">
        <v>1072</v>
      </c>
      <c r="E161" t="s">
        <v>1064</v>
      </c>
    </row>
    <row r="162" spans="1:5" x14ac:dyDescent="0.35">
      <c r="A162" t="str">
        <f>VLOOKUP(Tabla3[[#This Row],[Producto]],Referencia!$E$2:$F$238,2,0)</f>
        <v>P161</v>
      </c>
      <c r="B162" t="s">
        <v>547</v>
      </c>
      <c r="C162" t="s">
        <v>1085</v>
      </c>
      <c r="D162" t="s">
        <v>1082</v>
      </c>
      <c r="E162" t="s">
        <v>1068</v>
      </c>
    </row>
    <row r="163" spans="1:5" x14ac:dyDescent="0.35">
      <c r="A163" t="str">
        <f>VLOOKUP(Tabla3[[#This Row],[Producto]],Referencia!$E$2:$F$238,2,0)</f>
        <v>P162</v>
      </c>
      <c r="B163" t="s">
        <v>548</v>
      </c>
      <c r="C163" t="s">
        <v>1085</v>
      </c>
      <c r="D163" t="s">
        <v>1082</v>
      </c>
      <c r="E163" t="s">
        <v>1068</v>
      </c>
    </row>
    <row r="164" spans="1:5" x14ac:dyDescent="0.35">
      <c r="A164" t="str">
        <f>VLOOKUP(Tabla3[[#This Row],[Producto]],Referencia!$E$2:$F$238,2,0)</f>
        <v>P163</v>
      </c>
      <c r="B164" t="s">
        <v>775</v>
      </c>
      <c r="C164" t="s">
        <v>1085</v>
      </c>
      <c r="D164" t="s">
        <v>1074</v>
      </c>
      <c r="E164" t="s">
        <v>1067</v>
      </c>
    </row>
    <row r="165" spans="1:5" x14ac:dyDescent="0.35">
      <c r="A165" t="str">
        <f>VLOOKUP(Tabla3[[#This Row],[Producto]],Referencia!$E$2:$F$238,2,0)</f>
        <v>P164</v>
      </c>
      <c r="B165" t="s">
        <v>776</v>
      </c>
      <c r="C165" t="s">
        <v>1085</v>
      </c>
      <c r="D165" t="s">
        <v>1072</v>
      </c>
      <c r="E165" t="s">
        <v>1063</v>
      </c>
    </row>
    <row r="166" spans="1:5" x14ac:dyDescent="0.35">
      <c r="A166" t="str">
        <f>VLOOKUP(Tabla3[[#This Row],[Producto]],Referencia!$E$2:$F$238,2,0)</f>
        <v>P165</v>
      </c>
      <c r="B166" t="s">
        <v>777</v>
      </c>
      <c r="C166" t="s">
        <v>1085</v>
      </c>
      <c r="D166" t="s">
        <v>1077</v>
      </c>
      <c r="E166" t="s">
        <v>1078</v>
      </c>
    </row>
    <row r="167" spans="1:5" x14ac:dyDescent="0.35">
      <c r="A167" t="str">
        <f>VLOOKUP(Tabla3[[#This Row],[Producto]],Referencia!$E$2:$F$238,2,0)</f>
        <v>P166</v>
      </c>
      <c r="B167" t="s">
        <v>778</v>
      </c>
      <c r="C167" t="s">
        <v>1085</v>
      </c>
      <c r="D167" t="s">
        <v>1072</v>
      </c>
      <c r="E167" t="s">
        <v>1063</v>
      </c>
    </row>
    <row r="168" spans="1:5" x14ac:dyDescent="0.35">
      <c r="A168" t="str">
        <f>VLOOKUP(Tabla3[[#This Row],[Producto]],Referencia!$E$2:$F$238,2,0)</f>
        <v>P167</v>
      </c>
      <c r="B168" t="s">
        <v>779</v>
      </c>
      <c r="C168" t="s">
        <v>1085</v>
      </c>
      <c r="D168" t="s">
        <v>1072</v>
      </c>
      <c r="E168" t="s">
        <v>1063</v>
      </c>
    </row>
    <row r="169" spans="1:5" x14ac:dyDescent="0.35">
      <c r="A169" t="str">
        <f>VLOOKUP(Tabla3[[#This Row],[Producto]],Referencia!$E$2:$F$238,2,0)</f>
        <v>P168</v>
      </c>
      <c r="B169" t="s">
        <v>554</v>
      </c>
      <c r="C169" t="s">
        <v>1085</v>
      </c>
      <c r="D169" t="s">
        <v>1076</v>
      </c>
      <c r="E169" t="s">
        <v>1075</v>
      </c>
    </row>
    <row r="170" spans="1:5" x14ac:dyDescent="0.35">
      <c r="A170" t="str">
        <f>VLOOKUP(Tabla3[[#This Row],[Producto]],Referencia!$E$2:$F$238,2,0)</f>
        <v>P169</v>
      </c>
      <c r="B170" t="s">
        <v>780</v>
      </c>
      <c r="C170" t="s">
        <v>1085</v>
      </c>
      <c r="D170" t="s">
        <v>1072</v>
      </c>
      <c r="E170" t="s">
        <v>1063</v>
      </c>
    </row>
    <row r="171" spans="1:5" x14ac:dyDescent="0.35">
      <c r="A171" t="str">
        <f>VLOOKUP(Tabla3[[#This Row],[Producto]],Referencia!$E$2:$F$238,2,0)</f>
        <v>P170</v>
      </c>
      <c r="B171" t="s">
        <v>556</v>
      </c>
      <c r="C171" t="s">
        <v>1085</v>
      </c>
      <c r="D171" t="s">
        <v>1072</v>
      </c>
      <c r="E171" t="s">
        <v>1063</v>
      </c>
    </row>
    <row r="172" spans="1:5" x14ac:dyDescent="0.35">
      <c r="A172" t="str">
        <f>VLOOKUP(Tabla3[[#This Row],[Producto]],Referencia!$E$2:$F$238,2,0)</f>
        <v>P171</v>
      </c>
      <c r="B172" t="s">
        <v>781</v>
      </c>
      <c r="C172" t="s">
        <v>1085</v>
      </c>
      <c r="D172" t="s">
        <v>1072</v>
      </c>
      <c r="E172" t="s">
        <v>1063</v>
      </c>
    </row>
    <row r="173" spans="1:5" x14ac:dyDescent="0.35">
      <c r="A173" t="str">
        <f>VLOOKUP(Tabla3[[#This Row],[Producto]],Referencia!$E$2:$F$238,2,0)</f>
        <v>P172</v>
      </c>
      <c r="B173" t="s">
        <v>782</v>
      </c>
      <c r="C173" t="s">
        <v>1085</v>
      </c>
      <c r="D173" t="s">
        <v>1072</v>
      </c>
      <c r="E173" t="s">
        <v>1063</v>
      </c>
    </row>
    <row r="174" spans="1:5" x14ac:dyDescent="0.35">
      <c r="A174" t="str">
        <f>VLOOKUP(Tabla3[[#This Row],[Producto]],Referencia!$E$2:$F$238,2,0)</f>
        <v>P173</v>
      </c>
      <c r="B174" t="s">
        <v>783</v>
      </c>
      <c r="C174" t="s">
        <v>1085</v>
      </c>
      <c r="D174" t="s">
        <v>1072</v>
      </c>
      <c r="E174" t="s">
        <v>1064</v>
      </c>
    </row>
    <row r="175" spans="1:5" x14ac:dyDescent="0.35">
      <c r="A175" t="str">
        <f>VLOOKUP(Tabla3[[#This Row],[Producto]],Referencia!$E$2:$F$238,2,0)</f>
        <v>P174</v>
      </c>
      <c r="B175" t="s">
        <v>784</v>
      </c>
      <c r="C175" t="s">
        <v>1089</v>
      </c>
      <c r="D175" t="s">
        <v>1082</v>
      </c>
      <c r="E175" t="s">
        <v>74</v>
      </c>
    </row>
    <row r="176" spans="1:5" x14ac:dyDescent="0.35">
      <c r="A176" t="str">
        <f>VLOOKUP(Tabla3[[#This Row],[Producto]],Referencia!$E$2:$F$238,2,0)</f>
        <v>P175</v>
      </c>
      <c r="B176" t="s">
        <v>1092</v>
      </c>
      <c r="C176" t="s">
        <v>1088</v>
      </c>
      <c r="D176" t="s">
        <v>1072</v>
      </c>
      <c r="E176" t="s">
        <v>1064</v>
      </c>
    </row>
    <row r="177" spans="1:5" x14ac:dyDescent="0.35">
      <c r="A177" t="str">
        <f>VLOOKUP(Tabla3[[#This Row],[Producto]],Referencia!$E$2:$F$238,2,0)</f>
        <v>P176</v>
      </c>
      <c r="B177" t="s">
        <v>785</v>
      </c>
      <c r="C177" t="s">
        <v>1089</v>
      </c>
      <c r="D177" t="s">
        <v>1072</v>
      </c>
      <c r="E177" t="s">
        <v>1066</v>
      </c>
    </row>
    <row r="178" spans="1:5" x14ac:dyDescent="0.35">
      <c r="A178" t="str">
        <f>VLOOKUP(Tabla3[[#This Row],[Producto]],Referencia!$E$2:$F$238,2,0)</f>
        <v>P177</v>
      </c>
      <c r="B178" t="s">
        <v>580</v>
      </c>
      <c r="C178" t="s">
        <v>1085</v>
      </c>
      <c r="D178" t="s">
        <v>1072</v>
      </c>
      <c r="E178" t="s">
        <v>1064</v>
      </c>
    </row>
    <row r="179" spans="1:5" x14ac:dyDescent="0.35">
      <c r="A179" t="str">
        <f>VLOOKUP(Tabla3[[#This Row],[Producto]],Referencia!$E$2:$F$238,2,0)</f>
        <v>P178</v>
      </c>
      <c r="B179" t="s">
        <v>562</v>
      </c>
      <c r="C179" t="s">
        <v>1085</v>
      </c>
      <c r="D179" t="s">
        <v>1072</v>
      </c>
      <c r="E179" t="s">
        <v>1066</v>
      </c>
    </row>
    <row r="180" spans="1:5" x14ac:dyDescent="0.35">
      <c r="A180" t="str">
        <f>VLOOKUP(Tabla3[[#This Row],[Producto]],Referencia!$E$2:$F$238,2,0)</f>
        <v>P179</v>
      </c>
      <c r="B180" t="s">
        <v>786</v>
      </c>
      <c r="C180" t="s">
        <v>1085</v>
      </c>
      <c r="D180" t="s">
        <v>1082</v>
      </c>
      <c r="E180" t="s">
        <v>74</v>
      </c>
    </row>
    <row r="181" spans="1:5" x14ac:dyDescent="0.35">
      <c r="A181" t="str">
        <f>VLOOKUP(Tabla3[[#This Row],[Producto]],Referencia!$E$2:$F$238,2,0)</f>
        <v>P180</v>
      </c>
      <c r="B181" t="s">
        <v>787</v>
      </c>
      <c r="C181" t="s">
        <v>1085</v>
      </c>
      <c r="D181" t="s">
        <v>1077</v>
      </c>
      <c r="E181" t="s">
        <v>1075</v>
      </c>
    </row>
    <row r="182" spans="1:5" x14ac:dyDescent="0.35">
      <c r="A182" t="str">
        <f>VLOOKUP(Tabla3[[#This Row],[Producto]],Referencia!$E$2:$F$238,2,0)</f>
        <v>P181</v>
      </c>
      <c r="B182" t="s">
        <v>788</v>
      </c>
      <c r="C182" t="s">
        <v>1085</v>
      </c>
      <c r="D182" t="s">
        <v>1072</v>
      </c>
      <c r="E182" t="s">
        <v>1063</v>
      </c>
    </row>
    <row r="183" spans="1:5" x14ac:dyDescent="0.35">
      <c r="A183" t="str">
        <f>VLOOKUP(Tabla3[[#This Row],[Producto]],Referencia!$E$2:$F$238,2,0)</f>
        <v>P182</v>
      </c>
      <c r="B183" t="s">
        <v>789</v>
      </c>
      <c r="C183" t="s">
        <v>1085</v>
      </c>
      <c r="D183" t="s">
        <v>1076</v>
      </c>
      <c r="E183" t="s">
        <v>1075</v>
      </c>
    </row>
    <row r="184" spans="1:5" x14ac:dyDescent="0.35">
      <c r="A184" t="str">
        <f>VLOOKUP(Tabla3[[#This Row],[Producto]],Referencia!$E$2:$F$238,2,0)</f>
        <v>P183</v>
      </c>
      <c r="B184" t="s">
        <v>790</v>
      </c>
      <c r="C184" t="s">
        <v>1091</v>
      </c>
      <c r="D184" t="s">
        <v>1074</v>
      </c>
      <c r="E184" t="s">
        <v>1067</v>
      </c>
    </row>
    <row r="185" spans="1:5" x14ac:dyDescent="0.35">
      <c r="A185" t="str">
        <f>VLOOKUP(Tabla3[[#This Row],[Producto]],Referencia!$E$2:$F$238,2,0)</f>
        <v>P184</v>
      </c>
      <c r="B185" t="s">
        <v>791</v>
      </c>
      <c r="C185" t="s">
        <v>1085</v>
      </c>
      <c r="D185" t="s">
        <v>1074</v>
      </c>
      <c r="E185" t="s">
        <v>1067</v>
      </c>
    </row>
    <row r="186" spans="1:5" x14ac:dyDescent="0.35">
      <c r="A186" t="str">
        <f>VLOOKUP(Tabla3[[#This Row],[Producto]],Referencia!$E$2:$F$238,2,0)</f>
        <v>P185</v>
      </c>
      <c r="B186" t="s">
        <v>792</v>
      </c>
      <c r="C186" t="s">
        <v>1085</v>
      </c>
      <c r="D186" t="s">
        <v>1072</v>
      </c>
      <c r="E186" t="s">
        <v>1063</v>
      </c>
    </row>
    <row r="187" spans="1:5" x14ac:dyDescent="0.35">
      <c r="A187" t="str">
        <f>VLOOKUP(Tabla3[[#This Row],[Producto]],Referencia!$E$2:$F$238,2,0)</f>
        <v>P186</v>
      </c>
      <c r="B187" t="s">
        <v>793</v>
      </c>
      <c r="C187" t="s">
        <v>1085</v>
      </c>
      <c r="D187" t="s">
        <v>1072</v>
      </c>
      <c r="E187" t="s">
        <v>1063</v>
      </c>
    </row>
    <row r="188" spans="1:5" x14ac:dyDescent="0.35">
      <c r="A188" t="str">
        <f>VLOOKUP(Tabla3[[#This Row],[Producto]],Referencia!$E$2:$F$238,2,0)</f>
        <v>P187</v>
      </c>
      <c r="B188" t="s">
        <v>794</v>
      </c>
      <c r="C188" t="s">
        <v>1085</v>
      </c>
      <c r="D188" t="s">
        <v>1082</v>
      </c>
      <c r="E188" t="s">
        <v>1069</v>
      </c>
    </row>
    <row r="189" spans="1:5" x14ac:dyDescent="0.35">
      <c r="A189" t="str">
        <f>VLOOKUP(Tabla3[[#This Row],[Producto]],Referencia!$E$2:$F$238,2,0)</f>
        <v>P188</v>
      </c>
      <c r="B189" t="s">
        <v>795</v>
      </c>
      <c r="C189" t="s">
        <v>1085</v>
      </c>
      <c r="D189" t="s">
        <v>1074</v>
      </c>
      <c r="E189" t="s">
        <v>1067</v>
      </c>
    </row>
    <row r="190" spans="1:5" x14ac:dyDescent="0.35">
      <c r="A190" t="str">
        <f>VLOOKUP(Tabla3[[#This Row],[Producto]],Referencia!$E$2:$F$238,2,0)</f>
        <v>P189</v>
      </c>
      <c r="B190" t="s">
        <v>796</v>
      </c>
      <c r="C190" t="s">
        <v>1085</v>
      </c>
      <c r="D190" t="s">
        <v>1082</v>
      </c>
      <c r="E190" t="s">
        <v>1078</v>
      </c>
    </row>
    <row r="191" spans="1:5" x14ac:dyDescent="0.35">
      <c r="A191" t="str">
        <f>VLOOKUP(Tabla3[[#This Row],[Producto]],Referencia!$E$2:$F$238,2,0)</f>
        <v>P190</v>
      </c>
      <c r="B191" t="s">
        <v>797</v>
      </c>
      <c r="C191" t="s">
        <v>1085</v>
      </c>
      <c r="D191" t="s">
        <v>1077</v>
      </c>
      <c r="E191" t="s">
        <v>1078</v>
      </c>
    </row>
    <row r="192" spans="1:5" x14ac:dyDescent="0.35">
      <c r="A192" t="str">
        <f>VLOOKUP(Tabla3[[#This Row],[Producto]],Referencia!$E$2:$F$238,2,0)</f>
        <v>P192</v>
      </c>
      <c r="B192" t="s">
        <v>799</v>
      </c>
      <c r="C192" t="s">
        <v>1089</v>
      </c>
      <c r="D192" t="s">
        <v>1074</v>
      </c>
      <c r="E192" t="s">
        <v>1067</v>
      </c>
    </row>
    <row r="193" spans="1:5" x14ac:dyDescent="0.35">
      <c r="A193" t="str">
        <f>VLOOKUP(Tabla3[[#This Row],[Producto]],Referencia!$E$2:$F$238,2,0)</f>
        <v>P193</v>
      </c>
      <c r="B193" t="s">
        <v>800</v>
      </c>
      <c r="C193" t="s">
        <v>1085</v>
      </c>
      <c r="D193" t="s">
        <v>1079</v>
      </c>
      <c r="E193" t="s">
        <v>1078</v>
      </c>
    </row>
    <row r="194" spans="1:5" x14ac:dyDescent="0.35">
      <c r="A194" t="str">
        <f>VLOOKUP(Tabla3[[#This Row],[Producto]],Referencia!$E$2:$F$238,2,0)</f>
        <v>P194</v>
      </c>
      <c r="B194" t="s">
        <v>801</v>
      </c>
      <c r="C194" t="s">
        <v>1090</v>
      </c>
      <c r="D194" t="s">
        <v>1077</v>
      </c>
      <c r="E194" t="s">
        <v>1075</v>
      </c>
    </row>
    <row r="195" spans="1:5" x14ac:dyDescent="0.35">
      <c r="A195" t="str">
        <f>VLOOKUP(Tabla3[[#This Row],[Producto]],Referencia!$E$2:$F$238,2,0)</f>
        <v>P195</v>
      </c>
      <c r="B195" t="s">
        <v>802</v>
      </c>
      <c r="C195" t="s">
        <v>1085</v>
      </c>
      <c r="D195" t="s">
        <v>1077</v>
      </c>
      <c r="E195" t="s">
        <v>1078</v>
      </c>
    </row>
    <row r="196" spans="1:5" x14ac:dyDescent="0.35">
      <c r="A196" t="str">
        <f>VLOOKUP(Tabla3[[#This Row],[Producto]],Referencia!$E$2:$F$238,2,0)</f>
        <v>P196</v>
      </c>
      <c r="B196" t="s">
        <v>803</v>
      </c>
      <c r="C196" t="s">
        <v>1085</v>
      </c>
      <c r="D196" t="s">
        <v>1072</v>
      </c>
      <c r="E196" t="s">
        <v>1066</v>
      </c>
    </row>
    <row r="197" spans="1:5" x14ac:dyDescent="0.35">
      <c r="A197" t="str">
        <f>VLOOKUP(Tabla3[[#This Row],[Producto]],Referencia!$E$2:$F$238,2,0)</f>
        <v>P197</v>
      </c>
      <c r="B197" t="s">
        <v>804</v>
      </c>
      <c r="C197" t="s">
        <v>1085</v>
      </c>
      <c r="D197" t="s">
        <v>1082</v>
      </c>
      <c r="E197" t="s">
        <v>1069</v>
      </c>
    </row>
    <row r="198" spans="1:5" x14ac:dyDescent="0.35">
      <c r="A198" t="str">
        <f>VLOOKUP(Tabla3[[#This Row],[Producto]],Referencia!$E$2:$F$238,2,0)</f>
        <v>P198</v>
      </c>
      <c r="B198" t="s">
        <v>805</v>
      </c>
      <c r="C198" t="s">
        <v>1085</v>
      </c>
      <c r="D198" t="s">
        <v>1072</v>
      </c>
      <c r="E198" t="s">
        <v>1064</v>
      </c>
    </row>
    <row r="199" spans="1:5" x14ac:dyDescent="0.35">
      <c r="A199" t="str">
        <f>VLOOKUP(Tabla3[[#This Row],[Producto]],Referencia!$E$2:$F$238,2,0)</f>
        <v>P199</v>
      </c>
      <c r="B199" t="s">
        <v>806</v>
      </c>
      <c r="C199" t="s">
        <v>1085</v>
      </c>
      <c r="D199" t="s">
        <v>1072</v>
      </c>
      <c r="E199" t="s">
        <v>1063</v>
      </c>
    </row>
    <row r="200" spans="1:5" x14ac:dyDescent="0.35">
      <c r="A200" t="str">
        <f>VLOOKUP(Tabla3[[#This Row],[Producto]],Referencia!$E$2:$F$238,2,0)</f>
        <v>P200</v>
      </c>
      <c r="B200" t="s">
        <v>807</v>
      </c>
      <c r="C200" t="s">
        <v>1091</v>
      </c>
      <c r="D200" t="s">
        <v>1072</v>
      </c>
      <c r="E200" t="s">
        <v>1063</v>
      </c>
    </row>
    <row r="201" spans="1:5" x14ac:dyDescent="0.35">
      <c r="A201" t="str">
        <f>VLOOKUP(Tabla3[[#This Row],[Producto]],Referencia!$E$2:$F$238,2,0)</f>
        <v>P201</v>
      </c>
      <c r="B201" t="s">
        <v>808</v>
      </c>
      <c r="C201" t="s">
        <v>1089</v>
      </c>
      <c r="D201" t="s">
        <v>1074</v>
      </c>
      <c r="E201" t="s">
        <v>1067</v>
      </c>
    </row>
    <row r="202" spans="1:5" x14ac:dyDescent="0.35">
      <c r="A202" t="str">
        <f>VLOOKUP(Tabla3[[#This Row],[Producto]],Referencia!$E$2:$F$238,2,0)</f>
        <v>P202</v>
      </c>
      <c r="B202" t="s">
        <v>809</v>
      </c>
      <c r="C202" t="s">
        <v>1085</v>
      </c>
      <c r="D202" t="s">
        <v>1074</v>
      </c>
      <c r="E202" t="s">
        <v>1067</v>
      </c>
    </row>
    <row r="203" spans="1:5" x14ac:dyDescent="0.35">
      <c r="A203" t="str">
        <f>VLOOKUP(Tabla3[[#This Row],[Producto]],Referencia!$E$2:$F$238,2,0)</f>
        <v>P203</v>
      </c>
      <c r="B203" t="s">
        <v>810</v>
      </c>
      <c r="C203" t="s">
        <v>1090</v>
      </c>
      <c r="D203" t="s">
        <v>1072</v>
      </c>
      <c r="E203" t="s">
        <v>1063</v>
      </c>
    </row>
    <row r="204" spans="1:5" x14ac:dyDescent="0.35">
      <c r="A204" t="str">
        <f>VLOOKUP(Tabla3[[#This Row],[Producto]],Referencia!$E$2:$F$238,2,0)</f>
        <v>P204</v>
      </c>
      <c r="B204" t="s">
        <v>811</v>
      </c>
      <c r="C204" t="s">
        <v>1085</v>
      </c>
      <c r="D204" t="s">
        <v>1074</v>
      </c>
      <c r="E204" t="s">
        <v>1067</v>
      </c>
    </row>
    <row r="205" spans="1:5" x14ac:dyDescent="0.35">
      <c r="A205" t="str">
        <f>VLOOKUP(Tabla3[[#This Row],[Producto]],Referencia!$E$2:$F$238,2,0)</f>
        <v>P205</v>
      </c>
      <c r="B205" t="s">
        <v>812</v>
      </c>
      <c r="C205" t="s">
        <v>1088</v>
      </c>
      <c r="D205" t="s">
        <v>1072</v>
      </c>
      <c r="E205" t="s">
        <v>1063</v>
      </c>
    </row>
    <row r="206" spans="1:5" x14ac:dyDescent="0.35">
      <c r="A206" t="str">
        <f>VLOOKUP(Tabla3[[#This Row],[Producto]],Referencia!$E$2:$F$238,2,0)</f>
        <v>P206</v>
      </c>
      <c r="B206" t="s">
        <v>813</v>
      </c>
      <c r="C206" t="s">
        <v>1085</v>
      </c>
      <c r="D206" t="s">
        <v>1074</v>
      </c>
      <c r="E206" t="s">
        <v>1067</v>
      </c>
    </row>
    <row r="207" spans="1:5" x14ac:dyDescent="0.35">
      <c r="A207" t="str">
        <f>VLOOKUP(Tabla3[[#This Row],[Producto]],Referencia!$E$2:$F$238,2,0)</f>
        <v>P207</v>
      </c>
      <c r="B207" t="s">
        <v>814</v>
      </c>
      <c r="C207" t="s">
        <v>1085</v>
      </c>
      <c r="D207" t="s">
        <v>1072</v>
      </c>
      <c r="E207" t="s">
        <v>1063</v>
      </c>
    </row>
    <row r="208" spans="1:5" x14ac:dyDescent="0.35">
      <c r="A208" t="str">
        <f>VLOOKUP(Tabla3[[#This Row],[Producto]],Referencia!$E$2:$F$238,2,0)</f>
        <v>P208</v>
      </c>
      <c r="B208" t="s">
        <v>815</v>
      </c>
      <c r="C208" t="s">
        <v>1085</v>
      </c>
      <c r="D208" t="s">
        <v>1082</v>
      </c>
      <c r="E208" t="s">
        <v>1078</v>
      </c>
    </row>
    <row r="209" spans="1:5" x14ac:dyDescent="0.35">
      <c r="A209" t="str">
        <f>VLOOKUP(Tabla3[[#This Row],[Producto]],Referencia!$E$2:$F$238,2,0)</f>
        <v>P209</v>
      </c>
      <c r="B209" t="s">
        <v>816</v>
      </c>
      <c r="C209" t="s">
        <v>1085</v>
      </c>
      <c r="D209" t="s">
        <v>1072</v>
      </c>
      <c r="E209" t="s">
        <v>1064</v>
      </c>
    </row>
    <row r="210" spans="1:5" x14ac:dyDescent="0.35">
      <c r="A210" t="str">
        <f>VLOOKUP(Tabla3[[#This Row],[Producto]],Referencia!$E$2:$F$238,2,0)</f>
        <v>P210</v>
      </c>
      <c r="B210" t="s">
        <v>817</v>
      </c>
      <c r="C210" t="s">
        <v>1085</v>
      </c>
      <c r="D210" t="s">
        <v>1076</v>
      </c>
      <c r="E210" t="s">
        <v>1075</v>
      </c>
    </row>
    <row r="211" spans="1:5" x14ac:dyDescent="0.35">
      <c r="A211" t="str">
        <f>VLOOKUP(Tabla3[[#This Row],[Producto]],Referencia!$E$2:$F$238,2,0)</f>
        <v>P211</v>
      </c>
      <c r="B211" t="s">
        <v>818</v>
      </c>
      <c r="C211" t="s">
        <v>1085</v>
      </c>
      <c r="D211" t="s">
        <v>1072</v>
      </c>
      <c r="E211" t="s">
        <v>1063</v>
      </c>
    </row>
    <row r="212" spans="1:5" x14ac:dyDescent="0.35">
      <c r="A212" t="str">
        <f>VLOOKUP(Tabla3[[#This Row],[Producto]],Referencia!$E$2:$F$238,2,0)</f>
        <v>P212</v>
      </c>
      <c r="B212" t="s">
        <v>819</v>
      </c>
      <c r="C212" t="s">
        <v>1085</v>
      </c>
      <c r="D212" t="s">
        <v>1072</v>
      </c>
      <c r="E212" t="s">
        <v>1063</v>
      </c>
    </row>
    <row r="213" spans="1:5" x14ac:dyDescent="0.35">
      <c r="A213" t="str">
        <f>VLOOKUP(Tabla3[[#This Row],[Producto]],Referencia!$E$2:$F$238,2,0)</f>
        <v>P213</v>
      </c>
      <c r="B213" t="s">
        <v>820</v>
      </c>
      <c r="C213" t="s">
        <v>1085</v>
      </c>
      <c r="D213" t="s">
        <v>1072</v>
      </c>
      <c r="E213" t="s">
        <v>1063</v>
      </c>
    </row>
    <row r="214" spans="1:5" x14ac:dyDescent="0.35">
      <c r="A214" t="str">
        <f>VLOOKUP(Tabla3[[#This Row],[Producto]],Referencia!$E$2:$F$238,2,0)</f>
        <v>P214</v>
      </c>
      <c r="B214" t="s">
        <v>821</v>
      </c>
      <c r="C214" t="s">
        <v>1085</v>
      </c>
      <c r="D214" t="s">
        <v>1082</v>
      </c>
      <c r="E214" t="s">
        <v>1068</v>
      </c>
    </row>
    <row r="215" spans="1:5" x14ac:dyDescent="0.35">
      <c r="A215" t="str">
        <f>VLOOKUP(Tabla3[[#This Row],[Producto]],Referencia!$E$2:$F$238,2,0)</f>
        <v>P215</v>
      </c>
      <c r="B215" t="s">
        <v>822</v>
      </c>
      <c r="C215" t="s">
        <v>1085</v>
      </c>
      <c r="D215" t="s">
        <v>1082</v>
      </c>
      <c r="E215" t="s">
        <v>1068</v>
      </c>
    </row>
    <row r="216" spans="1:5" x14ac:dyDescent="0.35">
      <c r="A216" t="str">
        <f>VLOOKUP(Tabla3[[#This Row],[Producto]],Referencia!$E$2:$F$238,2,0)</f>
        <v>P216</v>
      </c>
      <c r="B216" t="s">
        <v>823</v>
      </c>
      <c r="C216" t="s">
        <v>1085</v>
      </c>
      <c r="D216" t="s">
        <v>1079</v>
      </c>
      <c r="E216" t="s">
        <v>1078</v>
      </c>
    </row>
    <row r="217" spans="1:5" x14ac:dyDescent="0.35">
      <c r="A217" t="str">
        <f>VLOOKUP(Tabla3[[#This Row],[Producto]],Referencia!$E$2:$F$238,2,0)</f>
        <v>P217</v>
      </c>
      <c r="B217" t="s">
        <v>824</v>
      </c>
      <c r="C217" t="s">
        <v>1088</v>
      </c>
      <c r="D217" t="s">
        <v>1071</v>
      </c>
      <c r="E217" t="s">
        <v>1071</v>
      </c>
    </row>
    <row r="218" spans="1:5" x14ac:dyDescent="0.35">
      <c r="A218" t="str">
        <f>VLOOKUP(Tabla3[[#This Row],[Producto]],Referencia!$E$2:$F$238,2,0)</f>
        <v>P218</v>
      </c>
      <c r="B218" t="s">
        <v>825</v>
      </c>
      <c r="C218" t="s">
        <v>1085</v>
      </c>
      <c r="D218" t="s">
        <v>1072</v>
      </c>
      <c r="E218" t="s">
        <v>1063</v>
      </c>
    </row>
    <row r="219" spans="1:5" x14ac:dyDescent="0.35">
      <c r="A219" t="str">
        <f>VLOOKUP(Tabla3[[#This Row],[Producto]],Referencia!$E$2:$F$238,2,0)</f>
        <v>P219</v>
      </c>
      <c r="B219" t="s">
        <v>826</v>
      </c>
      <c r="C219" t="s">
        <v>1085</v>
      </c>
      <c r="D219" t="s">
        <v>1072</v>
      </c>
      <c r="E219" t="s">
        <v>1066</v>
      </c>
    </row>
    <row r="220" spans="1:5" x14ac:dyDescent="0.35">
      <c r="A220" t="str">
        <f>VLOOKUP(Tabla3[[#This Row],[Producto]],Referencia!$E$2:$F$238,2,0)</f>
        <v>P220</v>
      </c>
      <c r="B220" t="s">
        <v>827</v>
      </c>
      <c r="C220" t="s">
        <v>1085</v>
      </c>
      <c r="D220" t="s">
        <v>1072</v>
      </c>
      <c r="E220" t="s">
        <v>1063</v>
      </c>
    </row>
    <row r="221" spans="1:5" x14ac:dyDescent="0.35">
      <c r="A221" t="str">
        <f>VLOOKUP(Tabla3[[#This Row],[Producto]],Referencia!$E$2:$F$238,2,0)</f>
        <v>P221</v>
      </c>
      <c r="B221" t="s">
        <v>828</v>
      </c>
      <c r="C221" t="s">
        <v>1085</v>
      </c>
      <c r="D221" t="s">
        <v>1073</v>
      </c>
      <c r="E221" t="s">
        <v>1063</v>
      </c>
    </row>
    <row r="222" spans="1:5" x14ac:dyDescent="0.35">
      <c r="A222" t="str">
        <f>VLOOKUP(Tabla3[[#This Row],[Producto]],Referencia!$E$2:$F$238,2,0)</f>
        <v>P222</v>
      </c>
      <c r="B222" t="s">
        <v>635</v>
      </c>
      <c r="C222" t="s">
        <v>1091</v>
      </c>
      <c r="D222" t="s">
        <v>1074</v>
      </c>
      <c r="E222" t="s">
        <v>1067</v>
      </c>
    </row>
    <row r="223" spans="1:5" x14ac:dyDescent="0.35">
      <c r="A223" t="str">
        <f>VLOOKUP(Tabla3[[#This Row],[Producto]],Referencia!$E$2:$F$238,2,0)</f>
        <v>P223</v>
      </c>
      <c r="B223" t="s">
        <v>829</v>
      </c>
      <c r="C223" t="s">
        <v>1089</v>
      </c>
      <c r="D223" t="s">
        <v>1082</v>
      </c>
      <c r="E223" t="s">
        <v>74</v>
      </c>
    </row>
    <row r="224" spans="1:5" x14ac:dyDescent="0.35">
      <c r="A224" t="str">
        <f>VLOOKUP(Tabla3[[#This Row],[Producto]],Referencia!$E$2:$F$238,2,0)</f>
        <v>P224</v>
      </c>
      <c r="B224" t="s">
        <v>830</v>
      </c>
      <c r="C224" t="s">
        <v>1085</v>
      </c>
      <c r="D224" t="s">
        <v>1074</v>
      </c>
      <c r="E224" t="s">
        <v>1067</v>
      </c>
    </row>
    <row r="225" spans="1:5" x14ac:dyDescent="0.35">
      <c r="A225" t="str">
        <f>VLOOKUP(Tabla3[[#This Row],[Producto]],Referencia!$E$2:$F$238,2,0)</f>
        <v>P225</v>
      </c>
      <c r="B225" t="s">
        <v>1112</v>
      </c>
      <c r="C225" t="s">
        <v>1085</v>
      </c>
      <c r="D225" t="s">
        <v>1077</v>
      </c>
      <c r="E225" t="s">
        <v>1075</v>
      </c>
    </row>
    <row r="226" spans="1:5" x14ac:dyDescent="0.35">
      <c r="A226" t="str">
        <f>VLOOKUP(Tabla3[[#This Row],[Producto]],Referencia!$E$2:$F$238,2,0)</f>
        <v>P226</v>
      </c>
      <c r="B226" t="s">
        <v>1126</v>
      </c>
      <c r="C226" t="s">
        <v>1085</v>
      </c>
      <c r="D226" t="s">
        <v>1077</v>
      </c>
      <c r="E226" t="s">
        <v>1075</v>
      </c>
    </row>
    <row r="227" spans="1:5" x14ac:dyDescent="0.35">
      <c r="A227" t="str">
        <f>VLOOKUP(Tabla3[[#This Row],[Producto]],Referencia!$E$2:$F$238,2,0)</f>
        <v>P227</v>
      </c>
      <c r="B227" t="s">
        <v>1111</v>
      </c>
      <c r="C227" t="s">
        <v>1090</v>
      </c>
      <c r="D227" t="s">
        <v>1077</v>
      </c>
      <c r="E227" t="s">
        <v>1075</v>
      </c>
    </row>
    <row r="228" spans="1:5" x14ac:dyDescent="0.35">
      <c r="A228" t="str">
        <f>VLOOKUP(Tabla3[[#This Row],[Producto]],Referencia!$E$2:$F$238,2,0)</f>
        <v>P228</v>
      </c>
      <c r="B228" t="s">
        <v>1110</v>
      </c>
      <c r="C228" t="s">
        <v>1085</v>
      </c>
      <c r="D228" t="s">
        <v>1077</v>
      </c>
      <c r="E228" t="s">
        <v>1078</v>
      </c>
    </row>
    <row r="229" spans="1:5" x14ac:dyDescent="0.35">
      <c r="A229" t="str">
        <f>VLOOKUP(Tabla3[[#This Row],[Producto]],Referencia!$E$2:$F$238,2,0)</f>
        <v>P229</v>
      </c>
      <c r="B229" t="s">
        <v>1055</v>
      </c>
      <c r="C229" t="s">
        <v>1085</v>
      </c>
      <c r="D229" t="s">
        <v>1077</v>
      </c>
      <c r="E229" t="s">
        <v>1075</v>
      </c>
    </row>
    <row r="230" spans="1:5" x14ac:dyDescent="0.35">
      <c r="A230" t="str">
        <f>VLOOKUP(Tabla3[[#This Row],[Producto]],Referencia!$E$2:$F$238,2,0)</f>
        <v>P230</v>
      </c>
      <c r="B230" t="s">
        <v>1056</v>
      </c>
      <c r="C230" t="s">
        <v>1085</v>
      </c>
      <c r="D230" t="s">
        <v>1077</v>
      </c>
      <c r="E230" t="s">
        <v>1078</v>
      </c>
    </row>
    <row r="231" spans="1:5" x14ac:dyDescent="0.35">
      <c r="A231" t="str">
        <f>VLOOKUP(Tabla3[[#This Row],[Producto]],Referencia!$E$2:$F$238,2,0)</f>
        <v>P230</v>
      </c>
      <c r="B231" t="s">
        <v>1056</v>
      </c>
      <c r="C231" t="s">
        <v>1085</v>
      </c>
      <c r="D231" t="s">
        <v>1077</v>
      </c>
      <c r="E231" t="s">
        <v>1078</v>
      </c>
    </row>
    <row r="232" spans="1:5" x14ac:dyDescent="0.35">
      <c r="A232" t="str">
        <f>VLOOKUP(Tabla3[[#This Row],[Producto]],Referencia!$E$2:$F$238,2,0)</f>
        <v>P232</v>
      </c>
      <c r="B232" t="s">
        <v>1057</v>
      </c>
      <c r="C232" t="s">
        <v>1085</v>
      </c>
      <c r="D232" t="s">
        <v>1082</v>
      </c>
      <c r="E232" t="s">
        <v>1078</v>
      </c>
    </row>
    <row r="233" spans="1:5" x14ac:dyDescent="0.35">
      <c r="A233" t="str">
        <f>VLOOKUP(Tabla3[[#This Row],[Producto]],Referencia!$E$2:$F$238,2,0)</f>
        <v>P233</v>
      </c>
      <c r="B233" t="s">
        <v>1058</v>
      </c>
      <c r="C233" t="s">
        <v>1085</v>
      </c>
      <c r="D233" t="s">
        <v>1077</v>
      </c>
      <c r="E233" t="s">
        <v>1075</v>
      </c>
    </row>
    <row r="234" spans="1:5" x14ac:dyDescent="0.35">
      <c r="A234" t="str">
        <f>VLOOKUP(Tabla3[[#This Row],[Producto]],Referencia!$E$2:$F$238,2,0)</f>
        <v>P234</v>
      </c>
      <c r="B234" t="s">
        <v>1059</v>
      </c>
      <c r="C234" t="s">
        <v>1087</v>
      </c>
      <c r="D234" t="s">
        <v>1109</v>
      </c>
      <c r="E234" t="s">
        <v>1064</v>
      </c>
    </row>
    <row r="235" spans="1:5" x14ac:dyDescent="0.35">
      <c r="A235" t="str">
        <f>VLOOKUP(Tabla3[[#This Row],[Producto]],Referencia!$E$2:$F$238,2,0)</f>
        <v>P235</v>
      </c>
      <c r="B235" t="s">
        <v>1060</v>
      </c>
      <c r="C235" t="s">
        <v>1085</v>
      </c>
      <c r="D235" t="s">
        <v>1082</v>
      </c>
      <c r="E235" t="s">
        <v>1069</v>
      </c>
    </row>
    <row r="236" spans="1:5" x14ac:dyDescent="0.35">
      <c r="A236" t="str">
        <f>VLOOKUP(Tabla3[[#This Row],[Producto]],Referencia!$E$2:$F$238,2,0)</f>
        <v>P236</v>
      </c>
      <c r="B236" t="s">
        <v>1094</v>
      </c>
      <c r="C236" t="s">
        <v>1087</v>
      </c>
      <c r="D236" t="s">
        <v>1082</v>
      </c>
      <c r="E236" t="s">
        <v>31</v>
      </c>
    </row>
    <row r="237" spans="1:5" x14ac:dyDescent="0.35">
      <c r="A237" t="str">
        <f>VLOOKUP(Tabla3[[#This Row],[Producto]],Referencia!$E$2:$F$238,2,0)</f>
        <v>P237</v>
      </c>
      <c r="B237" t="s">
        <v>1095</v>
      </c>
      <c r="C237" t="s">
        <v>1085</v>
      </c>
      <c r="D237" t="s">
        <v>1079</v>
      </c>
      <c r="E237" t="s">
        <v>1078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0263-DF63-4E5F-8509-8881F828D50E}">
  <dimension ref="A1:J34"/>
  <sheetViews>
    <sheetView workbookViewId="0">
      <pane ySplit="1" topLeftCell="A18" activePane="bottomLeft" state="frozen"/>
      <selection activeCell="C1" sqref="C1"/>
      <selection pane="bottomLeft" activeCell="I33" sqref="I33"/>
    </sheetView>
  </sheetViews>
  <sheetFormatPr baseColWidth="10" defaultRowHeight="14.5" x14ac:dyDescent="0.35"/>
  <cols>
    <col min="1" max="1" width="18.81640625" customWidth="1"/>
    <col min="2" max="2" width="10.90625" style="18"/>
    <col min="3" max="3" width="14.6328125" style="23" customWidth="1"/>
    <col min="4" max="4" width="13.81640625" style="23" customWidth="1"/>
    <col min="5" max="5" width="14.81640625" style="23" customWidth="1"/>
    <col min="6" max="6" width="13.08984375" style="23" customWidth="1"/>
    <col min="7" max="7" width="9.26953125" customWidth="1"/>
    <col min="8" max="8" width="9.6328125" customWidth="1"/>
    <col min="9" max="9" width="20.90625" customWidth="1"/>
    <col min="10" max="10" width="35.1796875" customWidth="1"/>
  </cols>
  <sheetData>
    <row r="1" spans="1:10" x14ac:dyDescent="0.35">
      <c r="A1" s="29" t="s">
        <v>0</v>
      </c>
      <c r="B1" s="30" t="s">
        <v>1</v>
      </c>
      <c r="C1" s="31" t="s">
        <v>1127</v>
      </c>
      <c r="D1" s="31" t="s">
        <v>1128</v>
      </c>
      <c r="E1" s="31" t="s">
        <v>2</v>
      </c>
      <c r="F1" s="31" t="s">
        <v>3</v>
      </c>
      <c r="G1" s="32" t="s">
        <v>4</v>
      </c>
      <c r="H1" s="32" t="s">
        <v>5</v>
      </c>
      <c r="I1" s="32" t="s">
        <v>6</v>
      </c>
      <c r="J1" s="33" t="s">
        <v>7</v>
      </c>
    </row>
    <row r="2" spans="1:10" x14ac:dyDescent="0.35">
      <c r="A2" s="27" t="s">
        <v>615</v>
      </c>
      <c r="B2" s="17">
        <v>45812</v>
      </c>
      <c r="C2" s="21">
        <v>421000</v>
      </c>
      <c r="D2" s="21">
        <v>859000</v>
      </c>
      <c r="E2" s="21">
        <v>16073000</v>
      </c>
      <c r="F2" s="21">
        <f>100000+17800</f>
        <v>117800</v>
      </c>
      <c r="G2" s="1"/>
      <c r="H2" s="1"/>
      <c r="I2" s="1"/>
      <c r="J2" s="28"/>
    </row>
    <row r="3" spans="1:10" x14ac:dyDescent="0.35">
      <c r="A3" s="27" t="s">
        <v>8</v>
      </c>
      <c r="B3" s="17">
        <v>45813</v>
      </c>
      <c r="C3" s="21">
        <v>574000</v>
      </c>
      <c r="D3" s="21">
        <v>423000</v>
      </c>
      <c r="E3" s="21">
        <f>16115000+190000</f>
        <v>16305000</v>
      </c>
      <c r="F3" s="21"/>
      <c r="G3" s="1"/>
      <c r="H3" s="1"/>
      <c r="I3" s="2">
        <f>(D3/E2)*100</f>
        <v>2.6317426740496486</v>
      </c>
      <c r="J3" s="28"/>
    </row>
    <row r="4" spans="1:10" x14ac:dyDescent="0.35">
      <c r="A4" s="27" t="s">
        <v>9</v>
      </c>
      <c r="B4" s="17">
        <v>45814</v>
      </c>
      <c r="C4" s="21">
        <v>2193000</v>
      </c>
      <c r="D4" s="21">
        <v>1500000</v>
      </c>
      <c r="E4" s="21">
        <v>17140000</v>
      </c>
      <c r="F4" s="21"/>
      <c r="G4" s="1">
        <v>9</v>
      </c>
      <c r="H4" s="1">
        <v>3</v>
      </c>
      <c r="I4" s="2">
        <f>(D4/E3)*100</f>
        <v>9.1996320147194108</v>
      </c>
      <c r="J4" s="28" t="s">
        <v>10</v>
      </c>
    </row>
    <row r="5" spans="1:10" x14ac:dyDescent="0.35">
      <c r="A5" s="27" t="s">
        <v>615</v>
      </c>
      <c r="B5" s="17">
        <v>45819</v>
      </c>
      <c r="C5" s="21">
        <v>499000</v>
      </c>
      <c r="D5" s="21">
        <v>1097000</v>
      </c>
      <c r="E5" s="21">
        <v>16474000</v>
      </c>
      <c r="F5" s="21">
        <v>100000</v>
      </c>
      <c r="G5" s="1">
        <v>9</v>
      </c>
      <c r="H5" s="1">
        <v>4</v>
      </c>
      <c r="I5" s="2">
        <f>(D5/E4)*100</f>
        <v>6.4002333722287048</v>
      </c>
      <c r="J5" s="28" t="s">
        <v>11</v>
      </c>
    </row>
    <row r="6" spans="1:10" x14ac:dyDescent="0.35">
      <c r="A6" s="27" t="s">
        <v>8</v>
      </c>
      <c r="B6" s="17">
        <v>45820</v>
      </c>
      <c r="C6" s="21">
        <v>2224000</v>
      </c>
      <c r="D6" s="21">
        <v>1330000</v>
      </c>
      <c r="E6" s="21">
        <v>17154000</v>
      </c>
      <c r="F6" s="21"/>
      <c r="G6" s="1">
        <v>8</v>
      </c>
      <c r="H6" s="1">
        <v>6</v>
      </c>
      <c r="I6" s="2">
        <f>(D6/E5)*100</f>
        <v>8.0733276678402319</v>
      </c>
      <c r="J6" s="28"/>
    </row>
    <row r="7" spans="1:10" x14ac:dyDescent="0.35">
      <c r="A7" s="27" t="s">
        <v>9</v>
      </c>
      <c r="B7" s="17">
        <v>45821</v>
      </c>
      <c r="C7" s="21">
        <v>3020000</v>
      </c>
      <c r="D7" s="21">
        <v>1920000</v>
      </c>
      <c r="E7" s="21">
        <v>17694000</v>
      </c>
      <c r="F7" s="21"/>
      <c r="G7" s="1">
        <v>8</v>
      </c>
      <c r="H7" s="1">
        <v>6</v>
      </c>
      <c r="I7" s="2">
        <f>(D7/E6)*100</f>
        <v>11.192724728926198</v>
      </c>
      <c r="J7" s="28"/>
    </row>
    <row r="8" spans="1:10" x14ac:dyDescent="0.35">
      <c r="A8" s="27" t="s">
        <v>615</v>
      </c>
      <c r="B8" s="17">
        <v>45826</v>
      </c>
      <c r="C8" s="22">
        <v>2865000</v>
      </c>
      <c r="D8" s="21">
        <v>1996000</v>
      </c>
      <c r="E8" s="21">
        <v>19665000</v>
      </c>
      <c r="F8" s="21"/>
      <c r="G8" s="1"/>
      <c r="H8" s="1"/>
      <c r="I8" s="2">
        <f t="shared" ref="I8:I31" si="0">(D8/E7)*100</f>
        <v>11.280660110772013</v>
      </c>
      <c r="J8" s="28"/>
    </row>
    <row r="9" spans="1:10" x14ac:dyDescent="0.35">
      <c r="A9" s="27" t="s">
        <v>8</v>
      </c>
      <c r="B9" s="17">
        <v>45827</v>
      </c>
      <c r="C9" s="21">
        <v>685000</v>
      </c>
      <c r="D9" s="21">
        <v>640000</v>
      </c>
      <c r="E9" s="21">
        <v>19705000</v>
      </c>
      <c r="F9" s="21">
        <v>100000</v>
      </c>
      <c r="G9" s="1"/>
      <c r="H9" s="1"/>
      <c r="I9" s="2">
        <f t="shared" si="0"/>
        <v>3.2545130943300276</v>
      </c>
      <c r="J9" s="28" t="s">
        <v>438</v>
      </c>
    </row>
    <row r="10" spans="1:10" x14ac:dyDescent="0.35">
      <c r="A10" s="27" t="s">
        <v>8</v>
      </c>
      <c r="B10" s="17">
        <v>45834</v>
      </c>
      <c r="C10" s="21">
        <v>910000</v>
      </c>
      <c r="D10" s="21">
        <v>1540000</v>
      </c>
      <c r="E10" s="21">
        <v>18857000</v>
      </c>
      <c r="F10" s="21"/>
      <c r="G10" s="1">
        <v>8</v>
      </c>
      <c r="H10" s="1">
        <v>6</v>
      </c>
      <c r="I10" s="2">
        <f t="shared" si="0"/>
        <v>7.8152753108348145</v>
      </c>
      <c r="J10" s="28"/>
    </row>
    <row r="11" spans="1:10" x14ac:dyDescent="0.35">
      <c r="A11" s="27" t="s">
        <v>9</v>
      </c>
      <c r="B11" s="17">
        <v>45835</v>
      </c>
      <c r="C11" s="21">
        <v>0</v>
      </c>
      <c r="D11" s="21">
        <v>909000</v>
      </c>
      <c r="E11" s="21">
        <v>17988000</v>
      </c>
      <c r="F11" s="21"/>
      <c r="G11" s="1"/>
      <c r="H11" s="1"/>
      <c r="I11" s="2">
        <f t="shared" si="0"/>
        <v>4.8204910643262444</v>
      </c>
      <c r="J11" s="28"/>
    </row>
    <row r="12" spans="1:10" x14ac:dyDescent="0.35">
      <c r="A12" s="27" t="s">
        <v>615</v>
      </c>
      <c r="B12" s="17">
        <v>45840</v>
      </c>
      <c r="C12" s="21">
        <v>1253000</v>
      </c>
      <c r="D12" s="21">
        <v>1940000</v>
      </c>
      <c r="E12" s="21">
        <v>17233000</v>
      </c>
      <c r="F12" s="21">
        <v>150000</v>
      </c>
      <c r="G12" s="1">
        <v>10</v>
      </c>
      <c r="H12" s="1">
        <v>6</v>
      </c>
      <c r="I12" s="2">
        <f t="shared" si="0"/>
        <v>10.784967756281965</v>
      </c>
      <c r="J12" s="28"/>
    </row>
    <row r="13" spans="1:10" x14ac:dyDescent="0.35">
      <c r="A13" s="27" t="s">
        <v>8</v>
      </c>
      <c r="B13" s="17">
        <v>45841</v>
      </c>
      <c r="C13" s="21">
        <v>788000</v>
      </c>
      <c r="D13" s="21">
        <v>1075000</v>
      </c>
      <c r="E13" s="21">
        <v>16567000</v>
      </c>
      <c r="F13" s="21"/>
      <c r="G13" s="1">
        <v>7</v>
      </c>
      <c r="H13" s="1">
        <v>5</v>
      </c>
      <c r="I13" s="2">
        <f t="shared" si="0"/>
        <v>6.2380316833981313</v>
      </c>
      <c r="J13" s="28"/>
    </row>
    <row r="14" spans="1:10" x14ac:dyDescent="0.35">
      <c r="A14" s="27" t="s">
        <v>9</v>
      </c>
      <c r="B14" s="17">
        <v>45842</v>
      </c>
      <c r="C14" s="21">
        <v>190000</v>
      </c>
      <c r="D14" s="21">
        <v>490000</v>
      </c>
      <c r="E14" s="21">
        <v>16077000</v>
      </c>
      <c r="F14" s="21"/>
      <c r="G14" s="1">
        <v>8</v>
      </c>
      <c r="H14" s="1">
        <v>1</v>
      </c>
      <c r="I14" s="2">
        <f t="shared" si="0"/>
        <v>2.9576869680690532</v>
      </c>
      <c r="J14" s="28" t="s">
        <v>474</v>
      </c>
    </row>
    <row r="15" spans="1:10" x14ac:dyDescent="0.35">
      <c r="A15" s="27" t="s">
        <v>615</v>
      </c>
      <c r="B15" s="17">
        <v>45847</v>
      </c>
      <c r="C15" s="21">
        <v>1761000</v>
      </c>
      <c r="D15" s="21">
        <v>2265000</v>
      </c>
      <c r="E15" s="21">
        <v>14682000</v>
      </c>
      <c r="F15" s="21">
        <v>15600</v>
      </c>
      <c r="G15" s="1">
        <v>12</v>
      </c>
      <c r="H15" s="1">
        <v>6</v>
      </c>
      <c r="I15" s="2">
        <f t="shared" si="0"/>
        <v>14.088449337562977</v>
      </c>
      <c r="J15" s="28" t="s">
        <v>485</v>
      </c>
    </row>
    <row r="16" spans="1:10" x14ac:dyDescent="0.35">
      <c r="A16" s="27" t="s">
        <v>8</v>
      </c>
      <c r="B16" s="17">
        <v>45848</v>
      </c>
      <c r="C16" s="21">
        <v>1641000</v>
      </c>
      <c r="D16" s="21">
        <v>860000</v>
      </c>
      <c r="E16" s="21">
        <v>15257000</v>
      </c>
      <c r="F16" s="21">
        <v>117800</v>
      </c>
      <c r="G16" s="1"/>
      <c r="H16" s="1"/>
      <c r="I16" s="2">
        <f t="shared" si="0"/>
        <v>5.8575126004631519</v>
      </c>
      <c r="J16" s="28" t="s">
        <v>496</v>
      </c>
    </row>
    <row r="17" spans="1:10" x14ac:dyDescent="0.35">
      <c r="A17" s="27" t="s">
        <v>9</v>
      </c>
      <c r="B17" s="17">
        <v>45849</v>
      </c>
      <c r="C17" s="21">
        <v>2224500</v>
      </c>
      <c r="D17" s="21">
        <v>2290000</v>
      </c>
      <c r="E17" s="21">
        <v>14900000</v>
      </c>
      <c r="F17" s="21"/>
      <c r="G17" s="1"/>
      <c r="H17" s="1"/>
      <c r="I17" s="2">
        <f t="shared" si="0"/>
        <v>15.009503834305566</v>
      </c>
      <c r="J17" s="28"/>
    </row>
    <row r="18" spans="1:10" x14ac:dyDescent="0.35">
      <c r="A18" s="27" t="s">
        <v>615</v>
      </c>
      <c r="B18" s="17">
        <v>45854</v>
      </c>
      <c r="C18" s="21">
        <v>348000</v>
      </c>
      <c r="D18" s="21">
        <v>918000</v>
      </c>
      <c r="E18" s="21">
        <v>14215000</v>
      </c>
      <c r="F18" s="21">
        <v>100000</v>
      </c>
      <c r="G18" s="1">
        <v>6</v>
      </c>
      <c r="H18" s="1">
        <v>2</v>
      </c>
      <c r="I18" s="2">
        <f t="shared" si="0"/>
        <v>6.1610738255033555</v>
      </c>
      <c r="J18" s="28" t="s">
        <v>512</v>
      </c>
    </row>
    <row r="19" spans="1:10" x14ac:dyDescent="0.35">
      <c r="A19" s="27" t="s">
        <v>8</v>
      </c>
      <c r="B19" s="17">
        <v>45855</v>
      </c>
      <c r="C19" s="21">
        <v>1337000</v>
      </c>
      <c r="D19" s="21">
        <v>2475000</v>
      </c>
      <c r="E19" s="21">
        <v>13141000</v>
      </c>
      <c r="F19" s="21"/>
      <c r="G19" s="1"/>
      <c r="H19" s="1"/>
      <c r="I19" s="2">
        <f t="shared" si="0"/>
        <v>17.411185367569466</v>
      </c>
      <c r="J19" s="28"/>
    </row>
    <row r="20" spans="1:10" x14ac:dyDescent="0.35">
      <c r="A20" s="27" t="s">
        <v>9</v>
      </c>
      <c r="B20" s="17">
        <v>45856</v>
      </c>
      <c r="C20" s="21">
        <v>1418000</v>
      </c>
      <c r="D20" s="21">
        <f>1125000+250000</f>
        <v>1375000</v>
      </c>
      <c r="E20" s="22">
        <f>13524000-250000</f>
        <v>13274000</v>
      </c>
      <c r="F20" s="21"/>
      <c r="G20" s="1"/>
      <c r="H20" s="1"/>
      <c r="I20" s="2">
        <f t="shared" si="0"/>
        <v>10.463435050604977</v>
      </c>
      <c r="J20" s="28"/>
    </row>
    <row r="21" spans="1:10" x14ac:dyDescent="0.35">
      <c r="A21" s="27" t="s">
        <v>615</v>
      </c>
      <c r="B21" s="17">
        <v>45861</v>
      </c>
      <c r="C21" s="21">
        <v>1148000</v>
      </c>
      <c r="D21" s="21">
        <v>1450000</v>
      </c>
      <c r="E21" s="21">
        <v>12722000</v>
      </c>
      <c r="F21" s="21">
        <v>100000</v>
      </c>
      <c r="G21" s="1"/>
      <c r="H21" s="1"/>
      <c r="I21" s="2">
        <f t="shared" si="0"/>
        <v>10.923610064788308</v>
      </c>
      <c r="J21" s="28"/>
    </row>
    <row r="22" spans="1:10" x14ac:dyDescent="0.35">
      <c r="A22" s="27" t="s">
        <v>8</v>
      </c>
      <c r="B22" s="17">
        <v>45862</v>
      </c>
      <c r="C22" s="21">
        <v>941111</v>
      </c>
      <c r="D22" s="21">
        <v>700000</v>
      </c>
      <c r="E22" s="21">
        <v>12805000</v>
      </c>
      <c r="F22" s="21"/>
      <c r="G22" s="1"/>
      <c r="H22" s="1"/>
      <c r="I22" s="2">
        <f t="shared" si="0"/>
        <v>5.5022795157994029</v>
      </c>
      <c r="J22" s="28"/>
    </row>
    <row r="23" spans="1:10" x14ac:dyDescent="0.35">
      <c r="A23" s="27" t="s">
        <v>9</v>
      </c>
      <c r="B23" s="17">
        <v>45863</v>
      </c>
      <c r="C23" s="21">
        <v>688000</v>
      </c>
      <c r="D23" s="21">
        <v>1170000</v>
      </c>
      <c r="E23" s="21">
        <v>12605000</v>
      </c>
      <c r="F23" s="21"/>
      <c r="G23" s="1"/>
      <c r="H23" s="1"/>
      <c r="I23" s="2">
        <f t="shared" si="0"/>
        <v>9.1370558375634516</v>
      </c>
      <c r="J23" s="28"/>
    </row>
    <row r="24" spans="1:10" x14ac:dyDescent="0.35">
      <c r="A24" s="27" t="s">
        <v>615</v>
      </c>
      <c r="B24" s="17">
        <v>45868</v>
      </c>
      <c r="C24" s="21">
        <v>925000</v>
      </c>
      <c r="D24" s="21">
        <v>505000</v>
      </c>
      <c r="E24" s="21">
        <v>12930000</v>
      </c>
      <c r="F24" s="21"/>
      <c r="G24" s="1"/>
      <c r="H24" s="1"/>
      <c r="I24" s="2">
        <f t="shared" si="0"/>
        <v>4.0063466878222931</v>
      </c>
      <c r="J24" s="28"/>
    </row>
    <row r="25" spans="1:10" x14ac:dyDescent="0.35">
      <c r="A25" s="27" t="s">
        <v>8</v>
      </c>
      <c r="B25" s="17">
        <v>45869</v>
      </c>
      <c r="C25" s="21">
        <v>2722000</v>
      </c>
      <c r="D25" s="21">
        <v>1535000</v>
      </c>
      <c r="E25" s="21">
        <v>14117000</v>
      </c>
      <c r="F25" s="21"/>
      <c r="G25" s="1"/>
      <c r="H25" s="1"/>
      <c r="I25" s="2">
        <f t="shared" si="0"/>
        <v>11.871616395978345</v>
      </c>
      <c r="J25" s="28"/>
    </row>
    <row r="26" spans="1:10" x14ac:dyDescent="0.35">
      <c r="A26" s="27" t="s">
        <v>9</v>
      </c>
      <c r="B26" s="17">
        <v>45870</v>
      </c>
      <c r="C26" s="21">
        <v>1975000</v>
      </c>
      <c r="D26" s="21">
        <v>1490000</v>
      </c>
      <c r="E26" s="21">
        <v>14847486</v>
      </c>
      <c r="F26" s="21"/>
      <c r="G26" s="1"/>
      <c r="H26" s="1"/>
      <c r="I26" s="2">
        <f t="shared" si="0"/>
        <v>10.554650421477652</v>
      </c>
      <c r="J26" s="28"/>
    </row>
    <row r="27" spans="1:10" x14ac:dyDescent="0.35">
      <c r="A27" s="27" t="s">
        <v>615</v>
      </c>
      <c r="B27" s="17">
        <v>45875</v>
      </c>
      <c r="C27" s="21">
        <v>398000</v>
      </c>
      <c r="D27" s="21">
        <v>650000</v>
      </c>
      <c r="E27" s="21">
        <v>14660000</v>
      </c>
      <c r="F27" s="21">
        <v>255000</v>
      </c>
      <c r="G27" s="1"/>
      <c r="H27" s="1"/>
      <c r="I27" s="2">
        <f t="shared" si="0"/>
        <v>4.3778455153956699</v>
      </c>
      <c r="J27" s="28"/>
    </row>
    <row r="28" spans="1:10" x14ac:dyDescent="0.35">
      <c r="A28" s="27" t="s">
        <v>9</v>
      </c>
      <c r="B28" s="17">
        <v>45878</v>
      </c>
      <c r="C28" s="21">
        <v>1670000</v>
      </c>
      <c r="D28" s="21">
        <v>1915000</v>
      </c>
      <c r="E28" s="21">
        <v>14005000</v>
      </c>
      <c r="F28" s="21"/>
      <c r="G28" s="1"/>
      <c r="H28" s="1"/>
      <c r="I28" s="2">
        <f t="shared" si="0"/>
        <v>13.062755798090041</v>
      </c>
      <c r="J28" s="28"/>
    </row>
    <row r="29" spans="1:10" x14ac:dyDescent="0.35">
      <c r="A29" s="27" t="s">
        <v>615</v>
      </c>
      <c r="B29" s="17">
        <v>45882</v>
      </c>
      <c r="C29" s="21">
        <v>1903000</v>
      </c>
      <c r="D29" s="21">
        <v>740000</v>
      </c>
      <c r="E29" s="21">
        <v>14445000</v>
      </c>
      <c r="F29" s="21"/>
      <c r="G29" s="1"/>
      <c r="H29" s="1"/>
      <c r="I29" s="2">
        <f t="shared" si="0"/>
        <v>5.2838272045697963</v>
      </c>
      <c r="J29" s="28"/>
    </row>
    <row r="30" spans="1:10" x14ac:dyDescent="0.35">
      <c r="A30" s="27" t="s">
        <v>8</v>
      </c>
      <c r="B30" s="17">
        <v>45883</v>
      </c>
      <c r="C30" s="21">
        <v>1610000</v>
      </c>
      <c r="D30" s="21">
        <v>650000</v>
      </c>
      <c r="E30" s="21">
        <v>15428000</v>
      </c>
      <c r="F30" s="21"/>
      <c r="G30" s="1"/>
      <c r="H30" s="1"/>
      <c r="I30" s="2">
        <f t="shared" si="0"/>
        <v>4.4998269297334721</v>
      </c>
      <c r="J30" s="28"/>
    </row>
    <row r="31" spans="1:10" x14ac:dyDescent="0.35">
      <c r="A31" s="34" t="s">
        <v>9</v>
      </c>
      <c r="B31" s="35">
        <v>45884</v>
      </c>
      <c r="C31" s="36">
        <v>2184000</v>
      </c>
      <c r="D31" s="36">
        <v>2144000</v>
      </c>
      <c r="E31" s="36">
        <f>15789000+50000</f>
        <v>15839000</v>
      </c>
      <c r="F31" s="36"/>
      <c r="G31" s="36"/>
      <c r="H31" s="37"/>
      <c r="I31" s="38">
        <f t="shared" si="0"/>
        <v>13.896810992999741</v>
      </c>
      <c r="J31" s="39"/>
    </row>
    <row r="32" spans="1:10" x14ac:dyDescent="0.35">
      <c r="A32" s="27" t="s">
        <v>615</v>
      </c>
      <c r="B32" s="35">
        <v>45889</v>
      </c>
      <c r="C32" s="36">
        <v>496000</v>
      </c>
      <c r="D32" s="36">
        <v>595000</v>
      </c>
      <c r="E32" s="36">
        <v>15626000</v>
      </c>
      <c r="F32" s="36"/>
      <c r="G32" s="37"/>
      <c r="H32" s="37"/>
      <c r="I32" s="38">
        <f>(D32/E31)*100</f>
        <v>3.7565502872656102</v>
      </c>
      <c r="J32" s="39"/>
    </row>
    <row r="33" spans="1:10" x14ac:dyDescent="0.35">
      <c r="A33" s="27" t="s">
        <v>8</v>
      </c>
      <c r="B33" s="35">
        <v>45890</v>
      </c>
      <c r="C33" s="36">
        <v>305000</v>
      </c>
      <c r="D33" s="36">
        <v>1725000</v>
      </c>
      <c r="E33" s="36">
        <v>14206000</v>
      </c>
      <c r="F33" s="36"/>
      <c r="G33" s="37"/>
      <c r="H33" s="37"/>
      <c r="I33" s="38">
        <f>(D33/E32)*100</f>
        <v>11.039293485216946</v>
      </c>
      <c r="J33" s="39"/>
    </row>
    <row r="34" spans="1:10" x14ac:dyDescent="0.35">
      <c r="A34" s="34" t="s">
        <v>9</v>
      </c>
      <c r="B34" s="35">
        <v>45891</v>
      </c>
      <c r="C34" s="36">
        <v>2196000</v>
      </c>
      <c r="D34" s="36">
        <v>1265000</v>
      </c>
      <c r="E34" s="36">
        <v>14633000</v>
      </c>
      <c r="F34" s="36"/>
      <c r="G34" s="37"/>
      <c r="H34" s="37"/>
      <c r="I34" s="38">
        <f>(D34/E33)*100</f>
        <v>8.904688159932423</v>
      </c>
      <c r="J34" s="3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A916-493C-4FE4-9EA9-BF90108A63FE}">
  <dimension ref="A1:N1048576"/>
  <sheetViews>
    <sheetView workbookViewId="0">
      <pane ySplit="1" topLeftCell="A411" activePane="bottomLeft" state="frozen"/>
      <selection pane="bottomLeft" activeCell="C385" sqref="C385"/>
    </sheetView>
  </sheetViews>
  <sheetFormatPr baseColWidth="10" defaultRowHeight="14.5" x14ac:dyDescent="0.35"/>
  <cols>
    <col min="1" max="1" width="10.90625" style="18"/>
    <col min="2" max="3" width="19.26953125" customWidth="1"/>
    <col min="4" max="4" width="9.81640625" customWidth="1"/>
    <col min="5" max="5" width="4.90625" customWidth="1"/>
    <col min="6" max="6" width="18.6328125" customWidth="1"/>
    <col min="7" max="7" width="27.7265625" customWidth="1"/>
    <col min="8" max="8" width="4.6328125" customWidth="1"/>
    <col min="9" max="9" width="11.453125" customWidth="1"/>
    <col min="10" max="10" width="11.7265625" style="23" customWidth="1"/>
    <col min="11" max="11" width="11.90625" style="23" customWidth="1"/>
    <col min="12" max="12" width="10.90625" style="23"/>
    <col min="14" max="14" width="13.54296875" customWidth="1"/>
  </cols>
  <sheetData>
    <row r="1" spans="1:14" x14ac:dyDescent="0.35">
      <c r="A1" s="16" t="s">
        <v>1</v>
      </c>
      <c r="B1" s="3" t="s">
        <v>0</v>
      </c>
      <c r="C1" s="3" t="s">
        <v>414</v>
      </c>
      <c r="D1" s="3" t="s">
        <v>616</v>
      </c>
      <c r="E1" s="4" t="s">
        <v>413</v>
      </c>
      <c r="F1" s="3" t="s">
        <v>12</v>
      </c>
      <c r="G1" s="3" t="s">
        <v>13</v>
      </c>
      <c r="H1" s="3" t="s">
        <v>14</v>
      </c>
      <c r="I1" s="3" t="s">
        <v>15</v>
      </c>
      <c r="J1" s="24" t="s">
        <v>16</v>
      </c>
      <c r="K1" s="24" t="s">
        <v>17</v>
      </c>
      <c r="L1" s="24" t="s">
        <v>18</v>
      </c>
      <c r="M1" s="4" t="s">
        <v>19</v>
      </c>
      <c r="N1" s="4" t="s">
        <v>20</v>
      </c>
    </row>
    <row r="2" spans="1:14" x14ac:dyDescent="0.35">
      <c r="A2" s="25">
        <v>45812</v>
      </c>
      <c r="B2" s="26" t="s">
        <v>615</v>
      </c>
      <c r="C2" s="26" t="str">
        <f>VLOOKUP(B2,Referencia!$B$2:$C$12,2,0)</f>
        <v>Tabio</v>
      </c>
      <c r="D2" s="13" t="s">
        <v>617</v>
      </c>
      <c r="E2" s="15" t="str">
        <f>VLOOKUP(F2,Referencia!$A$15:$B$193,2,0)</f>
        <v>R1</v>
      </c>
      <c r="F2" s="14" t="s">
        <v>477</v>
      </c>
      <c r="G2" s="1" t="s">
        <v>21</v>
      </c>
      <c r="H2" s="1">
        <v>1</v>
      </c>
      <c r="I2" s="1" t="s">
        <v>22</v>
      </c>
      <c r="J2" s="21">
        <v>90600</v>
      </c>
      <c r="K2" s="21">
        <v>150000</v>
      </c>
      <c r="L2" s="21">
        <f>K2-J2</f>
        <v>59400</v>
      </c>
      <c r="M2" s="1" t="s">
        <v>23</v>
      </c>
      <c r="N2" s="1" t="s">
        <v>24</v>
      </c>
    </row>
    <row r="3" spans="1:14" x14ac:dyDescent="0.35">
      <c r="A3" s="25">
        <v>45812</v>
      </c>
      <c r="B3" s="26" t="s">
        <v>615</v>
      </c>
      <c r="C3" s="26" t="str">
        <f>VLOOKUP(B3,Referencia!$B$2:$C$12,2,0)</f>
        <v>Tabio</v>
      </c>
      <c r="D3" s="13" t="s">
        <v>617</v>
      </c>
      <c r="E3" s="15" t="str">
        <f>VLOOKUP(F3,Referencia!$A$15:$B$193,2,0)</f>
        <v>R1</v>
      </c>
      <c r="F3" s="14" t="s">
        <v>477</v>
      </c>
      <c r="G3" s="1" t="s">
        <v>25</v>
      </c>
      <c r="H3" s="1">
        <v>1</v>
      </c>
      <c r="I3" s="1" t="s">
        <v>26</v>
      </c>
      <c r="J3" s="21">
        <v>0</v>
      </c>
      <c r="K3" s="21">
        <v>30000</v>
      </c>
      <c r="L3" s="21">
        <f t="shared" ref="L3:L19" si="0">K3-J3</f>
        <v>30000</v>
      </c>
      <c r="M3" s="1" t="s">
        <v>27</v>
      </c>
      <c r="N3" s="1" t="s">
        <v>24</v>
      </c>
    </row>
    <row r="4" spans="1:14" x14ac:dyDescent="0.35">
      <c r="A4" s="25">
        <v>45812</v>
      </c>
      <c r="B4" s="26" t="s">
        <v>615</v>
      </c>
      <c r="C4" s="26" t="str">
        <f>VLOOKUP(B4,Referencia!$B$2:$C$12,2,0)</f>
        <v>Tabio</v>
      </c>
      <c r="D4" s="13" t="s">
        <v>617</v>
      </c>
      <c r="E4" s="15" t="str">
        <f>VLOOKUP(F4,Referencia!$A$15:$B$193,2,0)</f>
        <v>R1</v>
      </c>
      <c r="F4" s="14" t="s">
        <v>477</v>
      </c>
      <c r="G4" s="1" t="s">
        <v>28</v>
      </c>
      <c r="H4" s="1">
        <v>1</v>
      </c>
      <c r="I4" s="1" t="s">
        <v>22</v>
      </c>
      <c r="J4" s="21">
        <v>0</v>
      </c>
      <c r="K4" s="21">
        <v>23333</v>
      </c>
      <c r="L4" s="21">
        <f t="shared" si="0"/>
        <v>23333</v>
      </c>
      <c r="M4" s="1" t="s">
        <v>27</v>
      </c>
      <c r="N4" s="1" t="s">
        <v>24</v>
      </c>
    </row>
    <row r="5" spans="1:14" x14ac:dyDescent="0.35">
      <c r="A5" s="25">
        <v>45812</v>
      </c>
      <c r="B5" s="26" t="s">
        <v>615</v>
      </c>
      <c r="C5" s="26" t="str">
        <f>VLOOKUP(B5,Referencia!$B$2:$C$12,2,0)</f>
        <v>Tabio</v>
      </c>
      <c r="D5" s="13" t="s">
        <v>617</v>
      </c>
      <c r="E5" s="15" t="str">
        <f>VLOOKUP(F5,Referencia!$A$15:$B$193,2,0)</f>
        <v>R1</v>
      </c>
      <c r="F5" s="14" t="s">
        <v>477</v>
      </c>
      <c r="G5" s="1" t="s">
        <v>29</v>
      </c>
      <c r="H5" s="1">
        <v>1</v>
      </c>
      <c r="I5" s="1" t="s">
        <v>22</v>
      </c>
      <c r="J5" s="21">
        <v>0</v>
      </c>
      <c r="K5" s="21">
        <v>23333</v>
      </c>
      <c r="L5" s="21">
        <f t="shared" si="0"/>
        <v>23333</v>
      </c>
      <c r="M5" s="1" t="s">
        <v>27</v>
      </c>
      <c r="N5" s="1" t="s">
        <v>24</v>
      </c>
    </row>
    <row r="6" spans="1:14" x14ac:dyDescent="0.35">
      <c r="A6" s="25">
        <v>45812</v>
      </c>
      <c r="B6" s="26" t="s">
        <v>615</v>
      </c>
      <c r="C6" s="26" t="str">
        <f>VLOOKUP(B6,Referencia!$B$2:$C$12,2,0)</f>
        <v>Tabio</v>
      </c>
      <c r="D6" s="13" t="s">
        <v>617</v>
      </c>
      <c r="E6" s="15" t="str">
        <f>VLOOKUP(F6,Referencia!$A$15:$B$193,2,0)</f>
        <v>R1</v>
      </c>
      <c r="F6" s="14" t="s">
        <v>477</v>
      </c>
      <c r="G6" s="1" t="s">
        <v>30</v>
      </c>
      <c r="H6" s="1">
        <v>1</v>
      </c>
      <c r="I6" s="1" t="s">
        <v>22</v>
      </c>
      <c r="J6" s="21">
        <v>15590</v>
      </c>
      <c r="K6" s="21">
        <v>23333</v>
      </c>
      <c r="L6" s="21">
        <f t="shared" si="0"/>
        <v>7743</v>
      </c>
      <c r="M6" s="1" t="s">
        <v>27</v>
      </c>
      <c r="N6" s="1" t="s">
        <v>24</v>
      </c>
    </row>
    <row r="7" spans="1:14" x14ac:dyDescent="0.35">
      <c r="A7" s="25">
        <v>45812</v>
      </c>
      <c r="B7" s="26" t="s">
        <v>615</v>
      </c>
      <c r="C7" s="26" t="str">
        <f>VLOOKUP(B7,Referencia!$B$2:$C$12,2,0)</f>
        <v>Tabio</v>
      </c>
      <c r="D7" s="13" t="s">
        <v>617</v>
      </c>
      <c r="E7" s="15" t="str">
        <f>VLOOKUP(F7,Referencia!$A$15:$B$193,2,0)</f>
        <v>R1</v>
      </c>
      <c r="F7" s="14" t="s">
        <v>477</v>
      </c>
      <c r="G7" s="1" t="s">
        <v>627</v>
      </c>
      <c r="H7" s="1">
        <v>3</v>
      </c>
      <c r="I7" s="1" t="s">
        <v>31</v>
      </c>
      <c r="J7" s="21">
        <v>60000</v>
      </c>
      <c r="K7" s="21">
        <v>105000</v>
      </c>
      <c r="L7" s="21">
        <f t="shared" si="0"/>
        <v>45000</v>
      </c>
      <c r="M7" s="1" t="s">
        <v>27</v>
      </c>
      <c r="N7" s="1" t="s">
        <v>24</v>
      </c>
    </row>
    <row r="8" spans="1:14" x14ac:dyDescent="0.35">
      <c r="A8" s="25">
        <v>45812</v>
      </c>
      <c r="B8" s="26" t="s">
        <v>615</v>
      </c>
      <c r="C8" s="26" t="str">
        <f>VLOOKUP(B8,Referencia!$B$2:$C$12,2,0)</f>
        <v>Tabio</v>
      </c>
      <c r="D8" s="13" t="s">
        <v>617</v>
      </c>
      <c r="E8" s="15" t="str">
        <f>VLOOKUP(F8,Referencia!$A$15:$B$193,2,0)</f>
        <v>R1</v>
      </c>
      <c r="F8" s="14" t="s">
        <v>477</v>
      </c>
      <c r="G8" s="1" t="s">
        <v>631</v>
      </c>
      <c r="H8" s="1">
        <v>2</v>
      </c>
      <c r="I8" s="1" t="s">
        <v>32</v>
      </c>
      <c r="J8" s="21">
        <v>0</v>
      </c>
      <c r="K8" s="21">
        <v>36000</v>
      </c>
      <c r="L8" s="21">
        <f t="shared" si="0"/>
        <v>36000</v>
      </c>
      <c r="M8" s="1" t="s">
        <v>27</v>
      </c>
      <c r="N8" s="1" t="s">
        <v>24</v>
      </c>
    </row>
    <row r="9" spans="1:14" x14ac:dyDescent="0.35">
      <c r="A9" s="25">
        <v>45812</v>
      </c>
      <c r="B9" s="26" t="s">
        <v>615</v>
      </c>
      <c r="C9" s="26" t="str">
        <f>VLOOKUP(B9,Referencia!$B$2:$C$12,2,0)</f>
        <v>Tabio</v>
      </c>
      <c r="D9" s="13" t="s">
        <v>617</v>
      </c>
      <c r="E9" s="15" t="str">
        <f>VLOOKUP(F9,Referencia!$A$15:$B$193,2,0)</f>
        <v>R1</v>
      </c>
      <c r="F9" s="14" t="s">
        <v>477</v>
      </c>
      <c r="G9" s="1" t="s">
        <v>33</v>
      </c>
      <c r="H9" s="1">
        <v>1</v>
      </c>
      <c r="I9" s="1" t="s">
        <v>22</v>
      </c>
      <c r="J9" s="21">
        <v>15000</v>
      </c>
      <c r="K9" s="21">
        <v>30000</v>
      </c>
      <c r="L9" s="21">
        <f t="shared" si="0"/>
        <v>15000</v>
      </c>
      <c r="M9" s="1" t="s">
        <v>27</v>
      </c>
      <c r="N9" s="1" t="s">
        <v>24</v>
      </c>
    </row>
    <row r="10" spans="1:14" x14ac:dyDescent="0.35">
      <c r="A10" s="17">
        <v>45813</v>
      </c>
      <c r="B10" s="1" t="s">
        <v>8</v>
      </c>
      <c r="C10" s="26" t="str">
        <f>VLOOKUP(B10,Referencia!$B$2:$C$12,2,0)</f>
        <v>Sopó</v>
      </c>
      <c r="D10" s="13" t="s">
        <v>617</v>
      </c>
      <c r="E10" s="15" t="str">
        <f>VLOOKUP(F10,Referencia!$A$15:$B$193,2,0)</f>
        <v>R1</v>
      </c>
      <c r="F10" s="14" t="s">
        <v>477</v>
      </c>
      <c r="G10" s="1" t="s">
        <v>34</v>
      </c>
      <c r="H10" s="1">
        <v>1</v>
      </c>
      <c r="I10" s="1" t="s">
        <v>35</v>
      </c>
      <c r="J10" s="21">
        <v>15600</v>
      </c>
      <c r="K10" s="21">
        <v>20000</v>
      </c>
      <c r="L10" s="21">
        <f t="shared" si="0"/>
        <v>4400</v>
      </c>
      <c r="M10" s="1" t="s">
        <v>27</v>
      </c>
      <c r="N10" s="1" t="s">
        <v>24</v>
      </c>
    </row>
    <row r="11" spans="1:14" x14ac:dyDescent="0.35">
      <c r="A11" s="17">
        <v>45813</v>
      </c>
      <c r="B11" s="1" t="s">
        <v>8</v>
      </c>
      <c r="C11" s="26" t="str">
        <f>VLOOKUP(B11,Referencia!$B$2:$C$12,2,0)</f>
        <v>Sopó</v>
      </c>
      <c r="D11" s="13" t="s">
        <v>617</v>
      </c>
      <c r="E11" s="15" t="str">
        <f>VLOOKUP(F11,Referencia!$A$15:$B$193,2,0)</f>
        <v>R1</v>
      </c>
      <c r="F11" s="14" t="s">
        <v>477</v>
      </c>
      <c r="G11" s="1" t="s">
        <v>36</v>
      </c>
      <c r="H11" s="1">
        <v>1</v>
      </c>
      <c r="I11" s="1" t="s">
        <v>22</v>
      </c>
      <c r="J11" s="21">
        <v>9400</v>
      </c>
      <c r="K11" s="21">
        <v>20000</v>
      </c>
      <c r="L11" s="21">
        <f t="shared" si="0"/>
        <v>10600</v>
      </c>
      <c r="M11" s="1" t="s">
        <v>27</v>
      </c>
      <c r="N11" s="1" t="s">
        <v>24</v>
      </c>
    </row>
    <row r="12" spans="1:14" x14ac:dyDescent="0.35">
      <c r="A12" s="17">
        <v>45813</v>
      </c>
      <c r="B12" s="1" t="s">
        <v>8</v>
      </c>
      <c r="C12" s="26" t="str">
        <f>VLOOKUP(B12,Referencia!$B$2:$C$12,2,0)</f>
        <v>Sopó</v>
      </c>
      <c r="D12" s="13" t="s">
        <v>617</v>
      </c>
      <c r="E12" s="15" t="str">
        <f>VLOOKUP(F12,Referencia!$A$15:$B$193,2,0)</f>
        <v>R1</v>
      </c>
      <c r="F12" s="14" t="s">
        <v>477</v>
      </c>
      <c r="G12" s="1" t="s">
        <v>37</v>
      </c>
      <c r="H12" s="1">
        <v>1</v>
      </c>
      <c r="I12" s="1" t="s">
        <v>22</v>
      </c>
      <c r="J12" s="21">
        <v>5329</v>
      </c>
      <c r="K12" s="21">
        <v>9000</v>
      </c>
      <c r="L12" s="21">
        <f t="shared" si="0"/>
        <v>3671</v>
      </c>
      <c r="M12" s="1" t="s">
        <v>27</v>
      </c>
      <c r="N12" s="1" t="s">
        <v>24</v>
      </c>
    </row>
    <row r="13" spans="1:14" x14ac:dyDescent="0.35">
      <c r="A13" s="17">
        <v>45813</v>
      </c>
      <c r="B13" s="1" t="s">
        <v>8</v>
      </c>
      <c r="C13" s="26" t="str">
        <f>VLOOKUP(B13,Referencia!$B$2:$C$12,2,0)</f>
        <v>Sopó</v>
      </c>
      <c r="D13" s="13" t="s">
        <v>617</v>
      </c>
      <c r="E13" s="15" t="str">
        <f>VLOOKUP(F13,Referencia!$A$15:$B$193,2,0)</f>
        <v>R1</v>
      </c>
      <c r="F13" s="14" t="s">
        <v>477</v>
      </c>
      <c r="G13" s="1" t="s">
        <v>38</v>
      </c>
      <c r="H13" s="1">
        <v>1</v>
      </c>
      <c r="I13" s="1" t="s">
        <v>22</v>
      </c>
      <c r="J13" s="21">
        <v>5000</v>
      </c>
      <c r="K13" s="21">
        <v>9000</v>
      </c>
      <c r="L13" s="21">
        <f t="shared" si="0"/>
        <v>4000</v>
      </c>
      <c r="M13" s="1" t="s">
        <v>27</v>
      </c>
      <c r="N13" s="1" t="s">
        <v>24</v>
      </c>
    </row>
    <row r="14" spans="1:14" x14ac:dyDescent="0.35">
      <c r="A14" s="17">
        <v>45813</v>
      </c>
      <c r="B14" s="1" t="s">
        <v>8</v>
      </c>
      <c r="C14" s="26" t="str">
        <f>VLOOKUP(B14,Referencia!$B$2:$C$12,2,0)</f>
        <v>Sopó</v>
      </c>
      <c r="D14" s="13" t="s">
        <v>617</v>
      </c>
      <c r="E14" s="15" t="str">
        <f>VLOOKUP(F14,Referencia!$A$15:$B$193,2,0)</f>
        <v>R1</v>
      </c>
      <c r="F14" s="14" t="s">
        <v>477</v>
      </c>
      <c r="G14" s="1" t="s">
        <v>39</v>
      </c>
      <c r="H14" s="1">
        <v>1</v>
      </c>
      <c r="I14" s="5" t="s">
        <v>40</v>
      </c>
      <c r="J14" s="21">
        <v>30000</v>
      </c>
      <c r="K14" s="21">
        <v>45000</v>
      </c>
      <c r="L14" s="21">
        <f t="shared" si="0"/>
        <v>15000</v>
      </c>
      <c r="M14" s="1" t="s">
        <v>27</v>
      </c>
      <c r="N14" s="1" t="s">
        <v>24</v>
      </c>
    </row>
    <row r="15" spans="1:14" x14ac:dyDescent="0.35">
      <c r="A15" s="17">
        <v>45813</v>
      </c>
      <c r="B15" s="1" t="s">
        <v>8</v>
      </c>
      <c r="C15" s="26" t="str">
        <f>VLOOKUP(B15,Referencia!$B$2:$C$12,2,0)</f>
        <v>Sopó</v>
      </c>
      <c r="D15" s="13" t="s">
        <v>617</v>
      </c>
      <c r="E15" s="15" t="str">
        <f>VLOOKUP(F15,Referencia!$A$15:$B$193,2,0)</f>
        <v>R1</v>
      </c>
      <c r="F15" s="14" t="s">
        <v>477</v>
      </c>
      <c r="G15" s="1" t="s">
        <v>41</v>
      </c>
      <c r="H15" s="1">
        <v>1</v>
      </c>
      <c r="I15" s="5" t="s">
        <v>40</v>
      </c>
      <c r="J15" s="21">
        <v>18000</v>
      </c>
      <c r="K15" s="21">
        <v>0</v>
      </c>
      <c r="L15" s="21">
        <f t="shared" si="0"/>
        <v>-18000</v>
      </c>
      <c r="M15" s="1" t="s">
        <v>27</v>
      </c>
      <c r="N15" s="1" t="s">
        <v>24</v>
      </c>
    </row>
    <row r="16" spans="1:14" x14ac:dyDescent="0.35">
      <c r="A16" s="17">
        <v>45813</v>
      </c>
      <c r="B16" s="1" t="s">
        <v>8</v>
      </c>
      <c r="C16" s="26" t="str">
        <f>VLOOKUP(B16,Referencia!$B$2:$C$12,2,0)</f>
        <v>Sopó</v>
      </c>
      <c r="D16" s="13" t="s">
        <v>617</v>
      </c>
      <c r="E16" s="15" t="str">
        <f>VLOOKUP(F16,Referencia!$A$15:$B$193,2,0)</f>
        <v>R1</v>
      </c>
      <c r="F16" s="14" t="s">
        <v>477</v>
      </c>
      <c r="G16" s="1" t="s">
        <v>42</v>
      </c>
      <c r="H16" s="1">
        <v>1</v>
      </c>
      <c r="I16" s="1" t="s">
        <v>43</v>
      </c>
      <c r="J16" s="21">
        <v>21418</v>
      </c>
      <c r="K16" s="21">
        <v>48000</v>
      </c>
      <c r="L16" s="21">
        <f t="shared" si="0"/>
        <v>26582</v>
      </c>
      <c r="M16" s="1" t="s">
        <v>27</v>
      </c>
      <c r="N16" s="1" t="s">
        <v>24</v>
      </c>
    </row>
    <row r="17" spans="1:14" x14ac:dyDescent="0.35">
      <c r="A17" s="17">
        <v>45813</v>
      </c>
      <c r="B17" s="1" t="s">
        <v>8</v>
      </c>
      <c r="C17" s="26" t="str">
        <f>VLOOKUP(B17,Referencia!$B$2:$C$12,2,0)</f>
        <v>Sopó</v>
      </c>
      <c r="D17" s="13" t="s">
        <v>617</v>
      </c>
      <c r="E17" s="15" t="str">
        <f>VLOOKUP(F17,Referencia!$A$15:$B$193,2,0)</f>
        <v>R1</v>
      </c>
      <c r="F17" s="14" t="s">
        <v>477</v>
      </c>
      <c r="G17" s="1" t="s">
        <v>30</v>
      </c>
      <c r="H17" s="1">
        <v>1</v>
      </c>
      <c r="I17" s="1" t="s">
        <v>22</v>
      </c>
      <c r="J17" s="21">
        <v>15590</v>
      </c>
      <c r="K17" s="21">
        <v>25000</v>
      </c>
      <c r="L17" s="21">
        <f t="shared" si="0"/>
        <v>9410</v>
      </c>
      <c r="M17" s="1" t="s">
        <v>27</v>
      </c>
      <c r="N17" s="1" t="s">
        <v>24</v>
      </c>
    </row>
    <row r="18" spans="1:14" x14ac:dyDescent="0.35">
      <c r="A18" s="17">
        <v>45813</v>
      </c>
      <c r="B18" s="1" t="s">
        <v>8</v>
      </c>
      <c r="C18" s="26" t="str">
        <f>VLOOKUP(B18,Referencia!$B$2:$C$12,2,0)</f>
        <v>Sopó</v>
      </c>
      <c r="D18" s="13" t="s">
        <v>617</v>
      </c>
      <c r="E18" s="15" t="str">
        <f>VLOOKUP(F18,Referencia!$A$15:$B$193,2,0)</f>
        <v>R1</v>
      </c>
      <c r="F18" s="14" t="s">
        <v>477</v>
      </c>
      <c r="G18" s="1" t="s">
        <v>631</v>
      </c>
      <c r="H18" s="1">
        <v>1</v>
      </c>
      <c r="I18" s="1" t="s">
        <v>32</v>
      </c>
      <c r="J18" s="21">
        <v>10500</v>
      </c>
      <c r="K18" s="21">
        <v>18000</v>
      </c>
      <c r="L18" s="21">
        <f t="shared" si="0"/>
        <v>7500</v>
      </c>
      <c r="M18" s="1" t="s">
        <v>27</v>
      </c>
      <c r="N18" s="1" t="s">
        <v>24</v>
      </c>
    </row>
    <row r="19" spans="1:14" x14ac:dyDescent="0.35">
      <c r="A19" s="17">
        <v>45813</v>
      </c>
      <c r="B19" s="1" t="s">
        <v>8</v>
      </c>
      <c r="C19" s="26" t="str">
        <f>VLOOKUP(B19,Referencia!$B$2:$C$12,2,0)</f>
        <v>Sopó</v>
      </c>
      <c r="D19" s="13" t="s">
        <v>617</v>
      </c>
      <c r="E19" s="15" t="str">
        <f>VLOOKUP(F19,Referencia!$A$15:$B$193,2,0)</f>
        <v>R1</v>
      </c>
      <c r="F19" s="14" t="s">
        <v>477</v>
      </c>
      <c r="G19" s="1" t="s">
        <v>44</v>
      </c>
      <c r="H19" s="1">
        <v>1</v>
      </c>
      <c r="I19" s="5" t="s">
        <v>40</v>
      </c>
      <c r="J19" s="21">
        <v>20000</v>
      </c>
      <c r="K19" s="21">
        <v>35000</v>
      </c>
      <c r="L19" s="21">
        <f t="shared" si="0"/>
        <v>15000</v>
      </c>
      <c r="M19" s="1" t="s">
        <v>27</v>
      </c>
      <c r="N19" s="1" t="s">
        <v>24</v>
      </c>
    </row>
    <row r="20" spans="1:14" x14ac:dyDescent="0.35">
      <c r="A20" s="17">
        <v>45813</v>
      </c>
      <c r="B20" s="1" t="s">
        <v>8</v>
      </c>
      <c r="C20" s="26" t="str">
        <f>VLOOKUP(B20,Referencia!$B$2:$C$12,2,0)</f>
        <v>Sopó</v>
      </c>
      <c r="D20" s="13" t="s">
        <v>617</v>
      </c>
      <c r="E20" s="15" t="str">
        <f>VLOOKUP(F20,Referencia!$A$15:$B$193,2,0)</f>
        <v>R1</v>
      </c>
      <c r="F20" s="14" t="s">
        <v>477</v>
      </c>
      <c r="G20" s="1" t="s">
        <v>45</v>
      </c>
      <c r="H20" s="1">
        <v>1</v>
      </c>
      <c r="I20" s="5" t="s">
        <v>40</v>
      </c>
      <c r="J20" s="21">
        <v>38000</v>
      </c>
      <c r="K20" s="21">
        <v>70000</v>
      </c>
      <c r="L20" s="21">
        <f t="shared" ref="L20:L51" si="1">K20-J20</f>
        <v>32000</v>
      </c>
      <c r="M20" s="1" t="s">
        <v>27</v>
      </c>
      <c r="N20" s="1" t="s">
        <v>24</v>
      </c>
    </row>
    <row r="21" spans="1:14" x14ac:dyDescent="0.35">
      <c r="A21" s="17">
        <v>45813</v>
      </c>
      <c r="B21" s="1" t="s">
        <v>8</v>
      </c>
      <c r="C21" s="26" t="str">
        <f>VLOOKUP(B21,Referencia!$B$2:$C$12,2,0)</f>
        <v>Sopó</v>
      </c>
      <c r="D21" s="13" t="s">
        <v>617</v>
      </c>
      <c r="E21" s="15" t="str">
        <f>VLOOKUP(F21,Referencia!$A$15:$B$193,2,0)</f>
        <v>R1</v>
      </c>
      <c r="F21" s="14" t="s">
        <v>477</v>
      </c>
      <c r="G21" s="1" t="s">
        <v>46</v>
      </c>
      <c r="H21" s="1">
        <v>1</v>
      </c>
      <c r="I21" s="1" t="s">
        <v>43</v>
      </c>
      <c r="J21" s="21">
        <v>46053</v>
      </c>
      <c r="K21" s="21">
        <v>85000</v>
      </c>
      <c r="L21" s="21">
        <f t="shared" si="1"/>
        <v>38947</v>
      </c>
      <c r="M21" s="1" t="s">
        <v>27</v>
      </c>
      <c r="N21" s="1" t="s">
        <v>24</v>
      </c>
    </row>
    <row r="22" spans="1:14" x14ac:dyDescent="0.35">
      <c r="A22" s="17">
        <v>45813</v>
      </c>
      <c r="B22" s="1" t="s">
        <v>8</v>
      </c>
      <c r="C22" s="26" t="str">
        <f>VLOOKUP(B22,Referencia!$B$2:$C$12,2,0)</f>
        <v>Sopó</v>
      </c>
      <c r="D22" s="13" t="s">
        <v>617</v>
      </c>
      <c r="E22" s="15" t="str">
        <f>VLOOKUP(F22,Referencia!$A$15:$B$193,2,0)</f>
        <v>R1</v>
      </c>
      <c r="F22" s="14" t="s">
        <v>477</v>
      </c>
      <c r="G22" s="1" t="s">
        <v>47</v>
      </c>
      <c r="H22" s="1">
        <v>1</v>
      </c>
      <c r="I22" s="1" t="s">
        <v>22</v>
      </c>
      <c r="J22" s="21">
        <v>116000</v>
      </c>
      <c r="K22" s="21">
        <v>190000</v>
      </c>
      <c r="L22" s="21">
        <f t="shared" si="1"/>
        <v>74000</v>
      </c>
      <c r="M22" s="1" t="s">
        <v>27</v>
      </c>
      <c r="N22" s="1" t="s">
        <v>24</v>
      </c>
    </row>
    <row r="23" spans="1:14" x14ac:dyDescent="0.35">
      <c r="A23" s="17">
        <v>45814</v>
      </c>
      <c r="B23" s="1" t="s">
        <v>9</v>
      </c>
      <c r="C23" s="26" t="str">
        <f>VLOOKUP(F23,Clientes!$B$2:$C$179,2,0)</f>
        <v>Chia</v>
      </c>
      <c r="D23" s="1" t="s">
        <v>619</v>
      </c>
      <c r="E23" s="15">
        <f>VLOOKUP(F23,Referencia!$A$15:$B$193,2,0)</f>
        <v>10</v>
      </c>
      <c r="F23" s="1" t="s">
        <v>622</v>
      </c>
      <c r="G23" s="1" t="s">
        <v>48</v>
      </c>
      <c r="H23" s="1">
        <v>1</v>
      </c>
      <c r="I23" s="5" t="s">
        <v>40</v>
      </c>
      <c r="J23" s="21">
        <v>18000</v>
      </c>
      <c r="K23" s="21">
        <v>35000</v>
      </c>
      <c r="L23" s="21">
        <f t="shared" si="1"/>
        <v>17000</v>
      </c>
      <c r="M23" s="1" t="s">
        <v>27</v>
      </c>
      <c r="N23" s="1" t="s">
        <v>24</v>
      </c>
    </row>
    <row r="24" spans="1:14" x14ac:dyDescent="0.35">
      <c r="A24" s="17">
        <v>45814</v>
      </c>
      <c r="B24" s="1" t="s">
        <v>9</v>
      </c>
      <c r="C24" s="26" t="str">
        <f>VLOOKUP(F24,Clientes!$B$2:$C$179,2,0)</f>
        <v>Chia</v>
      </c>
      <c r="D24" s="1" t="s">
        <v>619</v>
      </c>
      <c r="E24" s="15">
        <f>VLOOKUP(F24,Referencia!$A$15:$B$193,2,0)</f>
        <v>10</v>
      </c>
      <c r="F24" s="1" t="s">
        <v>622</v>
      </c>
      <c r="G24" s="1" t="s">
        <v>49</v>
      </c>
      <c r="H24" s="1">
        <v>1</v>
      </c>
      <c r="I24" s="1" t="s">
        <v>35</v>
      </c>
      <c r="J24" s="21">
        <v>540000</v>
      </c>
      <c r="K24" s="21">
        <v>900000</v>
      </c>
      <c r="L24" s="21">
        <f t="shared" si="1"/>
        <v>360000</v>
      </c>
      <c r="M24" s="1" t="s">
        <v>27</v>
      </c>
      <c r="N24" s="1" t="s">
        <v>24</v>
      </c>
    </row>
    <row r="25" spans="1:14" x14ac:dyDescent="0.35">
      <c r="A25" s="17">
        <v>45814</v>
      </c>
      <c r="B25" s="1" t="s">
        <v>9</v>
      </c>
      <c r="C25" s="26" t="str">
        <f>VLOOKUP(F25,Clientes!$B$2:$C$179,2,0)</f>
        <v>Chia</v>
      </c>
      <c r="D25" s="1" t="s">
        <v>619</v>
      </c>
      <c r="E25" s="15">
        <f>VLOOKUP(F25,Referencia!$A$15:$B$193,2,0)</f>
        <v>9</v>
      </c>
      <c r="F25" s="1" t="s">
        <v>50</v>
      </c>
      <c r="G25" s="1" t="s">
        <v>51</v>
      </c>
      <c r="H25" s="1">
        <v>1</v>
      </c>
      <c r="I25" s="1" t="s">
        <v>43</v>
      </c>
      <c r="J25" s="21">
        <v>600000</v>
      </c>
      <c r="K25" s="21">
        <v>1250000</v>
      </c>
      <c r="L25" s="21">
        <f t="shared" si="1"/>
        <v>650000</v>
      </c>
      <c r="M25" s="1" t="s">
        <v>27</v>
      </c>
      <c r="N25" s="1" t="s">
        <v>24</v>
      </c>
    </row>
    <row r="26" spans="1:14" x14ac:dyDescent="0.35">
      <c r="A26" s="17">
        <v>45814</v>
      </c>
      <c r="B26" s="1" t="s">
        <v>9</v>
      </c>
      <c r="C26" s="26" t="str">
        <f>VLOOKUP(F26,Clientes!$B$2:$C$179,2,0)</f>
        <v>Funza</v>
      </c>
      <c r="D26" s="1" t="s">
        <v>619</v>
      </c>
      <c r="E26" s="15">
        <f>VLOOKUP(F26,Referencia!$A$15:$B$193,2,0)</f>
        <v>21</v>
      </c>
      <c r="F26" s="1" t="s">
        <v>52</v>
      </c>
      <c r="G26" s="1" t="s">
        <v>53</v>
      </c>
      <c r="H26" s="1">
        <v>1</v>
      </c>
      <c r="I26" s="1" t="s">
        <v>22</v>
      </c>
      <c r="J26" s="21">
        <v>4403</v>
      </c>
      <c r="K26" s="21">
        <v>8000</v>
      </c>
      <c r="L26" s="21">
        <f t="shared" si="1"/>
        <v>3597</v>
      </c>
      <c r="M26" s="1" t="s">
        <v>27</v>
      </c>
      <c r="N26" s="1" t="s">
        <v>24</v>
      </c>
    </row>
    <row r="27" spans="1:14" x14ac:dyDescent="0.35">
      <c r="A27" s="17">
        <v>45819</v>
      </c>
      <c r="B27" s="1" t="s">
        <v>615</v>
      </c>
      <c r="C27" s="26" t="str">
        <f>VLOOKUP(F27,Clientes!$B$2:$C$179,2,0)</f>
        <v>Tenjo</v>
      </c>
      <c r="D27" s="1" t="s">
        <v>619</v>
      </c>
      <c r="E27" s="15">
        <f>VLOOKUP(F27,Referencia!$A$15:$B$193,2,0)</f>
        <v>6</v>
      </c>
      <c r="F27" s="1" t="s">
        <v>126</v>
      </c>
      <c r="G27" s="1" t="s">
        <v>54</v>
      </c>
      <c r="H27" s="1">
        <v>1</v>
      </c>
      <c r="I27" s="1" t="s">
        <v>22</v>
      </c>
      <c r="J27" s="21">
        <v>12162</v>
      </c>
      <c r="K27" s="21">
        <v>20000</v>
      </c>
      <c r="L27" s="21">
        <f t="shared" si="1"/>
        <v>7838</v>
      </c>
      <c r="M27" s="1" t="s">
        <v>27</v>
      </c>
      <c r="N27" s="1" t="s">
        <v>24</v>
      </c>
    </row>
    <row r="28" spans="1:14" x14ac:dyDescent="0.35">
      <c r="A28" s="17">
        <v>45819</v>
      </c>
      <c r="B28" s="1" t="s">
        <v>615</v>
      </c>
      <c r="C28" s="26" t="str">
        <f>VLOOKUP(F28,Clientes!$B$2:$C$179,2,0)</f>
        <v>Tenjo</v>
      </c>
      <c r="D28" s="1" t="s">
        <v>619</v>
      </c>
      <c r="E28" s="15">
        <f>VLOOKUP(F28,Referencia!$A$15:$B$193,2,0)</f>
        <v>6</v>
      </c>
      <c r="F28" s="1" t="s">
        <v>126</v>
      </c>
      <c r="G28" s="1" t="s">
        <v>55</v>
      </c>
      <c r="H28" s="1">
        <v>1</v>
      </c>
      <c r="I28" s="1" t="s">
        <v>22</v>
      </c>
      <c r="J28" s="21">
        <v>11665</v>
      </c>
      <c r="K28" s="21">
        <v>18000</v>
      </c>
      <c r="L28" s="21">
        <f t="shared" si="1"/>
        <v>6335</v>
      </c>
      <c r="M28" s="1" t="s">
        <v>27</v>
      </c>
      <c r="N28" s="1" t="s">
        <v>24</v>
      </c>
    </row>
    <row r="29" spans="1:14" x14ac:dyDescent="0.35">
      <c r="A29" s="17">
        <v>45819</v>
      </c>
      <c r="B29" s="1" t="s">
        <v>615</v>
      </c>
      <c r="C29" s="26" t="str">
        <f>VLOOKUP(F29,Clientes!$B$2:$C$179,2,0)</f>
        <v>Tenjo</v>
      </c>
      <c r="D29" s="1" t="s">
        <v>619</v>
      </c>
      <c r="E29" s="15">
        <f>VLOOKUP(F29,Referencia!$A$15:$B$193,2,0)</f>
        <v>6</v>
      </c>
      <c r="F29" s="1" t="s">
        <v>126</v>
      </c>
      <c r="G29" s="1" t="s">
        <v>56</v>
      </c>
      <c r="H29" s="1">
        <v>1</v>
      </c>
      <c r="I29" s="1" t="s">
        <v>22</v>
      </c>
      <c r="J29" s="21">
        <v>11580</v>
      </c>
      <c r="K29" s="21">
        <v>18000</v>
      </c>
      <c r="L29" s="21">
        <f t="shared" si="1"/>
        <v>6420</v>
      </c>
      <c r="M29" s="1" t="s">
        <v>27</v>
      </c>
      <c r="N29" s="1" t="s">
        <v>24</v>
      </c>
    </row>
    <row r="30" spans="1:14" x14ac:dyDescent="0.35">
      <c r="A30" s="17">
        <v>45819</v>
      </c>
      <c r="B30" s="1" t="s">
        <v>615</v>
      </c>
      <c r="C30" s="26" t="str">
        <f>VLOOKUP(F30,Clientes!$B$2:$C$179,2,0)</f>
        <v>Tabio</v>
      </c>
      <c r="D30" s="1" t="s">
        <v>619</v>
      </c>
      <c r="E30" s="15">
        <f>VLOOKUP(F30,Referencia!$A$15:$B$193,2,0)</f>
        <v>45</v>
      </c>
      <c r="F30" s="1" t="s">
        <v>57</v>
      </c>
      <c r="G30" s="1" t="s">
        <v>45</v>
      </c>
      <c r="H30" s="1">
        <v>1</v>
      </c>
      <c r="I30" s="5" t="s">
        <v>40</v>
      </c>
      <c r="J30" s="21">
        <v>38000</v>
      </c>
      <c r="K30" s="21">
        <v>75000</v>
      </c>
      <c r="L30" s="21">
        <f t="shared" si="1"/>
        <v>37000</v>
      </c>
      <c r="M30" s="1" t="s">
        <v>27</v>
      </c>
      <c r="N30" s="1" t="s">
        <v>24</v>
      </c>
    </row>
    <row r="31" spans="1:14" x14ac:dyDescent="0.35">
      <c r="A31" s="17">
        <v>45819</v>
      </c>
      <c r="B31" s="1" t="s">
        <v>615</v>
      </c>
      <c r="C31" s="26" t="str">
        <f>VLOOKUP(F31,Clientes!$B$2:$C$179,2,0)</f>
        <v>Tabio</v>
      </c>
      <c r="D31" s="1" t="s">
        <v>619</v>
      </c>
      <c r="E31" s="15">
        <f>VLOOKUP(F31,Referencia!$A$15:$B$193,2,0)</f>
        <v>180</v>
      </c>
      <c r="F31" s="1" t="s">
        <v>463</v>
      </c>
      <c r="G31" s="1" t="s">
        <v>58</v>
      </c>
      <c r="H31" s="1">
        <v>1</v>
      </c>
      <c r="I31" s="5" t="s">
        <v>59</v>
      </c>
      <c r="J31" s="21">
        <v>55000</v>
      </c>
      <c r="K31" s="21">
        <v>120000</v>
      </c>
      <c r="L31" s="21">
        <f t="shared" si="1"/>
        <v>65000</v>
      </c>
      <c r="M31" s="1" t="s">
        <v>27</v>
      </c>
      <c r="N31" s="1" t="s">
        <v>24</v>
      </c>
    </row>
    <row r="32" spans="1:14" x14ac:dyDescent="0.35">
      <c r="A32" s="17">
        <v>45819</v>
      </c>
      <c r="B32" s="1" t="s">
        <v>615</v>
      </c>
      <c r="C32" s="26" t="str">
        <f>VLOOKUP(F32,Clientes!$B$2:$C$179,2,0)</f>
        <v>Tabio</v>
      </c>
      <c r="D32" s="1" t="s">
        <v>619</v>
      </c>
      <c r="E32" s="15">
        <f>VLOOKUP(F32,Referencia!$A$15:$B$193,2,0)</f>
        <v>180</v>
      </c>
      <c r="F32" s="1" t="s">
        <v>463</v>
      </c>
      <c r="G32" s="1" t="s">
        <v>60</v>
      </c>
      <c r="H32" s="1">
        <v>6</v>
      </c>
      <c r="I32" s="6" t="s">
        <v>59</v>
      </c>
      <c r="J32" s="21">
        <f>6*5000</f>
        <v>30000</v>
      </c>
      <c r="K32" s="21">
        <f>6*10000</f>
        <v>60000</v>
      </c>
      <c r="L32" s="21">
        <f t="shared" si="1"/>
        <v>30000</v>
      </c>
      <c r="M32" s="1" t="s">
        <v>23</v>
      </c>
      <c r="N32" s="1" t="s">
        <v>24</v>
      </c>
    </row>
    <row r="33" spans="1:14" x14ac:dyDescent="0.35">
      <c r="A33" s="17">
        <v>45819</v>
      </c>
      <c r="B33" s="1" t="s">
        <v>615</v>
      </c>
      <c r="C33" s="26" t="str">
        <f>VLOOKUP(F33,Clientes!$B$2:$C$179,2,0)</f>
        <v>Tenjo</v>
      </c>
      <c r="D33" s="1" t="s">
        <v>619</v>
      </c>
      <c r="E33" s="15">
        <f>VLOOKUP(F33,Referencia!$A$15:$B$193,2,0)</f>
        <v>37</v>
      </c>
      <c r="F33" s="1" t="s">
        <v>61</v>
      </c>
      <c r="G33" s="1" t="s">
        <v>62</v>
      </c>
      <c r="H33" s="1">
        <v>1</v>
      </c>
      <c r="I33" s="5" t="s">
        <v>40</v>
      </c>
      <c r="J33" s="21">
        <v>60000</v>
      </c>
      <c r="K33" s="21">
        <v>90000</v>
      </c>
      <c r="L33" s="21">
        <f t="shared" si="1"/>
        <v>30000</v>
      </c>
      <c r="M33" s="1" t="s">
        <v>23</v>
      </c>
      <c r="N33" s="1" t="s">
        <v>24</v>
      </c>
    </row>
    <row r="34" spans="1:14" x14ac:dyDescent="0.35">
      <c r="A34" s="17">
        <v>45819</v>
      </c>
      <c r="B34" s="1" t="s">
        <v>615</v>
      </c>
      <c r="C34" s="26" t="str">
        <f>VLOOKUP(F34,Clientes!$B$2:$C$179,2,0)</f>
        <v>Tabio</v>
      </c>
      <c r="D34" s="1" t="s">
        <v>619</v>
      </c>
      <c r="E34" s="15">
        <f>VLOOKUP(F34,Referencia!$A$15:$B$193,2,0)</f>
        <v>181</v>
      </c>
      <c r="F34" s="1" t="s">
        <v>63</v>
      </c>
      <c r="G34" s="1" t="s">
        <v>33</v>
      </c>
      <c r="H34" s="1">
        <v>1</v>
      </c>
      <c r="I34" s="1" t="s">
        <v>22</v>
      </c>
      <c r="J34" s="21">
        <v>15000</v>
      </c>
      <c r="K34" s="21">
        <v>30000</v>
      </c>
      <c r="L34" s="21">
        <f t="shared" si="1"/>
        <v>15000</v>
      </c>
      <c r="M34" s="1" t="s">
        <v>23</v>
      </c>
      <c r="N34" s="1" t="s">
        <v>24</v>
      </c>
    </row>
    <row r="35" spans="1:14" x14ac:dyDescent="0.35">
      <c r="A35" s="17">
        <v>45819</v>
      </c>
      <c r="B35" s="1" t="s">
        <v>615</v>
      </c>
      <c r="C35" s="26" t="str">
        <f>VLOOKUP(F35,Clientes!$B$2:$C$179,2,0)</f>
        <v>Tabio</v>
      </c>
      <c r="D35" s="1" t="s">
        <v>619</v>
      </c>
      <c r="E35" s="15">
        <f>VLOOKUP(F35,Referencia!$A$15:$B$193,2,0)</f>
        <v>181</v>
      </c>
      <c r="F35" s="1" t="s">
        <v>63</v>
      </c>
      <c r="G35" s="1" t="s">
        <v>64</v>
      </c>
      <c r="H35" s="1">
        <v>1</v>
      </c>
      <c r="I35" s="5" t="s">
        <v>40</v>
      </c>
      <c r="J35" s="21">
        <v>15500</v>
      </c>
      <c r="K35" s="21">
        <v>20000</v>
      </c>
      <c r="L35" s="21">
        <f t="shared" si="1"/>
        <v>4500</v>
      </c>
      <c r="M35" s="1" t="s">
        <v>23</v>
      </c>
      <c r="N35" s="1" t="s">
        <v>24</v>
      </c>
    </row>
    <row r="36" spans="1:14" x14ac:dyDescent="0.35">
      <c r="A36" s="17">
        <v>45819</v>
      </c>
      <c r="B36" s="1" t="s">
        <v>615</v>
      </c>
      <c r="C36" s="26" t="str">
        <f>VLOOKUP(F36,Clientes!$B$2:$C$179,2,0)</f>
        <v>Tabio</v>
      </c>
      <c r="D36" s="1" t="s">
        <v>619</v>
      </c>
      <c r="E36" s="15">
        <f>VLOOKUP(F36,Referencia!$A$15:$B$193,2,0)</f>
        <v>180</v>
      </c>
      <c r="F36" s="1" t="s">
        <v>463</v>
      </c>
      <c r="G36" s="1" t="s">
        <v>65</v>
      </c>
      <c r="H36" s="1">
        <v>1</v>
      </c>
      <c r="I36" s="5" t="s">
        <v>40</v>
      </c>
      <c r="J36" s="21">
        <v>20000</v>
      </c>
      <c r="K36" s="21">
        <v>40000</v>
      </c>
      <c r="L36" s="21">
        <f t="shared" si="1"/>
        <v>20000</v>
      </c>
      <c r="M36" s="1" t="s">
        <v>23</v>
      </c>
      <c r="N36" s="1" t="s">
        <v>24</v>
      </c>
    </row>
    <row r="37" spans="1:14" x14ac:dyDescent="0.35">
      <c r="A37" s="17">
        <v>45819</v>
      </c>
      <c r="B37" s="1" t="s">
        <v>615</v>
      </c>
      <c r="C37" s="26" t="str">
        <f>VLOOKUP(B37,Referencia!$B$2:$C$12,2,0)</f>
        <v>Tabio</v>
      </c>
      <c r="D37" s="1" t="s">
        <v>619</v>
      </c>
      <c r="E37" s="15" t="str">
        <f>VLOOKUP(F37,Referencia!$A$15:$B$193,2,0)</f>
        <v>R1</v>
      </c>
      <c r="F37" s="1" t="s">
        <v>477</v>
      </c>
      <c r="G37" s="1" t="s">
        <v>53</v>
      </c>
      <c r="H37" s="1">
        <v>1</v>
      </c>
      <c r="I37" s="1" t="s">
        <v>26</v>
      </c>
      <c r="J37" s="21">
        <v>4403</v>
      </c>
      <c r="K37" s="21">
        <v>8000</v>
      </c>
      <c r="L37" s="21">
        <f t="shared" si="1"/>
        <v>3597</v>
      </c>
      <c r="M37" s="1" t="s">
        <v>23</v>
      </c>
      <c r="N37" s="1" t="s">
        <v>24</v>
      </c>
    </row>
    <row r="38" spans="1:14" x14ac:dyDescent="0.35">
      <c r="A38" s="17">
        <v>45820</v>
      </c>
      <c r="B38" s="1" t="s">
        <v>8</v>
      </c>
      <c r="C38" s="26" t="str">
        <f>VLOOKUP(F38,Clientes!$B$2:$C$179,2,0)</f>
        <v>Sopó</v>
      </c>
      <c r="D38" s="1" t="s">
        <v>619</v>
      </c>
      <c r="E38" s="15">
        <f>VLOOKUP(F38,Referencia!$A$15:$B$193,2,0)</f>
        <v>2</v>
      </c>
      <c r="F38" s="1" t="s">
        <v>112</v>
      </c>
      <c r="G38" s="1" t="s">
        <v>54</v>
      </c>
      <c r="H38" s="1">
        <v>2</v>
      </c>
      <c r="I38" s="1" t="s">
        <v>22</v>
      </c>
      <c r="J38" s="21">
        <f>12162*2</f>
        <v>24324</v>
      </c>
      <c r="K38" s="21">
        <v>40000</v>
      </c>
      <c r="L38" s="21">
        <f t="shared" si="1"/>
        <v>15676</v>
      </c>
      <c r="M38" s="1" t="s">
        <v>23</v>
      </c>
      <c r="N38" s="1" t="s">
        <v>24</v>
      </c>
    </row>
    <row r="39" spans="1:14" x14ac:dyDescent="0.35">
      <c r="A39" s="17">
        <v>45820</v>
      </c>
      <c r="B39" s="1" t="s">
        <v>8</v>
      </c>
      <c r="C39" s="26" t="str">
        <f>VLOOKUP(F39,Clientes!$B$2:$C$179,2,0)</f>
        <v>Sopó</v>
      </c>
      <c r="D39" s="1" t="s">
        <v>619</v>
      </c>
      <c r="E39" s="15">
        <f>VLOOKUP(F39,Referencia!$A$15:$B$193,2,0)</f>
        <v>2</v>
      </c>
      <c r="F39" s="1" t="s">
        <v>112</v>
      </c>
      <c r="G39" s="1" t="s">
        <v>55</v>
      </c>
      <c r="H39" s="1">
        <v>2</v>
      </c>
      <c r="I39" s="1" t="s">
        <v>22</v>
      </c>
      <c r="J39" s="21">
        <f>11665*2</f>
        <v>23330</v>
      </c>
      <c r="K39" s="21">
        <f>18000*2</f>
        <v>36000</v>
      </c>
      <c r="L39" s="21">
        <f t="shared" si="1"/>
        <v>12670</v>
      </c>
      <c r="M39" s="1" t="s">
        <v>23</v>
      </c>
      <c r="N39" s="1" t="s">
        <v>24</v>
      </c>
    </row>
    <row r="40" spans="1:14" x14ac:dyDescent="0.35">
      <c r="A40" s="17">
        <v>45820</v>
      </c>
      <c r="B40" s="1" t="s">
        <v>8</v>
      </c>
      <c r="C40" s="26" t="str">
        <f>VLOOKUP(F40,Clientes!$B$2:$C$179,2,0)</f>
        <v>Sopó</v>
      </c>
      <c r="D40" s="1" t="s">
        <v>619</v>
      </c>
      <c r="E40" s="15">
        <f>VLOOKUP(F40,Referencia!$A$15:$B$193,2,0)</f>
        <v>2</v>
      </c>
      <c r="F40" s="1" t="s">
        <v>112</v>
      </c>
      <c r="G40" s="1" t="s">
        <v>56</v>
      </c>
      <c r="H40" s="1">
        <v>2</v>
      </c>
      <c r="I40" s="1" t="s">
        <v>22</v>
      </c>
      <c r="J40" s="21">
        <f>11580*2</f>
        <v>23160</v>
      </c>
      <c r="K40" s="21">
        <f>18000*2</f>
        <v>36000</v>
      </c>
      <c r="L40" s="21">
        <f t="shared" si="1"/>
        <v>12840</v>
      </c>
      <c r="M40" s="1" t="s">
        <v>23</v>
      </c>
      <c r="N40" s="1" t="s">
        <v>24</v>
      </c>
    </row>
    <row r="41" spans="1:14" x14ac:dyDescent="0.35">
      <c r="A41" s="17">
        <v>45820</v>
      </c>
      <c r="B41" s="1" t="s">
        <v>8</v>
      </c>
      <c r="C41" s="26" t="str">
        <f>VLOOKUP(F41,Clientes!$B$2:$C$179,2,0)</f>
        <v>Sopó</v>
      </c>
      <c r="D41" s="1" t="s">
        <v>619</v>
      </c>
      <c r="E41" s="15">
        <f>VLOOKUP(F41,Referencia!$A$15:$B$193,2,0)</f>
        <v>2</v>
      </c>
      <c r="F41" s="1" t="s">
        <v>112</v>
      </c>
      <c r="G41" s="1" t="s">
        <v>66</v>
      </c>
      <c r="H41" s="1">
        <v>1</v>
      </c>
      <c r="I41" s="1" t="s">
        <v>22</v>
      </c>
      <c r="J41" s="21">
        <v>16200</v>
      </c>
      <c r="K41" s="21">
        <v>22000</v>
      </c>
      <c r="L41" s="21">
        <f t="shared" si="1"/>
        <v>5800</v>
      </c>
      <c r="M41" s="1" t="s">
        <v>23</v>
      </c>
      <c r="N41" s="1" t="s">
        <v>24</v>
      </c>
    </row>
    <row r="42" spans="1:14" x14ac:dyDescent="0.35">
      <c r="A42" s="17">
        <v>45820</v>
      </c>
      <c r="B42" s="1" t="s">
        <v>8</v>
      </c>
      <c r="C42" s="26" t="str">
        <f>VLOOKUP(F42,Clientes!$B$2:$C$179,2,0)</f>
        <v>Sopó</v>
      </c>
      <c r="D42" s="1" t="s">
        <v>619</v>
      </c>
      <c r="E42" s="15">
        <f>VLOOKUP(F42,Referencia!$A$15:$B$193,2,0)</f>
        <v>2</v>
      </c>
      <c r="F42" s="1" t="s">
        <v>112</v>
      </c>
      <c r="G42" s="1" t="s">
        <v>67</v>
      </c>
      <c r="H42" s="1">
        <v>1</v>
      </c>
      <c r="I42" s="1" t="s">
        <v>22</v>
      </c>
      <c r="J42" s="21">
        <v>15605</v>
      </c>
      <c r="K42" s="21">
        <v>25000</v>
      </c>
      <c r="L42" s="21">
        <f t="shared" si="1"/>
        <v>9395</v>
      </c>
      <c r="M42" s="1" t="s">
        <v>23</v>
      </c>
      <c r="N42" s="1" t="s">
        <v>24</v>
      </c>
    </row>
    <row r="43" spans="1:14" x14ac:dyDescent="0.35">
      <c r="A43" s="17">
        <v>45820</v>
      </c>
      <c r="B43" s="1" t="s">
        <v>8</v>
      </c>
      <c r="C43" s="26" t="str">
        <f>VLOOKUP(F43,Clientes!$B$2:$C$179,2,0)</f>
        <v>Sopó</v>
      </c>
      <c r="D43" s="1" t="s">
        <v>619</v>
      </c>
      <c r="E43" s="15">
        <f>VLOOKUP(F43,Referencia!$A$15:$B$193,2,0)</f>
        <v>1</v>
      </c>
      <c r="F43" s="1" t="s">
        <v>108</v>
      </c>
      <c r="G43" s="1" t="s">
        <v>68</v>
      </c>
      <c r="H43" s="1">
        <v>1</v>
      </c>
      <c r="I43" s="1" t="s">
        <v>22</v>
      </c>
      <c r="J43" s="21">
        <v>46053</v>
      </c>
      <c r="K43" s="21">
        <v>75000</v>
      </c>
      <c r="L43" s="21">
        <f t="shared" si="1"/>
        <v>28947</v>
      </c>
      <c r="M43" s="1" t="s">
        <v>23</v>
      </c>
      <c r="N43" s="1" t="s">
        <v>24</v>
      </c>
    </row>
    <row r="44" spans="1:14" x14ac:dyDescent="0.35">
      <c r="A44" s="17">
        <v>45820</v>
      </c>
      <c r="B44" s="1" t="s">
        <v>8</v>
      </c>
      <c r="C44" s="26" t="str">
        <f>VLOOKUP(F44,Clientes!$B$2:$C$179,2,0)</f>
        <v>Sopó</v>
      </c>
      <c r="D44" s="1" t="s">
        <v>619</v>
      </c>
      <c r="E44" s="15">
        <f>VLOOKUP(F44,Referencia!$A$15:$B$193,2,0)</f>
        <v>1</v>
      </c>
      <c r="F44" s="1" t="s">
        <v>108</v>
      </c>
      <c r="G44" s="1" t="s">
        <v>69</v>
      </c>
      <c r="H44" s="1">
        <v>2</v>
      </c>
      <c r="I44" s="5" t="s">
        <v>40</v>
      </c>
      <c r="J44" s="21">
        <f>4700*2</f>
        <v>9400</v>
      </c>
      <c r="K44" s="21">
        <v>17000</v>
      </c>
      <c r="L44" s="21">
        <f t="shared" si="1"/>
        <v>7600</v>
      </c>
      <c r="M44" s="1" t="s">
        <v>23</v>
      </c>
      <c r="N44" s="1" t="s">
        <v>24</v>
      </c>
    </row>
    <row r="45" spans="1:14" x14ac:dyDescent="0.35">
      <c r="A45" s="17">
        <v>45820</v>
      </c>
      <c r="B45" s="1" t="s">
        <v>8</v>
      </c>
      <c r="C45" s="26" t="str">
        <f>VLOOKUP(F45,Clientes!$B$2:$C$179,2,0)</f>
        <v>Sopó</v>
      </c>
      <c r="D45" s="1" t="s">
        <v>619</v>
      </c>
      <c r="E45" s="15">
        <f>VLOOKUP(F45,Referencia!$A$15:$B$193,2,0)</f>
        <v>1</v>
      </c>
      <c r="F45" s="1" t="s">
        <v>108</v>
      </c>
      <c r="G45" s="1" t="s">
        <v>70</v>
      </c>
      <c r="H45" s="1">
        <v>2</v>
      </c>
      <c r="I45" s="1" t="s">
        <v>22</v>
      </c>
      <c r="J45" s="21">
        <f>4165*2</f>
        <v>8330</v>
      </c>
      <c r="K45" s="21">
        <v>16000</v>
      </c>
      <c r="L45" s="21">
        <f t="shared" si="1"/>
        <v>7670</v>
      </c>
      <c r="M45" s="1" t="s">
        <v>23</v>
      </c>
      <c r="N45" s="1" t="s">
        <v>24</v>
      </c>
    </row>
    <row r="46" spans="1:14" x14ac:dyDescent="0.35">
      <c r="A46" s="17">
        <v>45820</v>
      </c>
      <c r="B46" s="1" t="s">
        <v>8</v>
      </c>
      <c r="C46" s="26" t="str">
        <f>VLOOKUP(F46,Clientes!$B$2:$C$179,2,0)</f>
        <v>Sopó</v>
      </c>
      <c r="D46" s="1" t="s">
        <v>619</v>
      </c>
      <c r="E46" s="15">
        <f>VLOOKUP(F46,Referencia!$A$15:$B$193,2,0)</f>
        <v>1</v>
      </c>
      <c r="F46" s="1" t="s">
        <v>108</v>
      </c>
      <c r="G46" s="1" t="s">
        <v>71</v>
      </c>
      <c r="H46" s="1">
        <v>1</v>
      </c>
      <c r="I46" s="1" t="s">
        <v>43</v>
      </c>
      <c r="J46" s="21">
        <v>6715</v>
      </c>
      <c r="K46" s="21">
        <v>10000</v>
      </c>
      <c r="L46" s="21">
        <f t="shared" si="1"/>
        <v>3285</v>
      </c>
      <c r="M46" s="1" t="s">
        <v>23</v>
      </c>
      <c r="N46" s="1" t="s">
        <v>24</v>
      </c>
    </row>
    <row r="47" spans="1:14" x14ac:dyDescent="0.35">
      <c r="A47" s="17">
        <v>45820</v>
      </c>
      <c r="B47" s="1" t="s">
        <v>8</v>
      </c>
      <c r="C47" s="26" t="str">
        <f>VLOOKUP(F47,Clientes!$B$2:$C$179,2,0)</f>
        <v>Sopó</v>
      </c>
      <c r="D47" s="1" t="s">
        <v>619</v>
      </c>
      <c r="E47" s="15">
        <f>VLOOKUP(F47,Referencia!$A$15:$B$193,2,0)</f>
        <v>1</v>
      </c>
      <c r="F47" s="1" t="s">
        <v>108</v>
      </c>
      <c r="G47" s="1" t="s">
        <v>60</v>
      </c>
      <c r="H47" s="1">
        <v>2</v>
      </c>
      <c r="I47" s="5" t="s">
        <v>59</v>
      </c>
      <c r="J47" s="21">
        <v>10000</v>
      </c>
      <c r="K47" s="21">
        <v>6000</v>
      </c>
      <c r="L47" s="21">
        <f t="shared" si="1"/>
        <v>-4000</v>
      </c>
      <c r="M47" s="1" t="s">
        <v>23</v>
      </c>
      <c r="N47" s="1" t="s">
        <v>24</v>
      </c>
    </row>
    <row r="48" spans="1:14" x14ac:dyDescent="0.35">
      <c r="A48" s="17">
        <v>45820</v>
      </c>
      <c r="B48" s="1" t="s">
        <v>8</v>
      </c>
      <c r="C48" s="26" t="str">
        <f>VLOOKUP(F48,Clientes!$B$2:$C$179,2,0)</f>
        <v>Sopó</v>
      </c>
      <c r="D48" s="1" t="s">
        <v>619</v>
      </c>
      <c r="E48" s="15">
        <f>VLOOKUP(F48,Referencia!$A$15:$B$193,2,0)</f>
        <v>1</v>
      </c>
      <c r="F48" s="1" t="s">
        <v>108</v>
      </c>
      <c r="G48" s="1" t="s">
        <v>72</v>
      </c>
      <c r="H48" s="1">
        <v>1</v>
      </c>
      <c r="I48" s="1" t="s">
        <v>43</v>
      </c>
      <c r="J48" s="21">
        <v>53780</v>
      </c>
      <c r="K48" s="21">
        <v>100000</v>
      </c>
      <c r="L48" s="21">
        <f t="shared" si="1"/>
        <v>46220</v>
      </c>
      <c r="M48" s="1" t="s">
        <v>27</v>
      </c>
      <c r="N48" s="1" t="s">
        <v>24</v>
      </c>
    </row>
    <row r="49" spans="1:14" x14ac:dyDescent="0.35">
      <c r="A49" s="17">
        <v>45820</v>
      </c>
      <c r="B49" s="1" t="s">
        <v>9</v>
      </c>
      <c r="C49" s="26" t="str">
        <f>VLOOKUP(F49,Clientes!$B$2:$C$179,2,0)</f>
        <v>Cota</v>
      </c>
      <c r="D49" s="1" t="s">
        <v>619</v>
      </c>
      <c r="E49" s="15">
        <f>VLOOKUP(F49,Referencia!$A$15:$B$193,2,0)</f>
        <v>14</v>
      </c>
      <c r="F49" s="1" t="s">
        <v>147</v>
      </c>
      <c r="G49" s="1" t="s">
        <v>73</v>
      </c>
      <c r="H49" s="1">
        <v>1</v>
      </c>
      <c r="I49" s="5" t="s">
        <v>74</v>
      </c>
      <c r="J49" s="21">
        <v>280000</v>
      </c>
      <c r="K49" s="21">
        <v>580000</v>
      </c>
      <c r="L49" s="21">
        <f t="shared" si="1"/>
        <v>300000</v>
      </c>
      <c r="M49" s="1" t="s">
        <v>27</v>
      </c>
      <c r="N49" s="1" t="s">
        <v>24</v>
      </c>
    </row>
    <row r="50" spans="1:14" x14ac:dyDescent="0.35">
      <c r="A50" s="17">
        <v>45820</v>
      </c>
      <c r="B50" s="1" t="s">
        <v>9</v>
      </c>
      <c r="C50" s="26" t="str">
        <f>VLOOKUP(F50,Clientes!$B$2:$C$179,2,0)</f>
        <v>Cota</v>
      </c>
      <c r="D50" s="1" t="s">
        <v>619</v>
      </c>
      <c r="E50" s="15">
        <f>VLOOKUP(F50,Referencia!$A$15:$B$193,2,0)</f>
        <v>11</v>
      </c>
      <c r="F50" s="10" t="s">
        <v>529</v>
      </c>
      <c r="G50" s="1" t="s">
        <v>633</v>
      </c>
      <c r="H50" s="1">
        <v>1</v>
      </c>
      <c r="I50" s="5" t="s">
        <v>40</v>
      </c>
      <c r="J50" s="21">
        <v>120000</v>
      </c>
      <c r="K50" s="21">
        <v>210000</v>
      </c>
      <c r="L50" s="21">
        <f t="shared" si="1"/>
        <v>90000</v>
      </c>
      <c r="M50" s="1" t="s">
        <v>27</v>
      </c>
      <c r="N50" s="1" t="s">
        <v>24</v>
      </c>
    </row>
    <row r="51" spans="1:14" x14ac:dyDescent="0.35">
      <c r="A51" s="17">
        <v>45820</v>
      </c>
      <c r="B51" s="1" t="s">
        <v>9</v>
      </c>
      <c r="C51" s="26" t="str">
        <f>VLOOKUP(F51,Clientes!$B$2:$C$179,2,0)</f>
        <v>Cota</v>
      </c>
      <c r="D51" s="1" t="s">
        <v>619</v>
      </c>
      <c r="E51" s="15">
        <f>VLOOKUP(F51,Referencia!$A$15:$B$193,2,0)</f>
        <v>11</v>
      </c>
      <c r="F51" s="10" t="s">
        <v>529</v>
      </c>
      <c r="G51" s="1" t="s">
        <v>75</v>
      </c>
      <c r="H51" s="1">
        <v>1</v>
      </c>
      <c r="I51" s="1" t="s">
        <v>22</v>
      </c>
      <c r="J51" s="21">
        <v>217005</v>
      </c>
      <c r="K51" s="21">
        <v>370000</v>
      </c>
      <c r="L51" s="21">
        <f t="shared" si="1"/>
        <v>152995</v>
      </c>
      <c r="M51" s="1" t="s">
        <v>27</v>
      </c>
      <c r="N51" s="1" t="s">
        <v>24</v>
      </c>
    </row>
    <row r="52" spans="1:14" x14ac:dyDescent="0.35">
      <c r="A52" s="17">
        <v>45820</v>
      </c>
      <c r="B52" s="1" t="s">
        <v>9</v>
      </c>
      <c r="C52" s="26" t="str">
        <f>VLOOKUP(F52,Clientes!$B$2:$C$179,2,0)</f>
        <v>Cota</v>
      </c>
      <c r="D52" s="1" t="s">
        <v>619</v>
      </c>
      <c r="E52" s="15">
        <f>VLOOKUP(F52,Referencia!$A$15:$B$193,2,0)</f>
        <v>11</v>
      </c>
      <c r="F52" s="10" t="s">
        <v>529</v>
      </c>
      <c r="G52" s="1" t="s">
        <v>76</v>
      </c>
      <c r="H52" s="1">
        <v>1</v>
      </c>
      <c r="I52" s="5" t="s">
        <v>40</v>
      </c>
      <c r="J52" s="21">
        <v>60000</v>
      </c>
      <c r="K52" s="21">
        <v>130000</v>
      </c>
      <c r="L52" s="21">
        <f t="shared" ref="L52:L115" si="2">K52-J52</f>
        <v>70000</v>
      </c>
      <c r="M52" s="1" t="s">
        <v>27</v>
      </c>
      <c r="N52" s="1" t="s">
        <v>24</v>
      </c>
    </row>
    <row r="53" spans="1:14" x14ac:dyDescent="0.35">
      <c r="A53" s="17">
        <v>45820</v>
      </c>
      <c r="B53" s="1" t="s">
        <v>8</v>
      </c>
      <c r="C53" s="26" t="str">
        <f>VLOOKUP(F53,Clientes!$B$2:$C$179,2,0)</f>
        <v>Tocancipá</v>
      </c>
      <c r="D53" s="1" t="s">
        <v>619</v>
      </c>
      <c r="E53" s="15">
        <f>VLOOKUP(F53,Referencia!$A$15:$B$193,2,0)</f>
        <v>49</v>
      </c>
      <c r="F53" s="1" t="s">
        <v>77</v>
      </c>
      <c r="G53" s="1" t="s">
        <v>78</v>
      </c>
      <c r="H53" s="1">
        <v>1</v>
      </c>
      <c r="I53" s="1" t="s">
        <v>26</v>
      </c>
      <c r="J53" s="21">
        <v>351050</v>
      </c>
      <c r="K53" s="21">
        <v>520000</v>
      </c>
      <c r="L53" s="21">
        <f t="shared" si="2"/>
        <v>168950</v>
      </c>
      <c r="M53" s="1" t="s">
        <v>27</v>
      </c>
      <c r="N53" s="1" t="s">
        <v>24</v>
      </c>
    </row>
    <row r="54" spans="1:14" x14ac:dyDescent="0.35">
      <c r="A54" s="17">
        <v>45820</v>
      </c>
      <c r="B54" s="1" t="s">
        <v>9</v>
      </c>
      <c r="C54" s="26" t="str">
        <f>VLOOKUP(F54,Clientes!$B$2:$C$179,2,0)</f>
        <v>Chia</v>
      </c>
      <c r="D54" s="1" t="s">
        <v>619</v>
      </c>
      <c r="E54" s="15">
        <f>VLOOKUP(F54,Referencia!$A$15:$B$193,2,0)</f>
        <v>16</v>
      </c>
      <c r="F54" s="1" t="s">
        <v>79</v>
      </c>
      <c r="G54" s="1" t="s">
        <v>80</v>
      </c>
      <c r="H54" s="1">
        <v>1</v>
      </c>
      <c r="I54" s="5" t="s">
        <v>40</v>
      </c>
      <c r="J54" s="21">
        <v>100000</v>
      </c>
      <c r="K54" s="21">
        <v>220000</v>
      </c>
      <c r="L54" s="21">
        <f t="shared" si="2"/>
        <v>120000</v>
      </c>
      <c r="M54" s="1" t="s">
        <v>27</v>
      </c>
      <c r="N54" s="1" t="s">
        <v>24</v>
      </c>
    </row>
    <row r="55" spans="1:14" x14ac:dyDescent="0.35">
      <c r="A55" s="17">
        <v>45821</v>
      </c>
      <c r="B55" s="1" t="s">
        <v>9</v>
      </c>
      <c r="C55" s="26" t="str">
        <f>VLOOKUP(F55,Clientes!$B$2:$C$179,2,0)</f>
        <v>Chia</v>
      </c>
      <c r="D55" s="1" t="s">
        <v>619</v>
      </c>
      <c r="E55" s="15">
        <f>VLOOKUP(F55,Referencia!$A$15:$B$193,2,0)</f>
        <v>9</v>
      </c>
      <c r="F55" s="1" t="s">
        <v>50</v>
      </c>
      <c r="G55" s="1" t="s">
        <v>81</v>
      </c>
      <c r="H55" s="1">
        <v>1</v>
      </c>
      <c r="I55" s="5" t="s">
        <v>40</v>
      </c>
      <c r="J55" s="21">
        <v>135000</v>
      </c>
      <c r="K55" s="21">
        <v>190000</v>
      </c>
      <c r="L55" s="21">
        <f t="shared" si="2"/>
        <v>55000</v>
      </c>
      <c r="M55" s="1" t="s">
        <v>27</v>
      </c>
      <c r="N55" s="1" t="s">
        <v>24</v>
      </c>
    </row>
    <row r="56" spans="1:14" x14ac:dyDescent="0.35">
      <c r="A56" s="17">
        <v>45821</v>
      </c>
      <c r="B56" s="1" t="s">
        <v>82</v>
      </c>
      <c r="C56" s="26" t="str">
        <f>VLOOKUP(F56,Clientes!$B$2:$C$179,2,0)</f>
        <v>Funza</v>
      </c>
      <c r="D56" s="1" t="s">
        <v>619</v>
      </c>
      <c r="E56" s="15">
        <f>VLOOKUP(F56,Referencia!$A$15:$B$193,2,0)</f>
        <v>21</v>
      </c>
      <c r="F56" s="1" t="s">
        <v>52</v>
      </c>
      <c r="G56" s="1" t="s">
        <v>83</v>
      </c>
      <c r="H56" s="1">
        <v>3</v>
      </c>
      <c r="I56" s="1" t="s">
        <v>43</v>
      </c>
      <c r="J56" s="21">
        <v>76950</v>
      </c>
      <c r="K56" s="21">
        <v>100000</v>
      </c>
      <c r="L56" s="21">
        <f t="shared" si="2"/>
        <v>23050</v>
      </c>
      <c r="M56" s="1" t="s">
        <v>27</v>
      </c>
      <c r="N56" s="1" t="s">
        <v>24</v>
      </c>
    </row>
    <row r="57" spans="1:14" x14ac:dyDescent="0.35">
      <c r="A57" s="17">
        <v>45821</v>
      </c>
      <c r="B57" s="1" t="s">
        <v>82</v>
      </c>
      <c r="C57" s="26" t="str">
        <f>VLOOKUP(F57,Clientes!$B$2:$C$179,2,0)</f>
        <v>Funza</v>
      </c>
      <c r="D57" s="1" t="s">
        <v>619</v>
      </c>
      <c r="E57" s="15">
        <f>VLOOKUP(F57,Referencia!$A$15:$B$193,2,0)</f>
        <v>21</v>
      </c>
      <c r="F57" s="1" t="s">
        <v>52</v>
      </c>
      <c r="G57" s="1" t="s">
        <v>42</v>
      </c>
      <c r="H57" s="1">
        <v>3</v>
      </c>
      <c r="I57" s="1" t="s">
        <v>43</v>
      </c>
      <c r="J57" s="21">
        <f>21418*3</f>
        <v>64254</v>
      </c>
      <c r="K57" s="21">
        <v>120000</v>
      </c>
      <c r="L57" s="21">
        <f t="shared" si="2"/>
        <v>55746</v>
      </c>
      <c r="M57" s="1" t="s">
        <v>27</v>
      </c>
      <c r="N57" s="1" t="s">
        <v>24</v>
      </c>
    </row>
    <row r="58" spans="1:14" x14ac:dyDescent="0.35">
      <c r="A58" s="17">
        <v>45821</v>
      </c>
      <c r="B58" s="1" t="s">
        <v>82</v>
      </c>
      <c r="C58" s="26" t="str">
        <f>VLOOKUP(F58,Clientes!$B$2:$C$179,2,0)</f>
        <v>Funza</v>
      </c>
      <c r="D58" s="1" t="s">
        <v>619</v>
      </c>
      <c r="E58" s="15">
        <f>VLOOKUP(F58,Referencia!$A$15:$B$193,2,0)</f>
        <v>21</v>
      </c>
      <c r="F58" s="1" t="s">
        <v>52</v>
      </c>
      <c r="G58" s="1" t="s">
        <v>607</v>
      </c>
      <c r="H58" s="1">
        <v>3</v>
      </c>
      <c r="I58" s="1" t="s">
        <v>40</v>
      </c>
      <c r="J58" s="21">
        <f>34000*3</f>
        <v>102000</v>
      </c>
      <c r="K58" s="21">
        <v>145000</v>
      </c>
      <c r="L58" s="21">
        <f t="shared" si="2"/>
        <v>43000</v>
      </c>
      <c r="M58" s="1" t="s">
        <v>27</v>
      </c>
      <c r="N58" s="1" t="s">
        <v>24</v>
      </c>
    </row>
    <row r="59" spans="1:14" x14ac:dyDescent="0.35">
      <c r="A59" s="17">
        <v>45821</v>
      </c>
      <c r="B59" s="1" t="s">
        <v>82</v>
      </c>
      <c r="C59" s="26" t="str">
        <f>VLOOKUP(F59,Clientes!$B$2:$C$179,2,0)</f>
        <v>Funza</v>
      </c>
      <c r="D59" s="1" t="s">
        <v>619</v>
      </c>
      <c r="E59" s="15">
        <f>VLOOKUP(F59,Referencia!$A$15:$B$193,2,0)</f>
        <v>21</v>
      </c>
      <c r="F59" s="1" t="s">
        <v>52</v>
      </c>
      <c r="G59" s="1" t="s">
        <v>448</v>
      </c>
      <c r="H59" s="1">
        <v>1</v>
      </c>
      <c r="I59" s="1" t="s">
        <v>22</v>
      </c>
      <c r="J59" s="21">
        <v>98000</v>
      </c>
      <c r="K59" s="21">
        <v>110000</v>
      </c>
      <c r="L59" s="21">
        <f t="shared" si="2"/>
        <v>12000</v>
      </c>
      <c r="M59" s="1" t="s">
        <v>27</v>
      </c>
      <c r="N59" s="1" t="s">
        <v>24</v>
      </c>
    </row>
    <row r="60" spans="1:14" x14ac:dyDescent="0.35">
      <c r="A60" s="17">
        <v>45821</v>
      </c>
      <c r="B60" s="1" t="s">
        <v>82</v>
      </c>
      <c r="C60" s="26" t="str">
        <f>VLOOKUP(F60,Clientes!$B$2:$C$179,2,0)</f>
        <v>Funza</v>
      </c>
      <c r="D60" s="1" t="s">
        <v>619</v>
      </c>
      <c r="E60" s="15">
        <f>VLOOKUP(F60,Referencia!$A$15:$B$193,2,0)</f>
        <v>21</v>
      </c>
      <c r="F60" s="1" t="s">
        <v>52</v>
      </c>
      <c r="G60" s="1" t="s">
        <v>84</v>
      </c>
      <c r="H60" s="1">
        <v>3</v>
      </c>
      <c r="I60" s="1" t="s">
        <v>22</v>
      </c>
      <c r="J60" s="21">
        <f>14600*3</f>
        <v>43800</v>
      </c>
      <c r="K60" s="21">
        <v>75000</v>
      </c>
      <c r="L60" s="21">
        <f t="shared" si="2"/>
        <v>31200</v>
      </c>
      <c r="M60" s="1" t="s">
        <v>27</v>
      </c>
      <c r="N60" s="1" t="s">
        <v>24</v>
      </c>
    </row>
    <row r="61" spans="1:14" x14ac:dyDescent="0.35">
      <c r="A61" s="17">
        <v>45821</v>
      </c>
      <c r="B61" s="1" t="s">
        <v>82</v>
      </c>
      <c r="C61" s="26" t="str">
        <f>VLOOKUP(F61,Clientes!$B$2:$C$179,2,0)</f>
        <v>Funza</v>
      </c>
      <c r="D61" s="1" t="s">
        <v>619</v>
      </c>
      <c r="E61" s="15">
        <f>VLOOKUP(F61,Referencia!$A$15:$B$193,2,0)</f>
        <v>21</v>
      </c>
      <c r="F61" s="1" t="s">
        <v>52</v>
      </c>
      <c r="G61" s="1" t="s">
        <v>85</v>
      </c>
      <c r="H61" s="1">
        <v>3</v>
      </c>
      <c r="I61" s="1" t="s">
        <v>26</v>
      </c>
      <c r="J61" s="21">
        <f>66600*3</f>
        <v>199800</v>
      </c>
      <c r="K61" s="21">
        <v>340000</v>
      </c>
      <c r="L61" s="21">
        <f t="shared" si="2"/>
        <v>140200</v>
      </c>
      <c r="M61" s="1" t="s">
        <v>27</v>
      </c>
      <c r="N61" s="1" t="s">
        <v>24</v>
      </c>
    </row>
    <row r="62" spans="1:14" x14ac:dyDescent="0.35">
      <c r="A62" s="17">
        <v>45821</v>
      </c>
      <c r="B62" s="1" t="s">
        <v>82</v>
      </c>
      <c r="C62" s="26" t="str">
        <f>VLOOKUP(F62,Clientes!$B$2:$C$179,2,0)</f>
        <v>Funza</v>
      </c>
      <c r="D62" s="1" t="s">
        <v>619</v>
      </c>
      <c r="E62" s="15">
        <f>VLOOKUP(F62,Referencia!$A$15:$B$193,2,0)</f>
        <v>21</v>
      </c>
      <c r="F62" s="1" t="s">
        <v>52</v>
      </c>
      <c r="G62" s="1" t="s">
        <v>86</v>
      </c>
      <c r="H62" s="1">
        <v>3</v>
      </c>
      <c r="I62" s="1" t="s">
        <v>43</v>
      </c>
      <c r="J62" s="21">
        <f>30001*3</f>
        <v>90003</v>
      </c>
      <c r="K62" s="21">
        <v>130000</v>
      </c>
      <c r="L62" s="21">
        <f t="shared" si="2"/>
        <v>39997</v>
      </c>
      <c r="M62" s="1" t="s">
        <v>27</v>
      </c>
      <c r="N62" s="1" t="s">
        <v>24</v>
      </c>
    </row>
    <row r="63" spans="1:14" x14ac:dyDescent="0.35">
      <c r="A63" s="17">
        <v>45821</v>
      </c>
      <c r="B63" s="1" t="s">
        <v>82</v>
      </c>
      <c r="C63" s="26" t="str">
        <f>VLOOKUP(F63,Clientes!$B$2:$C$179,2,0)</f>
        <v>Funza</v>
      </c>
      <c r="D63" s="1" t="s">
        <v>619</v>
      </c>
      <c r="E63" s="15">
        <f>VLOOKUP(F63,Referencia!$A$15:$B$193,2,0)</f>
        <v>21</v>
      </c>
      <c r="F63" s="1" t="s">
        <v>52</v>
      </c>
      <c r="G63" s="1" t="s">
        <v>87</v>
      </c>
      <c r="H63" s="1">
        <v>1</v>
      </c>
      <c r="I63" s="1" t="s">
        <v>22</v>
      </c>
      <c r="J63" s="21">
        <v>28000</v>
      </c>
      <c r="K63" s="21">
        <v>0</v>
      </c>
      <c r="L63" s="21">
        <f t="shared" si="2"/>
        <v>-28000</v>
      </c>
      <c r="M63" s="1" t="s">
        <v>27</v>
      </c>
      <c r="N63" s="1" t="s">
        <v>24</v>
      </c>
    </row>
    <row r="64" spans="1:14" x14ac:dyDescent="0.35">
      <c r="A64" s="17">
        <v>45821</v>
      </c>
      <c r="B64" s="1" t="s">
        <v>82</v>
      </c>
      <c r="C64" s="26" t="str">
        <f>VLOOKUP(F64,Clientes!$B$2:$C$179,2,0)</f>
        <v>Funza</v>
      </c>
      <c r="D64" s="1" t="s">
        <v>619</v>
      </c>
      <c r="E64" s="15">
        <f>VLOOKUP(F64,Referencia!$A$15:$B$193,2,0)</f>
        <v>21</v>
      </c>
      <c r="F64" s="1" t="s">
        <v>52</v>
      </c>
      <c r="G64" s="1" t="s">
        <v>88</v>
      </c>
      <c r="H64" s="1">
        <v>3</v>
      </c>
      <c r="I64" s="1" t="s">
        <v>26</v>
      </c>
      <c r="J64" s="21">
        <f>55000*3</f>
        <v>165000</v>
      </c>
      <c r="K64" s="21">
        <v>300000</v>
      </c>
      <c r="L64" s="21">
        <f t="shared" si="2"/>
        <v>135000</v>
      </c>
      <c r="M64" s="1" t="s">
        <v>27</v>
      </c>
      <c r="N64" s="1" t="s">
        <v>24</v>
      </c>
    </row>
    <row r="65" spans="1:14" x14ac:dyDescent="0.35">
      <c r="A65" s="17">
        <v>45821</v>
      </c>
      <c r="B65" s="1" t="s">
        <v>82</v>
      </c>
      <c r="C65" s="26" t="str">
        <f>VLOOKUP(F65,Clientes!$B$2:$C$179,2,0)</f>
        <v>Funza</v>
      </c>
      <c r="D65" s="1" t="s">
        <v>619</v>
      </c>
      <c r="E65" s="15">
        <f>VLOOKUP(F65,Referencia!$A$15:$B$193,2,0)</f>
        <v>21</v>
      </c>
      <c r="F65" s="1" t="s">
        <v>52</v>
      </c>
      <c r="G65" s="1" t="s">
        <v>629</v>
      </c>
      <c r="H65" s="1">
        <v>3</v>
      </c>
      <c r="I65" s="5" t="s">
        <v>40</v>
      </c>
      <c r="J65" s="21">
        <f>120000+75000</f>
        <v>195000</v>
      </c>
      <c r="K65" s="21">
        <v>300000</v>
      </c>
      <c r="L65" s="21">
        <f t="shared" si="2"/>
        <v>105000</v>
      </c>
      <c r="M65" s="1" t="s">
        <v>27</v>
      </c>
      <c r="N65" s="1" t="s">
        <v>24</v>
      </c>
    </row>
    <row r="66" spans="1:14" x14ac:dyDescent="0.35">
      <c r="A66" s="17">
        <v>45821</v>
      </c>
      <c r="B66" s="1" t="s">
        <v>82</v>
      </c>
      <c r="C66" s="26" t="str">
        <f>VLOOKUP(F66,Clientes!$B$2:$C$179,2,0)</f>
        <v>Funza</v>
      </c>
      <c r="D66" s="1" t="s">
        <v>619</v>
      </c>
      <c r="E66" s="15">
        <f>VLOOKUP(F66,Referencia!$A$15:$B$193,2,0)</f>
        <v>21</v>
      </c>
      <c r="F66" s="1" t="s">
        <v>52</v>
      </c>
      <c r="G66" s="1" t="s">
        <v>505</v>
      </c>
      <c r="H66" s="1">
        <v>3</v>
      </c>
      <c r="I66" s="1" t="s">
        <v>22</v>
      </c>
      <c r="J66" s="21">
        <f>29600*3</f>
        <v>88800</v>
      </c>
      <c r="K66" s="21">
        <v>90000</v>
      </c>
      <c r="L66" s="21">
        <f t="shared" si="2"/>
        <v>1200</v>
      </c>
      <c r="M66" s="1" t="s">
        <v>27</v>
      </c>
      <c r="N66" s="1" t="s">
        <v>24</v>
      </c>
    </row>
    <row r="67" spans="1:14" x14ac:dyDescent="0.35">
      <c r="A67" s="17">
        <v>45821</v>
      </c>
      <c r="B67" s="1" t="s">
        <v>82</v>
      </c>
      <c r="C67" s="26" t="str">
        <f>VLOOKUP(F67,Clientes!$B$2:$C$179,2,0)</f>
        <v>Funza</v>
      </c>
      <c r="D67" s="1" t="s">
        <v>619</v>
      </c>
      <c r="E67" s="15">
        <f>VLOOKUP(F67,Referencia!$A$15:$B$193,2,0)</f>
        <v>21</v>
      </c>
      <c r="F67" s="1" t="s">
        <v>52</v>
      </c>
      <c r="G67" s="1" t="s">
        <v>89</v>
      </c>
      <c r="H67" s="1">
        <v>1</v>
      </c>
      <c r="I67" s="1" t="s">
        <v>22</v>
      </c>
      <c r="J67" s="21">
        <v>20000</v>
      </c>
      <c r="K67" s="21">
        <v>0</v>
      </c>
      <c r="L67" s="21">
        <f t="shared" si="2"/>
        <v>-20000</v>
      </c>
      <c r="M67" s="1" t="s">
        <v>27</v>
      </c>
      <c r="N67" s="1" t="s">
        <v>24</v>
      </c>
    </row>
    <row r="68" spans="1:14" x14ac:dyDescent="0.35">
      <c r="A68" s="17">
        <v>45821</v>
      </c>
      <c r="B68" s="1" t="s">
        <v>9</v>
      </c>
      <c r="C68" s="26" t="str">
        <f>VLOOKUP(F68,Clientes!$B$2:$C$179,2,0)</f>
        <v>Chia</v>
      </c>
      <c r="D68" s="1" t="s">
        <v>619</v>
      </c>
      <c r="E68" s="15">
        <f>VLOOKUP(F68,Referencia!$A$15:$B$193,2,0)</f>
        <v>64</v>
      </c>
      <c r="F68" s="1" t="s">
        <v>90</v>
      </c>
      <c r="G68" s="1" t="s">
        <v>91</v>
      </c>
      <c r="H68" s="1">
        <v>1</v>
      </c>
      <c r="I68" s="5" t="s">
        <v>40</v>
      </c>
      <c r="J68" s="21">
        <v>45000</v>
      </c>
      <c r="K68" s="21">
        <v>80000</v>
      </c>
      <c r="L68" s="21">
        <f t="shared" si="2"/>
        <v>35000</v>
      </c>
      <c r="M68" s="1" t="s">
        <v>23</v>
      </c>
      <c r="N68" s="1" t="s">
        <v>24</v>
      </c>
    </row>
    <row r="69" spans="1:14" x14ac:dyDescent="0.35">
      <c r="A69" s="17">
        <v>45821</v>
      </c>
      <c r="B69" s="1" t="s">
        <v>9</v>
      </c>
      <c r="C69" s="26" t="str">
        <f>VLOOKUP(F69,Clientes!$B$2:$C$179,2,0)</f>
        <v>Chia</v>
      </c>
      <c r="D69" s="1" t="s">
        <v>619</v>
      </c>
      <c r="E69" s="15">
        <f>VLOOKUP(F69,Referencia!$A$15:$B$193,2,0)</f>
        <v>64</v>
      </c>
      <c r="F69" s="1" t="s">
        <v>90</v>
      </c>
      <c r="G69" s="1" t="s">
        <v>92</v>
      </c>
      <c r="H69" s="1">
        <v>1</v>
      </c>
      <c r="I69" s="5" t="s">
        <v>40</v>
      </c>
      <c r="J69" s="21">
        <v>40000</v>
      </c>
      <c r="K69" s="21">
        <v>80000</v>
      </c>
      <c r="L69" s="21">
        <f t="shared" si="2"/>
        <v>40000</v>
      </c>
      <c r="M69" s="1" t="s">
        <v>23</v>
      </c>
      <c r="N69" s="1" t="s">
        <v>24</v>
      </c>
    </row>
    <row r="70" spans="1:14" x14ac:dyDescent="0.35">
      <c r="A70" s="17">
        <v>45821</v>
      </c>
      <c r="B70" s="1" t="s">
        <v>9</v>
      </c>
      <c r="C70" s="26" t="str">
        <f>VLOOKUP(F70,Clientes!$B$2:$C$179,2,0)</f>
        <v>Chia</v>
      </c>
      <c r="D70" s="1" t="s">
        <v>619</v>
      </c>
      <c r="E70" s="15">
        <f>VLOOKUP(F70,Referencia!$A$15:$B$193,2,0)</f>
        <v>64</v>
      </c>
      <c r="F70" s="1" t="s">
        <v>90</v>
      </c>
      <c r="G70" s="1" t="s">
        <v>93</v>
      </c>
      <c r="H70" s="1">
        <v>1</v>
      </c>
      <c r="I70" s="5" t="s">
        <v>40</v>
      </c>
      <c r="J70" s="21">
        <v>10000</v>
      </c>
      <c r="K70" s="21">
        <v>20000</v>
      </c>
      <c r="L70" s="21">
        <f t="shared" si="2"/>
        <v>10000</v>
      </c>
      <c r="M70" s="1" t="s">
        <v>23</v>
      </c>
      <c r="N70" s="1" t="s">
        <v>24</v>
      </c>
    </row>
    <row r="71" spans="1:14" x14ac:dyDescent="0.35">
      <c r="A71" s="17">
        <v>45821</v>
      </c>
      <c r="B71" s="1" t="s">
        <v>9</v>
      </c>
      <c r="C71" s="26" t="str">
        <f>VLOOKUP(F71,Clientes!$B$2:$C$179,2,0)</f>
        <v>Chia</v>
      </c>
      <c r="D71" s="1" t="s">
        <v>619</v>
      </c>
      <c r="E71" s="15">
        <f>VLOOKUP(F71,Referencia!$A$15:$B$193,2,0)</f>
        <v>64</v>
      </c>
      <c r="F71" s="1" t="s">
        <v>90</v>
      </c>
      <c r="G71" s="6" t="s">
        <v>94</v>
      </c>
      <c r="H71" s="1">
        <v>1</v>
      </c>
      <c r="I71" s="1" t="s">
        <v>43</v>
      </c>
      <c r="J71" s="21">
        <v>50003</v>
      </c>
      <c r="K71" s="21">
        <v>0</v>
      </c>
      <c r="L71" s="21">
        <f t="shared" si="2"/>
        <v>-50003</v>
      </c>
      <c r="M71" s="1" t="s">
        <v>23</v>
      </c>
      <c r="N71" s="1" t="s">
        <v>24</v>
      </c>
    </row>
    <row r="72" spans="1:14" x14ac:dyDescent="0.35">
      <c r="A72" s="17">
        <v>45821</v>
      </c>
      <c r="B72" s="1" t="s">
        <v>9</v>
      </c>
      <c r="C72" s="26" t="str">
        <f>VLOOKUP(F72,Clientes!$B$2:$C$179,2,0)</f>
        <v>Chia</v>
      </c>
      <c r="D72" s="1" t="s">
        <v>619</v>
      </c>
      <c r="E72" s="15">
        <f>VLOOKUP(F72,Referencia!$A$15:$B$193,2,0)</f>
        <v>64</v>
      </c>
      <c r="F72" s="1" t="s">
        <v>90</v>
      </c>
      <c r="G72" s="1" t="s">
        <v>95</v>
      </c>
      <c r="H72" s="1">
        <v>1</v>
      </c>
      <c r="I72" s="1" t="s">
        <v>22</v>
      </c>
      <c r="J72" s="21">
        <v>128500</v>
      </c>
      <c r="K72" s="21">
        <v>210000</v>
      </c>
      <c r="L72" s="21">
        <f t="shared" si="2"/>
        <v>81500</v>
      </c>
      <c r="M72" s="1" t="s">
        <v>27</v>
      </c>
      <c r="N72" s="1" t="s">
        <v>24</v>
      </c>
    </row>
    <row r="73" spans="1:14" x14ac:dyDescent="0.35">
      <c r="A73" s="17">
        <v>45821</v>
      </c>
      <c r="B73" s="1" t="s">
        <v>9</v>
      </c>
      <c r="C73" s="26" t="str">
        <f>VLOOKUP(F73,Clientes!$B$2:$C$179,2,0)</f>
        <v>Chia</v>
      </c>
      <c r="D73" s="1" t="s">
        <v>619</v>
      </c>
      <c r="E73" s="15">
        <f>VLOOKUP(F73,Referencia!$A$15:$B$193,2,0)</f>
        <v>15</v>
      </c>
      <c r="F73" s="1" t="s">
        <v>96</v>
      </c>
      <c r="G73" s="1" t="s">
        <v>97</v>
      </c>
      <c r="H73" s="1">
        <v>1</v>
      </c>
      <c r="I73" s="1" t="s">
        <v>43</v>
      </c>
      <c r="J73" s="21">
        <v>311226</v>
      </c>
      <c r="K73" s="21">
        <v>620000</v>
      </c>
      <c r="L73" s="21">
        <f t="shared" si="2"/>
        <v>308774</v>
      </c>
      <c r="M73" s="1" t="s">
        <v>27</v>
      </c>
      <c r="N73" s="1" t="s">
        <v>24</v>
      </c>
    </row>
    <row r="74" spans="1:14" x14ac:dyDescent="0.35">
      <c r="A74" s="17">
        <v>45821</v>
      </c>
      <c r="B74" s="1" t="s">
        <v>9</v>
      </c>
      <c r="C74" s="26" t="str">
        <f>VLOOKUP(F74,Clientes!$B$2:$C$179,2,0)</f>
        <v>Cota</v>
      </c>
      <c r="D74" s="1" t="s">
        <v>619</v>
      </c>
      <c r="E74" s="15">
        <f>VLOOKUP(F74,Referencia!$A$15:$B$193,2,0)</f>
        <v>25</v>
      </c>
      <c r="F74" s="10" t="s">
        <v>160</v>
      </c>
      <c r="G74" s="1" t="s">
        <v>86</v>
      </c>
      <c r="H74" s="1">
        <v>1</v>
      </c>
      <c r="I74" s="1" t="s">
        <v>43</v>
      </c>
      <c r="J74" s="21">
        <v>30001</v>
      </c>
      <c r="K74" s="21">
        <v>60000</v>
      </c>
      <c r="L74" s="21">
        <f t="shared" si="2"/>
        <v>29999</v>
      </c>
      <c r="M74" s="1" t="s">
        <v>27</v>
      </c>
      <c r="N74" s="1" t="s">
        <v>24</v>
      </c>
    </row>
    <row r="75" spans="1:14" x14ac:dyDescent="0.35">
      <c r="A75" s="17">
        <v>45821</v>
      </c>
      <c r="B75" s="1" t="s">
        <v>9</v>
      </c>
      <c r="C75" s="26" t="str">
        <f>VLOOKUP(F75,Clientes!$B$2:$C$179,2,0)</f>
        <v>Cota</v>
      </c>
      <c r="D75" s="1" t="s">
        <v>619</v>
      </c>
      <c r="E75" s="15">
        <f>VLOOKUP(F75,Referencia!$A$15:$B$193,2,0)</f>
        <v>24</v>
      </c>
      <c r="F75" s="6" t="s">
        <v>98</v>
      </c>
      <c r="G75" s="1" t="s">
        <v>99</v>
      </c>
      <c r="H75" s="1">
        <v>1</v>
      </c>
      <c r="I75" s="1" t="s">
        <v>35</v>
      </c>
      <c r="J75" s="21">
        <v>78000</v>
      </c>
      <c r="K75" s="21">
        <v>160000</v>
      </c>
      <c r="L75" s="21">
        <f t="shared" si="2"/>
        <v>82000</v>
      </c>
      <c r="M75" s="1" t="s">
        <v>27</v>
      </c>
      <c r="N75" s="1" t="s">
        <v>24</v>
      </c>
    </row>
    <row r="76" spans="1:14" x14ac:dyDescent="0.35">
      <c r="A76" s="17">
        <v>45826</v>
      </c>
      <c r="B76" s="1" t="s">
        <v>615</v>
      </c>
      <c r="C76" s="26" t="str">
        <f>VLOOKUP(F76,Clientes!$B$2:$C$179,2,0)</f>
        <v>Tenjo</v>
      </c>
      <c r="D76" s="1" t="s">
        <v>619</v>
      </c>
      <c r="E76" s="15">
        <f>VLOOKUP(F76,Referencia!$A$15:$B$193,2,0)</f>
        <v>17</v>
      </c>
      <c r="F76" s="1" t="s">
        <v>150</v>
      </c>
      <c r="G76" s="1" t="s">
        <v>60</v>
      </c>
      <c r="H76" s="1">
        <v>1</v>
      </c>
      <c r="I76" s="1" t="s">
        <v>59</v>
      </c>
      <c r="J76" s="21">
        <v>5000</v>
      </c>
      <c r="K76" s="21">
        <v>15000</v>
      </c>
      <c r="L76" s="21">
        <f t="shared" si="2"/>
        <v>10000</v>
      </c>
      <c r="M76" s="1" t="s">
        <v>27</v>
      </c>
      <c r="N76" s="1" t="s">
        <v>24</v>
      </c>
    </row>
    <row r="77" spans="1:14" x14ac:dyDescent="0.35">
      <c r="A77" s="17">
        <v>45826</v>
      </c>
      <c r="B77" s="1" t="s">
        <v>615</v>
      </c>
      <c r="C77" s="26" t="str">
        <f>VLOOKUP(F77,Clientes!$B$2:$C$179,2,0)</f>
        <v>Tenjo</v>
      </c>
      <c r="D77" s="1" t="s">
        <v>619</v>
      </c>
      <c r="E77" s="15">
        <f>VLOOKUP(F77,Referencia!$A$15:$B$193,2,0)</f>
        <v>37</v>
      </c>
      <c r="F77" s="1" t="s">
        <v>178</v>
      </c>
      <c r="G77" s="1" t="s">
        <v>419</v>
      </c>
      <c r="H77" s="1">
        <v>1</v>
      </c>
      <c r="I77" s="1" t="s">
        <v>26</v>
      </c>
      <c r="J77" s="21">
        <v>624100</v>
      </c>
      <c r="K77" s="21">
        <v>1000000</v>
      </c>
      <c r="L77" s="21">
        <f t="shared" si="2"/>
        <v>375900</v>
      </c>
      <c r="M77" s="1" t="s">
        <v>27</v>
      </c>
      <c r="N77" s="1" t="s">
        <v>24</v>
      </c>
    </row>
    <row r="78" spans="1:14" x14ac:dyDescent="0.35">
      <c r="A78" s="17">
        <v>45826</v>
      </c>
      <c r="B78" s="1" t="s">
        <v>615</v>
      </c>
      <c r="C78" s="26" t="str">
        <f>VLOOKUP(F78,Clientes!$B$2:$C$179,2,0)</f>
        <v>Tabio</v>
      </c>
      <c r="D78" s="1" t="s">
        <v>619</v>
      </c>
      <c r="E78" s="15">
        <f>VLOOKUP(F78,Referencia!$A$15:$B$193,2,0)</f>
        <v>180</v>
      </c>
      <c r="F78" s="1" t="s">
        <v>463</v>
      </c>
      <c r="G78" s="1" t="s">
        <v>420</v>
      </c>
      <c r="H78" s="1">
        <v>1</v>
      </c>
      <c r="I78" s="1" t="s">
        <v>59</v>
      </c>
      <c r="J78" s="21">
        <v>125000</v>
      </c>
      <c r="K78" s="21">
        <v>260000</v>
      </c>
      <c r="L78" s="21">
        <f t="shared" si="2"/>
        <v>135000</v>
      </c>
      <c r="M78" s="1" t="s">
        <v>27</v>
      </c>
      <c r="N78" s="1" t="s">
        <v>24</v>
      </c>
    </row>
    <row r="79" spans="1:14" x14ac:dyDescent="0.35">
      <c r="A79" s="17">
        <v>45826</v>
      </c>
      <c r="B79" s="1" t="s">
        <v>615</v>
      </c>
      <c r="C79" s="26" t="str">
        <f>VLOOKUP(F79,Clientes!$B$2:$C$179,2,0)</f>
        <v>Funza</v>
      </c>
      <c r="D79" s="1" t="s">
        <v>619</v>
      </c>
      <c r="E79" s="15">
        <f>VLOOKUP(F79,Referencia!$A$15:$B$193,2,0)</f>
        <v>42</v>
      </c>
      <c r="F79" s="1" t="s">
        <v>185</v>
      </c>
      <c r="G79" s="1" t="s">
        <v>421</v>
      </c>
      <c r="H79" s="1">
        <v>1</v>
      </c>
      <c r="I79" s="1" t="s">
        <v>40</v>
      </c>
      <c r="J79" s="21">
        <v>36000</v>
      </c>
      <c r="K79" s="21">
        <v>90000</v>
      </c>
      <c r="L79" s="21">
        <f t="shared" si="2"/>
        <v>54000</v>
      </c>
      <c r="M79" s="1" t="s">
        <v>27</v>
      </c>
      <c r="N79" s="1" t="s">
        <v>24</v>
      </c>
    </row>
    <row r="80" spans="1:14" x14ac:dyDescent="0.35">
      <c r="A80" s="17">
        <v>45826</v>
      </c>
      <c r="B80" s="1" t="s">
        <v>615</v>
      </c>
      <c r="C80" s="26" t="str">
        <f>VLOOKUP(F80,Clientes!$B$2:$C$179,2,0)</f>
        <v>Funza</v>
      </c>
      <c r="D80" s="1" t="s">
        <v>619</v>
      </c>
      <c r="E80" s="15">
        <f>VLOOKUP(F80,Referencia!$A$15:$B$193,2,0)</f>
        <v>3</v>
      </c>
      <c r="F80" s="1" t="s">
        <v>422</v>
      </c>
      <c r="G80" t="s">
        <v>423</v>
      </c>
      <c r="H80" s="1">
        <v>1</v>
      </c>
      <c r="I80" s="1" t="s">
        <v>43</v>
      </c>
      <c r="J80" s="21">
        <v>231960</v>
      </c>
      <c r="K80" s="21">
        <v>420000</v>
      </c>
      <c r="L80" s="21">
        <f t="shared" si="2"/>
        <v>188040</v>
      </c>
      <c r="M80" s="1" t="s">
        <v>27</v>
      </c>
      <c r="N80" s="1" t="s">
        <v>24</v>
      </c>
    </row>
    <row r="81" spans="1:14" x14ac:dyDescent="0.35">
      <c r="A81" s="17">
        <v>45826</v>
      </c>
      <c r="B81" s="1" t="s">
        <v>615</v>
      </c>
      <c r="C81" s="26" t="str">
        <f>VLOOKUP(F81,Clientes!$B$2:$C$179,2,0)</f>
        <v>Tenjo</v>
      </c>
      <c r="D81" s="1" t="s">
        <v>619</v>
      </c>
      <c r="E81" s="15">
        <f>VLOOKUP(F81,Referencia!$A$15:$B$193,2,0)</f>
        <v>178</v>
      </c>
      <c r="F81" s="1" t="s">
        <v>424</v>
      </c>
      <c r="G81" s="1" t="s">
        <v>435</v>
      </c>
      <c r="H81" s="1">
        <v>1</v>
      </c>
      <c r="I81" s="1" t="s">
        <v>59</v>
      </c>
      <c r="J81" s="21">
        <v>90000</v>
      </c>
      <c r="K81" s="21">
        <v>150000</v>
      </c>
      <c r="L81" s="21">
        <f t="shared" si="2"/>
        <v>60000</v>
      </c>
      <c r="M81" s="1" t="s">
        <v>23</v>
      </c>
      <c r="N81" s="1" t="s">
        <v>24</v>
      </c>
    </row>
    <row r="82" spans="1:14" x14ac:dyDescent="0.35">
      <c r="A82" s="17">
        <v>45826</v>
      </c>
      <c r="B82" s="1" t="s">
        <v>615</v>
      </c>
      <c r="C82" s="26" t="str">
        <f>VLOOKUP(F82,Clientes!$B$2:$C$179,2,0)</f>
        <v>Tenjo</v>
      </c>
      <c r="D82" s="1" t="s">
        <v>619</v>
      </c>
      <c r="E82" s="15">
        <f>VLOOKUP(F82,Referencia!$A$15:$B$193,2,0)</f>
        <v>178</v>
      </c>
      <c r="F82" s="1" t="s">
        <v>424</v>
      </c>
      <c r="G82" s="1" t="s">
        <v>33</v>
      </c>
      <c r="H82" s="1">
        <v>1</v>
      </c>
      <c r="I82" s="1" t="s">
        <v>59</v>
      </c>
      <c r="J82" s="21">
        <v>90000</v>
      </c>
      <c r="K82" s="21">
        <v>190000</v>
      </c>
      <c r="L82" s="21">
        <f t="shared" si="2"/>
        <v>100000</v>
      </c>
      <c r="M82" s="1" t="s">
        <v>23</v>
      </c>
      <c r="N82" s="1" t="s">
        <v>24</v>
      </c>
    </row>
    <row r="83" spans="1:14" x14ac:dyDescent="0.35">
      <c r="A83" s="17">
        <v>45826</v>
      </c>
      <c r="B83" s="1" t="s">
        <v>615</v>
      </c>
      <c r="C83" s="26" t="str">
        <f>VLOOKUP(F83,Clientes!$B$2:$C$179,2,0)</f>
        <v>Tenjo</v>
      </c>
      <c r="D83" s="1" t="s">
        <v>619</v>
      </c>
      <c r="E83" s="15">
        <f>VLOOKUP(F83,Referencia!$A$15:$B$193,2,0)</f>
        <v>178</v>
      </c>
      <c r="F83" s="1" t="s">
        <v>424</v>
      </c>
      <c r="G83" s="1" t="s">
        <v>427</v>
      </c>
      <c r="H83" s="1">
        <v>1</v>
      </c>
      <c r="I83" s="1" t="s">
        <v>40</v>
      </c>
      <c r="J83" s="21">
        <v>45000</v>
      </c>
      <c r="K83" s="21">
        <v>90000</v>
      </c>
      <c r="L83" s="21">
        <f t="shared" si="2"/>
        <v>45000</v>
      </c>
      <c r="M83" s="1" t="s">
        <v>23</v>
      </c>
      <c r="N83" s="1" t="s">
        <v>24</v>
      </c>
    </row>
    <row r="84" spans="1:14" x14ac:dyDescent="0.35">
      <c r="A84" s="17">
        <v>45826</v>
      </c>
      <c r="B84" s="1" t="s">
        <v>615</v>
      </c>
      <c r="C84" s="26" t="str">
        <f>VLOOKUP(F84,Clientes!$B$2:$C$179,2,0)</f>
        <v>Tenjo</v>
      </c>
      <c r="D84" s="1" t="s">
        <v>619</v>
      </c>
      <c r="E84" s="15">
        <f>VLOOKUP(F84,Referencia!$A$15:$B$193,2,0)</f>
        <v>178</v>
      </c>
      <c r="F84" s="1" t="s">
        <v>424</v>
      </c>
      <c r="G84" s="1" t="s">
        <v>428</v>
      </c>
      <c r="H84" s="1">
        <v>1</v>
      </c>
      <c r="I84" s="1" t="s">
        <v>40</v>
      </c>
      <c r="J84" s="21">
        <v>8000</v>
      </c>
      <c r="K84" s="21">
        <v>30000</v>
      </c>
      <c r="L84" s="21">
        <f t="shared" si="2"/>
        <v>22000</v>
      </c>
      <c r="M84" s="1" t="s">
        <v>23</v>
      </c>
      <c r="N84" s="1" t="s">
        <v>24</v>
      </c>
    </row>
    <row r="85" spans="1:14" x14ac:dyDescent="0.35">
      <c r="A85" s="17">
        <v>45826</v>
      </c>
      <c r="B85" s="1" t="s">
        <v>615</v>
      </c>
      <c r="C85" s="26" t="str">
        <f>VLOOKUP(F85,Clientes!$B$2:$C$179,2,0)</f>
        <v>Tenjo</v>
      </c>
      <c r="D85" s="1" t="s">
        <v>619</v>
      </c>
      <c r="E85" s="15">
        <f>VLOOKUP(F85,Referencia!$A$15:$B$193,2,0)</f>
        <v>178</v>
      </c>
      <c r="F85" s="1" t="s">
        <v>424</v>
      </c>
      <c r="G85" s="1" t="s">
        <v>429</v>
      </c>
      <c r="H85" s="1">
        <v>1</v>
      </c>
      <c r="I85" s="5" t="s">
        <v>430</v>
      </c>
      <c r="J85" s="21">
        <v>45000</v>
      </c>
      <c r="K85" s="21">
        <v>90000</v>
      </c>
      <c r="L85" s="21">
        <f t="shared" si="2"/>
        <v>45000</v>
      </c>
      <c r="M85" s="1" t="s">
        <v>23</v>
      </c>
      <c r="N85" s="1" t="s">
        <v>24</v>
      </c>
    </row>
    <row r="86" spans="1:14" x14ac:dyDescent="0.35">
      <c r="A86" s="17">
        <v>45826</v>
      </c>
      <c r="B86" s="1" t="s">
        <v>615</v>
      </c>
      <c r="C86" s="26" t="str">
        <f>VLOOKUP(F86,Clientes!$B$2:$C$179,2,0)</f>
        <v>Tenjo</v>
      </c>
      <c r="D86" s="1" t="s">
        <v>619</v>
      </c>
      <c r="E86" s="15">
        <f>VLOOKUP(F86,Referencia!$A$15:$B$193,2,0)</f>
        <v>178</v>
      </c>
      <c r="F86" s="1" t="s">
        <v>424</v>
      </c>
      <c r="G86" s="1" t="s">
        <v>431</v>
      </c>
      <c r="H86" s="1">
        <v>1</v>
      </c>
      <c r="I86" s="1" t="s">
        <v>43</v>
      </c>
      <c r="J86" s="21">
        <v>32700</v>
      </c>
      <c r="K86" s="21">
        <v>50000</v>
      </c>
      <c r="L86" s="21">
        <f t="shared" si="2"/>
        <v>17300</v>
      </c>
      <c r="M86" s="1" t="s">
        <v>23</v>
      </c>
      <c r="N86" s="1" t="s">
        <v>24</v>
      </c>
    </row>
    <row r="87" spans="1:14" x14ac:dyDescent="0.35">
      <c r="A87" s="17">
        <v>45826</v>
      </c>
      <c r="B87" s="1" t="s">
        <v>615</v>
      </c>
      <c r="C87" s="26" t="str">
        <f>VLOOKUP(F87,Clientes!$B$2:$C$179,2,0)</f>
        <v>Tabio</v>
      </c>
      <c r="D87" s="1" t="s">
        <v>619</v>
      </c>
      <c r="E87" s="15">
        <f>VLOOKUP(F87,Referencia!$A$15:$B$193,2,0)</f>
        <v>38</v>
      </c>
      <c r="F87" s="10" t="s">
        <v>179</v>
      </c>
      <c r="G87" s="1" t="s">
        <v>432</v>
      </c>
      <c r="H87" s="1">
        <v>1</v>
      </c>
      <c r="I87" s="1" t="s">
        <v>59</v>
      </c>
      <c r="J87" s="21">
        <v>120000</v>
      </c>
      <c r="K87" s="21">
        <v>240000</v>
      </c>
      <c r="L87" s="21">
        <f t="shared" si="2"/>
        <v>120000</v>
      </c>
      <c r="M87" s="1" t="s">
        <v>27</v>
      </c>
      <c r="N87" s="1" t="s">
        <v>24</v>
      </c>
    </row>
    <row r="88" spans="1:14" x14ac:dyDescent="0.35">
      <c r="A88" s="17">
        <v>45826</v>
      </c>
      <c r="B88" s="1" t="s">
        <v>615</v>
      </c>
      <c r="C88" s="26" t="str">
        <f>VLOOKUP(F88,Clientes!$B$2:$C$179,2,0)</f>
        <v>Tabio</v>
      </c>
      <c r="D88" s="1" t="s">
        <v>619</v>
      </c>
      <c r="E88" s="15">
        <f>VLOOKUP(F88,Referencia!$A$15:$B$193,2,0)</f>
        <v>38</v>
      </c>
      <c r="F88" s="10" t="s">
        <v>179</v>
      </c>
      <c r="G88" s="1" t="s">
        <v>433</v>
      </c>
      <c r="H88" s="1">
        <v>1</v>
      </c>
      <c r="I88" s="1" t="s">
        <v>59</v>
      </c>
      <c r="J88" s="21">
        <v>100000</v>
      </c>
      <c r="K88" s="21">
        <v>190000</v>
      </c>
      <c r="L88" s="21">
        <f t="shared" si="2"/>
        <v>90000</v>
      </c>
      <c r="M88" s="1" t="s">
        <v>27</v>
      </c>
      <c r="N88" s="1" t="s">
        <v>24</v>
      </c>
    </row>
    <row r="89" spans="1:14" x14ac:dyDescent="0.35">
      <c r="A89" s="17">
        <v>45826</v>
      </c>
      <c r="B89" s="1" t="s">
        <v>615</v>
      </c>
      <c r="C89" s="26" t="str">
        <f>VLOOKUP(F89,Clientes!$B$2:$C$179,2,0)</f>
        <v>Tabio</v>
      </c>
      <c r="D89" s="1" t="s">
        <v>619</v>
      </c>
      <c r="E89" s="15">
        <f>VLOOKUP(F89,Referencia!$A$15:$B$193,2,0)</f>
        <v>38</v>
      </c>
      <c r="F89" s="10" t="s">
        <v>179</v>
      </c>
      <c r="G89" s="1" t="s">
        <v>434</v>
      </c>
      <c r="H89" s="1">
        <v>1</v>
      </c>
      <c r="I89" s="5" t="s">
        <v>74</v>
      </c>
      <c r="J89" s="22">
        <v>35000</v>
      </c>
      <c r="K89" s="21">
        <v>50000</v>
      </c>
      <c r="L89" s="21">
        <f t="shared" si="2"/>
        <v>15000</v>
      </c>
      <c r="M89" s="1" t="s">
        <v>27</v>
      </c>
      <c r="N89" s="1" t="s">
        <v>24</v>
      </c>
    </row>
    <row r="90" spans="1:14" x14ac:dyDescent="0.35">
      <c r="A90" s="17">
        <v>45827</v>
      </c>
      <c r="B90" s="1" t="s">
        <v>8</v>
      </c>
      <c r="C90" s="26" t="str">
        <f>VLOOKUP(F90,Clientes!$B$2:$C$179,2,0)</f>
        <v>Sopó</v>
      </c>
      <c r="D90" s="1" t="s">
        <v>619</v>
      </c>
      <c r="E90" s="15">
        <f>VLOOKUP(F90,Referencia!$A$15:$B$193,2,0)</f>
        <v>1</v>
      </c>
      <c r="F90" s="1" t="s">
        <v>108</v>
      </c>
      <c r="G90" s="1" t="s">
        <v>436</v>
      </c>
      <c r="H90" s="1">
        <v>1</v>
      </c>
      <c r="I90" s="5" t="s">
        <v>74</v>
      </c>
      <c r="J90" s="21">
        <v>135000</v>
      </c>
      <c r="K90" s="21">
        <v>195000</v>
      </c>
      <c r="L90" s="21">
        <f t="shared" si="2"/>
        <v>60000</v>
      </c>
      <c r="M90" s="1" t="s">
        <v>27</v>
      </c>
      <c r="N90" s="1" t="s">
        <v>24</v>
      </c>
    </row>
    <row r="91" spans="1:14" x14ac:dyDescent="0.35">
      <c r="A91" s="17">
        <v>45827</v>
      </c>
      <c r="B91" s="1" t="s">
        <v>9</v>
      </c>
      <c r="C91" s="26" t="str">
        <f>VLOOKUP(F91,Clientes!$B$2:$C$179,2,0)</f>
        <v>Chia</v>
      </c>
      <c r="D91" s="1" t="s">
        <v>619</v>
      </c>
      <c r="E91" s="15">
        <f>VLOOKUP(F91,Referencia!$A$15:$B$193,2,0)</f>
        <v>64</v>
      </c>
      <c r="F91" s="1" t="s">
        <v>90</v>
      </c>
      <c r="G91" s="1" t="s">
        <v>437</v>
      </c>
      <c r="H91" s="1">
        <v>1</v>
      </c>
      <c r="I91" s="1" t="s">
        <v>43</v>
      </c>
      <c r="J91" s="21">
        <v>303000</v>
      </c>
      <c r="K91" s="21">
        <v>490000</v>
      </c>
      <c r="L91" s="21">
        <f t="shared" si="2"/>
        <v>187000</v>
      </c>
      <c r="M91" s="1" t="s">
        <v>27</v>
      </c>
      <c r="N91" s="1" t="s">
        <v>24</v>
      </c>
    </row>
    <row r="92" spans="1:14" x14ac:dyDescent="0.35">
      <c r="A92" s="17">
        <v>45834</v>
      </c>
      <c r="B92" s="1" t="s">
        <v>8</v>
      </c>
      <c r="C92" s="26" t="str">
        <f>VLOOKUP(F92,Clientes!$B$2:$C$179,2,0)</f>
        <v>Tocancipá</v>
      </c>
      <c r="D92" s="1" t="s">
        <v>619</v>
      </c>
      <c r="E92" s="15">
        <f>VLOOKUP(F92,Referencia!$A$15:$B$193,2,0)</f>
        <v>29</v>
      </c>
      <c r="F92" s="1" t="s">
        <v>441</v>
      </c>
      <c r="G92" s="1" t="s">
        <v>439</v>
      </c>
      <c r="H92" s="1">
        <v>1</v>
      </c>
      <c r="I92" s="1" t="s">
        <v>442</v>
      </c>
      <c r="J92" s="21">
        <v>89450</v>
      </c>
      <c r="K92" s="21">
        <v>80000</v>
      </c>
      <c r="L92" s="21">
        <f t="shared" si="2"/>
        <v>-9450</v>
      </c>
      <c r="M92" s="1" t="s">
        <v>27</v>
      </c>
      <c r="N92" s="1" t="s">
        <v>24</v>
      </c>
    </row>
    <row r="93" spans="1:14" x14ac:dyDescent="0.35">
      <c r="A93" s="17">
        <v>45834</v>
      </c>
      <c r="B93" s="1" t="s">
        <v>8</v>
      </c>
      <c r="C93" s="26" t="str">
        <f>VLOOKUP(F93,Clientes!$B$2:$C$179,2,0)</f>
        <v>Tocancipá</v>
      </c>
      <c r="D93" s="1" t="s">
        <v>619</v>
      </c>
      <c r="E93" s="15">
        <f>VLOOKUP(F93,Referencia!$A$15:$B$193,2,0)</f>
        <v>29</v>
      </c>
      <c r="F93" s="1" t="s">
        <v>441</v>
      </c>
      <c r="G93" s="1" t="s">
        <v>443</v>
      </c>
      <c r="H93" s="1">
        <v>1</v>
      </c>
      <c r="I93" s="1" t="s">
        <v>59</v>
      </c>
      <c r="J93" s="21">
        <v>45000</v>
      </c>
      <c r="K93" s="21">
        <v>70000</v>
      </c>
      <c r="L93" s="21">
        <f t="shared" si="2"/>
        <v>25000</v>
      </c>
      <c r="M93" s="1" t="s">
        <v>27</v>
      </c>
      <c r="N93" s="1" t="s">
        <v>24</v>
      </c>
    </row>
    <row r="94" spans="1:14" x14ac:dyDescent="0.35">
      <c r="A94" s="17">
        <v>45834</v>
      </c>
      <c r="B94" s="1" t="s">
        <v>8</v>
      </c>
      <c r="C94" s="26" t="str">
        <f>VLOOKUP(F94,Clientes!$B$2:$C$179,2,0)</f>
        <v>Sopó</v>
      </c>
      <c r="D94" s="1" t="s">
        <v>619</v>
      </c>
      <c r="E94" s="15">
        <f>VLOOKUP(F94,Referencia!$A$15:$B$193,2,0)</f>
        <v>2</v>
      </c>
      <c r="F94" s="1" t="s">
        <v>112</v>
      </c>
      <c r="G94" s="1" t="s">
        <v>444</v>
      </c>
      <c r="H94" s="1">
        <v>1</v>
      </c>
      <c r="I94" s="1" t="s">
        <v>43</v>
      </c>
      <c r="J94" s="21">
        <v>131194</v>
      </c>
      <c r="K94" s="21">
        <v>190000</v>
      </c>
      <c r="L94" s="21">
        <f t="shared" si="2"/>
        <v>58806</v>
      </c>
      <c r="M94" s="1" t="s">
        <v>27</v>
      </c>
      <c r="N94" s="1" t="s">
        <v>24</v>
      </c>
    </row>
    <row r="95" spans="1:14" x14ac:dyDescent="0.35">
      <c r="A95" s="17">
        <v>45834</v>
      </c>
      <c r="B95" s="1" t="s">
        <v>8</v>
      </c>
      <c r="C95" s="26" t="str">
        <f>VLOOKUP(F95,Clientes!$B$2:$C$179,2,0)</f>
        <v>Sopó</v>
      </c>
      <c r="D95" s="1" t="s">
        <v>619</v>
      </c>
      <c r="E95" s="15">
        <f>VLOOKUP(F95,Referencia!$A$15:$B$193,2,0)</f>
        <v>2</v>
      </c>
      <c r="F95" s="1" t="s">
        <v>112</v>
      </c>
      <c r="G95" s="1" t="s">
        <v>443</v>
      </c>
      <c r="H95" s="1">
        <v>1</v>
      </c>
      <c r="I95" s="1" t="s">
        <v>59</v>
      </c>
      <c r="J95" s="21">
        <v>45000</v>
      </c>
      <c r="K95" s="21">
        <v>90000</v>
      </c>
      <c r="L95" s="21">
        <f t="shared" si="2"/>
        <v>45000</v>
      </c>
      <c r="M95" s="1" t="s">
        <v>27</v>
      </c>
      <c r="N95" s="1" t="s">
        <v>24</v>
      </c>
    </row>
    <row r="96" spans="1:14" x14ac:dyDescent="0.35">
      <c r="A96" s="17">
        <v>45834</v>
      </c>
      <c r="B96" s="1" t="s">
        <v>8</v>
      </c>
      <c r="C96" s="26" t="str">
        <f>VLOOKUP(F96,Clientes!$B$2:$C$179,2,0)</f>
        <v>Sopó</v>
      </c>
      <c r="D96" s="1" t="s">
        <v>619</v>
      </c>
      <c r="E96" s="15">
        <f>VLOOKUP(F96,Referencia!$A$15:$B$193,2,0)</f>
        <v>2</v>
      </c>
      <c r="F96" s="1" t="s">
        <v>112</v>
      </c>
      <c r="G96" s="1" t="s">
        <v>445</v>
      </c>
      <c r="H96" s="1">
        <v>1</v>
      </c>
      <c r="I96" s="1" t="s">
        <v>40</v>
      </c>
      <c r="J96" s="21">
        <v>38000</v>
      </c>
      <c r="K96" s="21">
        <v>55000</v>
      </c>
      <c r="L96" s="21">
        <f t="shared" si="2"/>
        <v>17000</v>
      </c>
      <c r="M96" s="1" t="s">
        <v>27</v>
      </c>
      <c r="N96" s="1" t="s">
        <v>24</v>
      </c>
    </row>
    <row r="97" spans="1:14" x14ac:dyDescent="0.35">
      <c r="A97" s="17">
        <v>45834</v>
      </c>
      <c r="B97" s="1" t="s">
        <v>8</v>
      </c>
      <c r="C97" s="26" t="str">
        <f>VLOOKUP(F97,Clientes!$B$2:$C$179,2,0)</f>
        <v>Sopó</v>
      </c>
      <c r="D97" s="1" t="s">
        <v>619</v>
      </c>
      <c r="E97" s="15">
        <f>VLOOKUP(F97,Referencia!$A$15:$B$193,2,0)</f>
        <v>2</v>
      </c>
      <c r="F97" s="1" t="s">
        <v>112</v>
      </c>
      <c r="G97" s="1" t="s">
        <v>446</v>
      </c>
      <c r="H97" s="1">
        <v>1</v>
      </c>
      <c r="I97" s="1" t="s">
        <v>43</v>
      </c>
      <c r="J97" s="21">
        <v>20340</v>
      </c>
      <c r="K97" s="21">
        <v>35000</v>
      </c>
      <c r="L97" s="21">
        <f t="shared" si="2"/>
        <v>14660</v>
      </c>
      <c r="M97" s="1" t="s">
        <v>27</v>
      </c>
      <c r="N97" s="1" t="s">
        <v>24</v>
      </c>
    </row>
    <row r="98" spans="1:14" x14ac:dyDescent="0.35">
      <c r="A98" s="17">
        <v>45834</v>
      </c>
      <c r="B98" s="1" t="s">
        <v>8</v>
      </c>
      <c r="C98" s="26" t="str">
        <f>VLOOKUP(F98,Clientes!$B$2:$C$179,2,0)</f>
        <v>Sopó</v>
      </c>
      <c r="D98" s="1" t="s">
        <v>619</v>
      </c>
      <c r="E98" s="15">
        <f>VLOOKUP(F98,Referencia!$A$15:$B$193,2,0)</f>
        <v>2</v>
      </c>
      <c r="F98" s="1" t="s">
        <v>112</v>
      </c>
      <c r="G98" s="1" t="s">
        <v>447</v>
      </c>
      <c r="H98" s="1">
        <v>1</v>
      </c>
      <c r="I98" s="1" t="s">
        <v>40</v>
      </c>
      <c r="J98" s="21">
        <v>18000</v>
      </c>
      <c r="K98" s="21">
        <v>30000</v>
      </c>
      <c r="L98" s="21">
        <f t="shared" si="2"/>
        <v>12000</v>
      </c>
      <c r="M98" s="1" t="s">
        <v>27</v>
      </c>
      <c r="N98" s="1" t="s">
        <v>24</v>
      </c>
    </row>
    <row r="99" spans="1:14" x14ac:dyDescent="0.35">
      <c r="A99" s="17">
        <v>45834</v>
      </c>
      <c r="B99" s="1" t="s">
        <v>8</v>
      </c>
      <c r="C99" s="26" t="str">
        <f>VLOOKUP(F99,Clientes!$B$2:$C$179,2,0)</f>
        <v>Sopó</v>
      </c>
      <c r="D99" s="1" t="s">
        <v>619</v>
      </c>
      <c r="E99" s="15">
        <f>VLOOKUP(F99,Referencia!$A$15:$B$193,2,0)</f>
        <v>1</v>
      </c>
      <c r="F99" s="1" t="s">
        <v>108</v>
      </c>
      <c r="G99" s="1" t="s">
        <v>449</v>
      </c>
      <c r="H99" s="1">
        <v>1</v>
      </c>
      <c r="I99" s="5" t="s">
        <v>74</v>
      </c>
      <c r="J99" s="21">
        <v>135000</v>
      </c>
      <c r="K99" s="21">
        <v>195000</v>
      </c>
      <c r="L99" s="21">
        <f t="shared" si="2"/>
        <v>60000</v>
      </c>
      <c r="M99" s="1" t="s">
        <v>27</v>
      </c>
      <c r="N99" s="1" t="s">
        <v>24</v>
      </c>
    </row>
    <row r="100" spans="1:14" x14ac:dyDescent="0.35">
      <c r="A100" s="17">
        <v>45834</v>
      </c>
      <c r="B100" s="1" t="s">
        <v>8</v>
      </c>
      <c r="C100" s="26" t="str">
        <f>VLOOKUP(F100,Clientes!$B$2:$C$179,2,0)</f>
        <v>Sopó</v>
      </c>
      <c r="D100" s="1" t="s">
        <v>619</v>
      </c>
      <c r="E100" s="15">
        <f>VLOOKUP(F100,Referencia!$A$15:$B$193,2,0)</f>
        <v>1</v>
      </c>
      <c r="F100" s="1" t="s">
        <v>108</v>
      </c>
      <c r="G100" s="1" t="s">
        <v>450</v>
      </c>
      <c r="H100" s="1">
        <v>1</v>
      </c>
      <c r="I100" s="1" t="s">
        <v>22</v>
      </c>
      <c r="J100" s="21">
        <v>32100</v>
      </c>
      <c r="K100" s="21">
        <v>40000</v>
      </c>
      <c r="L100" s="21">
        <f t="shared" si="2"/>
        <v>7900</v>
      </c>
      <c r="M100" s="1" t="s">
        <v>27</v>
      </c>
      <c r="N100" s="1" t="s">
        <v>24</v>
      </c>
    </row>
    <row r="101" spans="1:14" x14ac:dyDescent="0.35">
      <c r="A101" s="17">
        <v>45834</v>
      </c>
      <c r="B101" s="1" t="s">
        <v>8</v>
      </c>
      <c r="C101" s="26" t="str">
        <f>VLOOKUP(F101,Clientes!$B$2:$C$179,2,0)</f>
        <v>Sopó</v>
      </c>
      <c r="D101" s="1" t="s">
        <v>619</v>
      </c>
      <c r="E101" s="15">
        <f>VLOOKUP(F101,Referencia!$A$15:$B$193,2,0)</f>
        <v>1</v>
      </c>
      <c r="F101" s="1" t="s">
        <v>108</v>
      </c>
      <c r="G101" s="1" t="s">
        <v>451</v>
      </c>
      <c r="H101" s="1">
        <v>1</v>
      </c>
      <c r="I101" s="1" t="s">
        <v>40</v>
      </c>
      <c r="J101" s="21">
        <v>25000</v>
      </c>
      <c r="K101" s="21">
        <v>50000</v>
      </c>
      <c r="L101" s="21">
        <f t="shared" si="2"/>
        <v>25000</v>
      </c>
      <c r="M101" s="1" t="s">
        <v>27</v>
      </c>
      <c r="N101" s="1" t="s">
        <v>24</v>
      </c>
    </row>
    <row r="102" spans="1:14" x14ac:dyDescent="0.35">
      <c r="A102" s="17">
        <v>45834</v>
      </c>
      <c r="B102" s="1" t="s">
        <v>9</v>
      </c>
      <c r="C102" s="26" t="str">
        <f>VLOOKUP(F102,Clientes!$B$2:$C$179,2,0)</f>
        <v>Chia</v>
      </c>
      <c r="D102" s="1" t="s">
        <v>619</v>
      </c>
      <c r="E102" s="15">
        <f>VLOOKUP(F102,Referencia!$A$15:$B$193,2,0)</f>
        <v>10</v>
      </c>
      <c r="F102" s="1" t="s">
        <v>622</v>
      </c>
      <c r="G102" s="1" t="s">
        <v>452</v>
      </c>
      <c r="H102" s="1">
        <v>1</v>
      </c>
      <c r="I102" s="1" t="s">
        <v>40</v>
      </c>
      <c r="J102" s="21">
        <v>38000</v>
      </c>
      <c r="K102" s="21">
        <v>75000</v>
      </c>
      <c r="L102" s="21">
        <f t="shared" si="2"/>
        <v>37000</v>
      </c>
      <c r="M102" s="1" t="s">
        <v>27</v>
      </c>
      <c r="N102" s="1" t="s">
        <v>24</v>
      </c>
    </row>
    <row r="103" spans="1:14" x14ac:dyDescent="0.35">
      <c r="A103" s="17">
        <v>45840</v>
      </c>
      <c r="B103" s="1" t="s">
        <v>615</v>
      </c>
      <c r="C103" s="26" t="str">
        <f>VLOOKUP(F103,Clientes!$B$2:$C$179,2,0)</f>
        <v>Tabio</v>
      </c>
      <c r="D103" s="1" t="s">
        <v>619</v>
      </c>
      <c r="E103" s="15">
        <f>VLOOKUP(F103,Referencia!$A$15:$B$193,2,0)</f>
        <v>7</v>
      </c>
      <c r="F103" s="1" t="s">
        <v>453</v>
      </c>
      <c r="G103" s="1" t="s">
        <v>454</v>
      </c>
      <c r="H103" s="1">
        <v>1</v>
      </c>
      <c r="I103" s="1" t="s">
        <v>59</v>
      </c>
      <c r="J103" s="21">
        <v>55000</v>
      </c>
      <c r="K103" s="21">
        <v>125000</v>
      </c>
      <c r="L103" s="21">
        <f t="shared" si="2"/>
        <v>70000</v>
      </c>
      <c r="M103" s="1" t="s">
        <v>27</v>
      </c>
      <c r="N103" s="1" t="s">
        <v>24</v>
      </c>
    </row>
    <row r="104" spans="1:14" x14ac:dyDescent="0.35">
      <c r="A104" s="17">
        <v>45840</v>
      </c>
      <c r="B104" s="1" t="s">
        <v>615</v>
      </c>
      <c r="C104" s="26" t="str">
        <f>VLOOKUP(F104,Clientes!$B$2:$C$179,2,0)</f>
        <v>Tabio</v>
      </c>
      <c r="D104" s="1" t="s">
        <v>619</v>
      </c>
      <c r="E104" s="15">
        <f>VLOOKUP(F104,Referencia!$A$15:$B$193,2,0)</f>
        <v>7</v>
      </c>
      <c r="F104" s="1" t="s">
        <v>453</v>
      </c>
      <c r="G104" s="1" t="s">
        <v>630</v>
      </c>
      <c r="H104" s="1">
        <v>1</v>
      </c>
      <c r="I104" s="5" t="s">
        <v>74</v>
      </c>
      <c r="J104" s="21">
        <v>7000</v>
      </c>
      <c r="K104" s="21">
        <v>18000</v>
      </c>
      <c r="L104" s="21">
        <f t="shared" si="2"/>
        <v>11000</v>
      </c>
      <c r="M104" s="1" t="s">
        <v>27</v>
      </c>
      <c r="N104" s="1" t="s">
        <v>24</v>
      </c>
    </row>
    <row r="105" spans="1:14" x14ac:dyDescent="0.35">
      <c r="A105" s="17">
        <v>45840</v>
      </c>
      <c r="B105" s="1" t="s">
        <v>615</v>
      </c>
      <c r="C105" s="26" t="str">
        <f>VLOOKUP(F105,Clientes!$B$2:$C$179,2,0)</f>
        <v>Tabio</v>
      </c>
      <c r="D105" s="1" t="s">
        <v>619</v>
      </c>
      <c r="E105" s="15">
        <f>VLOOKUP(F105,Referencia!$A$15:$B$193,2,0)</f>
        <v>7</v>
      </c>
      <c r="F105" s="1" t="s">
        <v>453</v>
      </c>
      <c r="G105" s="1" t="s">
        <v>631</v>
      </c>
      <c r="H105" s="1">
        <v>1</v>
      </c>
      <c r="I105" s="1" t="s">
        <v>32</v>
      </c>
      <c r="J105" s="21">
        <v>11700</v>
      </c>
      <c r="K105" s="21">
        <v>18000</v>
      </c>
      <c r="L105" s="21">
        <f t="shared" si="2"/>
        <v>6300</v>
      </c>
      <c r="M105" s="1" t="s">
        <v>27</v>
      </c>
      <c r="N105" s="1" t="s">
        <v>24</v>
      </c>
    </row>
    <row r="106" spans="1:14" x14ac:dyDescent="0.35">
      <c r="A106" s="17">
        <v>45840</v>
      </c>
      <c r="B106" s="1" t="s">
        <v>615</v>
      </c>
      <c r="C106" s="26" t="str">
        <f>VLOOKUP(F106,Clientes!$B$2:$C$179,2,0)</f>
        <v>Tabio</v>
      </c>
      <c r="D106" s="1" t="s">
        <v>619</v>
      </c>
      <c r="E106" s="15">
        <f>VLOOKUP(F106,Referencia!$A$15:$B$193,2,0)</f>
        <v>7</v>
      </c>
      <c r="F106" s="1" t="s">
        <v>453</v>
      </c>
      <c r="G106" s="1" t="s">
        <v>455</v>
      </c>
      <c r="H106" s="1">
        <v>3</v>
      </c>
      <c r="I106" s="1" t="s">
        <v>456</v>
      </c>
      <c r="J106" s="21">
        <f>5400*3</f>
        <v>16200</v>
      </c>
      <c r="K106" s="21">
        <v>27000</v>
      </c>
      <c r="L106" s="21">
        <f t="shared" si="2"/>
        <v>10800</v>
      </c>
      <c r="M106" s="1" t="s">
        <v>27</v>
      </c>
      <c r="N106" s="1" t="s">
        <v>24</v>
      </c>
    </row>
    <row r="107" spans="1:14" x14ac:dyDescent="0.35">
      <c r="A107" s="17">
        <v>45840</v>
      </c>
      <c r="B107" s="1" t="s">
        <v>615</v>
      </c>
      <c r="C107" s="26" t="str">
        <f>VLOOKUP(F107,Clientes!$B$2:$C$179,2,0)</f>
        <v>Tabio</v>
      </c>
      <c r="D107" s="1" t="s">
        <v>619</v>
      </c>
      <c r="E107" s="15">
        <f>VLOOKUP(F107,Referencia!$A$15:$B$193,2,0)</f>
        <v>7</v>
      </c>
      <c r="F107" s="1" t="s">
        <v>453</v>
      </c>
      <c r="G107" s="1" t="s">
        <v>434</v>
      </c>
      <c r="H107" s="1">
        <v>1</v>
      </c>
      <c r="I107" s="5" t="s">
        <v>74</v>
      </c>
      <c r="J107" s="21">
        <v>35000</v>
      </c>
      <c r="K107" s="21">
        <v>50000</v>
      </c>
      <c r="L107" s="21">
        <f t="shared" si="2"/>
        <v>15000</v>
      </c>
      <c r="M107" s="1" t="s">
        <v>27</v>
      </c>
      <c r="N107" s="1" t="s">
        <v>24</v>
      </c>
    </row>
    <row r="108" spans="1:14" x14ac:dyDescent="0.35">
      <c r="A108" s="17">
        <v>45840</v>
      </c>
      <c r="B108" s="1" t="s">
        <v>615</v>
      </c>
      <c r="C108" s="26" t="str">
        <f>VLOOKUP(F108,Clientes!$B$2:$C$179,2,0)</f>
        <v>Tabio</v>
      </c>
      <c r="D108" s="1" t="s">
        <v>619</v>
      </c>
      <c r="E108" s="15">
        <f>VLOOKUP(F108,Referencia!$A$15:$B$193,2,0)</f>
        <v>7</v>
      </c>
      <c r="F108" s="1" t="s">
        <v>453</v>
      </c>
      <c r="G108" s="1" t="s">
        <v>627</v>
      </c>
      <c r="H108" s="1">
        <v>1</v>
      </c>
      <c r="I108" s="5" t="s">
        <v>31</v>
      </c>
      <c r="J108" s="21">
        <v>20000</v>
      </c>
      <c r="K108" s="21">
        <v>30000</v>
      </c>
      <c r="L108" s="21">
        <f t="shared" si="2"/>
        <v>10000</v>
      </c>
      <c r="M108" s="1" t="s">
        <v>27</v>
      </c>
      <c r="N108" s="1" t="s">
        <v>24</v>
      </c>
    </row>
    <row r="109" spans="1:14" x14ac:dyDescent="0.35">
      <c r="A109" s="17">
        <v>45840</v>
      </c>
      <c r="B109" s="1" t="s">
        <v>615</v>
      </c>
      <c r="C109" s="26" t="str">
        <f>VLOOKUP(F109,Clientes!$B$2:$C$179,2,0)</f>
        <v>Tenjo</v>
      </c>
      <c r="D109" s="1" t="s">
        <v>619</v>
      </c>
      <c r="E109" s="15">
        <f>VLOOKUP(F109,Referencia!$A$15:$B$193,2,0)</f>
        <v>178</v>
      </c>
      <c r="F109" s="1" t="s">
        <v>424</v>
      </c>
      <c r="G109" s="1" t="s">
        <v>457</v>
      </c>
      <c r="H109" s="1">
        <v>1</v>
      </c>
      <c r="I109" s="1" t="s">
        <v>59</v>
      </c>
      <c r="J109" s="21">
        <v>130000</v>
      </c>
      <c r="K109" s="21">
        <v>280000</v>
      </c>
      <c r="L109" s="21">
        <f t="shared" si="2"/>
        <v>150000</v>
      </c>
      <c r="M109" s="1" t="s">
        <v>23</v>
      </c>
      <c r="N109" s="1" t="s">
        <v>24</v>
      </c>
    </row>
    <row r="110" spans="1:14" x14ac:dyDescent="0.35">
      <c r="A110" s="17">
        <v>45840</v>
      </c>
      <c r="B110" s="1" t="s">
        <v>615</v>
      </c>
      <c r="C110" s="26" t="str">
        <f>VLOOKUP(F110,Clientes!$B$2:$C$179,2,0)</f>
        <v>Tenjo</v>
      </c>
      <c r="D110" s="1" t="s">
        <v>619</v>
      </c>
      <c r="E110" s="15">
        <f>VLOOKUP(F110,Referencia!$A$15:$B$193,2,0)</f>
        <v>178</v>
      </c>
      <c r="F110" s="1" t="s">
        <v>424</v>
      </c>
      <c r="G110" s="1" t="s">
        <v>458</v>
      </c>
      <c r="H110" s="1">
        <v>1</v>
      </c>
      <c r="I110" s="1" t="s">
        <v>59</v>
      </c>
      <c r="J110" s="21">
        <v>65000</v>
      </c>
      <c r="K110" s="21">
        <v>100000</v>
      </c>
      <c r="L110" s="21">
        <f t="shared" si="2"/>
        <v>35000</v>
      </c>
      <c r="M110" s="1" t="s">
        <v>27</v>
      </c>
      <c r="N110" s="1" t="s">
        <v>24</v>
      </c>
    </row>
    <row r="111" spans="1:14" x14ac:dyDescent="0.35">
      <c r="A111" s="17">
        <v>45840</v>
      </c>
      <c r="B111" s="1" t="s">
        <v>615</v>
      </c>
      <c r="C111" s="26" t="str">
        <f>VLOOKUP(F111,Clientes!$B$2:$C$179,2,0)</f>
        <v>Tenjo</v>
      </c>
      <c r="D111" s="1" t="s">
        <v>619</v>
      </c>
      <c r="E111" s="15">
        <f>VLOOKUP(F111,Referencia!$A$15:$B$193,2,0)</f>
        <v>44</v>
      </c>
      <c r="F111" s="1" t="s">
        <v>459</v>
      </c>
      <c r="G111" s="1" t="s">
        <v>627</v>
      </c>
      <c r="H111" s="1">
        <v>1</v>
      </c>
      <c r="I111" s="5" t="s">
        <v>31</v>
      </c>
      <c r="J111" s="21">
        <v>20000</v>
      </c>
      <c r="K111" s="21">
        <v>35000</v>
      </c>
      <c r="L111" s="21">
        <f t="shared" si="2"/>
        <v>15000</v>
      </c>
      <c r="M111" s="1" t="s">
        <v>27</v>
      </c>
      <c r="N111" s="1" t="s">
        <v>24</v>
      </c>
    </row>
    <row r="112" spans="1:14" x14ac:dyDescent="0.35">
      <c r="A112" s="17">
        <v>45840</v>
      </c>
      <c r="B112" s="1" t="s">
        <v>615</v>
      </c>
      <c r="C112" s="26" t="str">
        <f>VLOOKUP(F112,Clientes!$B$2:$C$179,2,0)</f>
        <v>Tenjo</v>
      </c>
      <c r="D112" s="1" t="s">
        <v>619</v>
      </c>
      <c r="E112" s="15">
        <f>VLOOKUP(F112,Referencia!$A$15:$B$193,2,0)</f>
        <v>44</v>
      </c>
      <c r="F112" s="1" t="s">
        <v>459</v>
      </c>
      <c r="G112" s="1" t="s">
        <v>460</v>
      </c>
      <c r="H112" s="1">
        <v>1</v>
      </c>
      <c r="I112" s="1" t="s">
        <v>59</v>
      </c>
      <c r="J112" s="21">
        <v>100000</v>
      </c>
      <c r="K112" s="21">
        <v>190000</v>
      </c>
      <c r="L112" s="21">
        <f t="shared" si="2"/>
        <v>90000</v>
      </c>
      <c r="M112" s="1" t="s">
        <v>27</v>
      </c>
      <c r="N112" s="1" t="s">
        <v>24</v>
      </c>
    </row>
    <row r="113" spans="1:14" x14ac:dyDescent="0.35">
      <c r="A113" s="17">
        <v>45840</v>
      </c>
      <c r="B113" s="1" t="s">
        <v>615</v>
      </c>
      <c r="C113" s="26" t="str">
        <f>VLOOKUP(F113,Clientes!$B$2:$C$179,2,0)</f>
        <v>Tenjo</v>
      </c>
      <c r="D113" s="1" t="s">
        <v>619</v>
      </c>
      <c r="E113" s="15">
        <f>VLOOKUP(F113,Referencia!$A$15:$B$193,2,0)</f>
        <v>37</v>
      </c>
      <c r="F113" s="1" t="s">
        <v>61</v>
      </c>
      <c r="G113" s="1" t="s">
        <v>60</v>
      </c>
      <c r="H113" s="1">
        <v>1</v>
      </c>
      <c r="I113" s="1" t="s">
        <v>59</v>
      </c>
      <c r="J113" s="21">
        <v>5000</v>
      </c>
      <c r="K113" s="21">
        <v>10000</v>
      </c>
      <c r="L113" s="21">
        <f t="shared" si="2"/>
        <v>5000</v>
      </c>
      <c r="M113" s="1" t="s">
        <v>23</v>
      </c>
      <c r="N113" s="1" t="s">
        <v>24</v>
      </c>
    </row>
    <row r="114" spans="1:14" x14ac:dyDescent="0.35">
      <c r="A114" s="17">
        <v>45840</v>
      </c>
      <c r="B114" s="1" t="s">
        <v>615</v>
      </c>
      <c r="C114" s="26" t="str">
        <f>VLOOKUP(B114,Referencia!$B$2:$C$12,2,0)</f>
        <v>Tabio</v>
      </c>
      <c r="D114" s="1" t="s">
        <v>619</v>
      </c>
      <c r="E114" s="15" t="str">
        <f>VLOOKUP(F114,Referencia!$A$15:$B$193,2,0)</f>
        <v>R1</v>
      </c>
      <c r="F114" s="1" t="s">
        <v>477</v>
      </c>
      <c r="G114" s="1" t="s">
        <v>462</v>
      </c>
      <c r="H114" s="1">
        <v>1</v>
      </c>
      <c r="I114" s="1" t="s">
        <v>22</v>
      </c>
      <c r="J114" s="21">
        <v>78000</v>
      </c>
      <c r="K114" s="21">
        <v>130000</v>
      </c>
      <c r="L114" s="21">
        <f t="shared" si="2"/>
        <v>52000</v>
      </c>
      <c r="M114" s="1" t="s">
        <v>27</v>
      </c>
      <c r="N114" s="1" t="s">
        <v>24</v>
      </c>
    </row>
    <row r="115" spans="1:14" x14ac:dyDescent="0.35">
      <c r="A115" s="17">
        <v>45840</v>
      </c>
      <c r="B115" s="1" t="s">
        <v>615</v>
      </c>
      <c r="C115" s="26" t="str">
        <f>VLOOKUP(F115,Clientes!$B$2:$C$179,2,0)</f>
        <v>Funza</v>
      </c>
      <c r="D115" s="1" t="s">
        <v>619</v>
      </c>
      <c r="E115" s="15">
        <f>VLOOKUP(F115,Referencia!$A$15:$B$193,2,0)</f>
        <v>33</v>
      </c>
      <c r="F115" s="1" t="s">
        <v>171</v>
      </c>
      <c r="G115" s="1" t="s">
        <v>464</v>
      </c>
      <c r="H115" s="1">
        <v>1</v>
      </c>
      <c r="I115" s="1" t="s">
        <v>43</v>
      </c>
      <c r="J115" s="21">
        <v>47600</v>
      </c>
      <c r="K115" s="21">
        <v>80000</v>
      </c>
      <c r="L115" s="21">
        <f t="shared" si="2"/>
        <v>32400</v>
      </c>
      <c r="M115" s="1" t="s">
        <v>27</v>
      </c>
      <c r="N115" s="1" t="s">
        <v>24</v>
      </c>
    </row>
    <row r="116" spans="1:14" x14ac:dyDescent="0.35">
      <c r="A116" s="17">
        <v>45840</v>
      </c>
      <c r="B116" s="1" t="s">
        <v>615</v>
      </c>
      <c r="C116" s="26" t="str">
        <f>VLOOKUP(F116,Clientes!$B$2:$C$179,2,0)</f>
        <v>Funza</v>
      </c>
      <c r="D116" s="1" t="s">
        <v>619</v>
      </c>
      <c r="E116" s="15">
        <f>VLOOKUP(F116,Referencia!$A$15:$B$193,2,0)</f>
        <v>33</v>
      </c>
      <c r="F116" s="1" t="s">
        <v>171</v>
      </c>
      <c r="G116" s="1" t="s">
        <v>465</v>
      </c>
      <c r="H116" s="1">
        <v>1</v>
      </c>
      <c r="I116" s="1" t="s">
        <v>59</v>
      </c>
      <c r="J116" s="21">
        <v>40000</v>
      </c>
      <c r="K116" s="21">
        <v>90000</v>
      </c>
      <c r="L116" s="21">
        <f t="shared" ref="L116:L176" si="3">K116-J116</f>
        <v>50000</v>
      </c>
      <c r="M116" s="1" t="s">
        <v>27</v>
      </c>
      <c r="N116" s="1" t="s">
        <v>24</v>
      </c>
    </row>
    <row r="117" spans="1:14" x14ac:dyDescent="0.35">
      <c r="A117" s="17">
        <v>45840</v>
      </c>
      <c r="B117" s="1" t="s">
        <v>615</v>
      </c>
      <c r="C117" s="26" t="str">
        <f>VLOOKUP(F117,Clientes!$B$2:$C$179,2,0)</f>
        <v>Tenjo</v>
      </c>
      <c r="D117" s="1" t="s">
        <v>619</v>
      </c>
      <c r="E117" s="15">
        <f>VLOOKUP(F117,Referencia!$A$15:$B$193,2,0)</f>
        <v>6</v>
      </c>
      <c r="F117" s="1" t="s">
        <v>126</v>
      </c>
      <c r="G117" s="1" t="s">
        <v>68</v>
      </c>
      <c r="H117" s="1">
        <v>1</v>
      </c>
      <c r="I117" s="1" t="s">
        <v>59</v>
      </c>
      <c r="J117" s="21">
        <v>20000</v>
      </c>
      <c r="K117" s="21">
        <v>35000</v>
      </c>
      <c r="L117" s="21">
        <f t="shared" si="3"/>
        <v>15000</v>
      </c>
      <c r="M117" s="1" t="s">
        <v>23</v>
      </c>
      <c r="N117" s="1" t="s">
        <v>24</v>
      </c>
    </row>
    <row r="118" spans="1:14" x14ac:dyDescent="0.35">
      <c r="A118" s="17">
        <v>45840</v>
      </c>
      <c r="B118" s="1" t="s">
        <v>615</v>
      </c>
      <c r="C118" s="26" t="str">
        <f>VLOOKUP(F118,Clientes!$B$2:$C$179,2,0)</f>
        <v>Tenjo</v>
      </c>
      <c r="D118" s="1" t="s">
        <v>619</v>
      </c>
      <c r="E118" s="15">
        <f>VLOOKUP(F118,Referencia!$A$15:$B$193,2,0)</f>
        <v>6</v>
      </c>
      <c r="F118" s="1" t="s">
        <v>126</v>
      </c>
      <c r="G118" s="1" t="s">
        <v>466</v>
      </c>
      <c r="H118" s="1">
        <v>1</v>
      </c>
      <c r="I118" s="1" t="s">
        <v>40</v>
      </c>
      <c r="J118" s="21">
        <v>18000</v>
      </c>
      <c r="K118" s="21">
        <v>35000</v>
      </c>
      <c r="L118" s="21">
        <f t="shared" si="3"/>
        <v>17000</v>
      </c>
      <c r="M118" s="1" t="s">
        <v>23</v>
      </c>
      <c r="N118" s="1" t="s">
        <v>24</v>
      </c>
    </row>
    <row r="119" spans="1:14" x14ac:dyDescent="0.35">
      <c r="A119" s="17">
        <v>45841</v>
      </c>
      <c r="B119" s="1" t="s">
        <v>8</v>
      </c>
      <c r="C119" s="26" t="str">
        <f>VLOOKUP(F119,Clientes!$B$2:$C$179,2,0)</f>
        <v>Sopó</v>
      </c>
      <c r="D119" s="1" t="s">
        <v>619</v>
      </c>
      <c r="E119" s="15">
        <f>VLOOKUP(F119,Referencia!$A$15:$B$193,2,0)</f>
        <v>2</v>
      </c>
      <c r="F119" s="1" t="s">
        <v>112</v>
      </c>
      <c r="G119" s="1" t="s">
        <v>467</v>
      </c>
      <c r="H119" s="1">
        <v>12</v>
      </c>
      <c r="I119" s="1" t="s">
        <v>59</v>
      </c>
      <c r="J119" s="21">
        <f>5000*12</f>
        <v>60000</v>
      </c>
      <c r="K119" s="21">
        <f>8000*12</f>
        <v>96000</v>
      </c>
      <c r="L119" s="21">
        <f t="shared" si="3"/>
        <v>36000</v>
      </c>
      <c r="M119" s="1" t="s">
        <v>27</v>
      </c>
      <c r="N119" s="1" t="s">
        <v>24</v>
      </c>
    </row>
    <row r="120" spans="1:14" x14ac:dyDescent="0.35">
      <c r="A120" s="17">
        <v>45841</v>
      </c>
      <c r="B120" s="1" t="s">
        <v>8</v>
      </c>
      <c r="C120" s="26" t="str">
        <f>VLOOKUP(F120,Clientes!$B$2:$C$179,2,0)</f>
        <v>Sopó</v>
      </c>
      <c r="D120" s="1" t="s">
        <v>619</v>
      </c>
      <c r="E120" s="15">
        <f>VLOOKUP(F120,Referencia!$A$15:$B$193,2,0)</f>
        <v>2</v>
      </c>
      <c r="F120" s="1" t="s">
        <v>112</v>
      </c>
      <c r="G120" s="1" t="s">
        <v>468</v>
      </c>
      <c r="H120" s="1">
        <v>1</v>
      </c>
      <c r="I120" s="1" t="s">
        <v>59</v>
      </c>
      <c r="J120" s="21">
        <v>30000</v>
      </c>
      <c r="K120" s="21">
        <v>60000</v>
      </c>
      <c r="L120" s="21">
        <f t="shared" si="3"/>
        <v>30000</v>
      </c>
      <c r="M120" s="1" t="s">
        <v>27</v>
      </c>
      <c r="N120" s="1" t="s">
        <v>24</v>
      </c>
    </row>
    <row r="121" spans="1:14" x14ac:dyDescent="0.35">
      <c r="A121" s="17">
        <v>45841</v>
      </c>
      <c r="B121" s="1" t="s">
        <v>8</v>
      </c>
      <c r="C121" s="26" t="str">
        <f>VLOOKUP(F121,Clientes!$B$2:$C$179,2,0)</f>
        <v>Tocancipá</v>
      </c>
      <c r="D121" s="1" t="s">
        <v>619</v>
      </c>
      <c r="E121" s="15">
        <f>VLOOKUP(F121,Referencia!$A$15:$B$193,2,0)</f>
        <v>179</v>
      </c>
      <c r="F121" s="1" t="s">
        <v>518</v>
      </c>
      <c r="G121" s="1" t="s">
        <v>469</v>
      </c>
      <c r="H121" s="1">
        <v>1</v>
      </c>
      <c r="I121" s="1" t="s">
        <v>22</v>
      </c>
      <c r="J121" s="21">
        <v>51000</v>
      </c>
      <c r="K121" s="21">
        <v>90000</v>
      </c>
      <c r="L121" s="21">
        <f t="shared" si="3"/>
        <v>39000</v>
      </c>
      <c r="M121" s="1" t="s">
        <v>27</v>
      </c>
      <c r="N121" s="1" t="s">
        <v>24</v>
      </c>
    </row>
    <row r="122" spans="1:14" x14ac:dyDescent="0.35">
      <c r="A122" s="17">
        <v>45841</v>
      </c>
      <c r="B122" s="1" t="s">
        <v>8</v>
      </c>
      <c r="C122" s="26" t="str">
        <f>VLOOKUP(F122,Clientes!$B$2:$C$179,2,0)</f>
        <v>Tocancipá</v>
      </c>
      <c r="D122" s="1" t="s">
        <v>619</v>
      </c>
      <c r="E122" s="15">
        <f>VLOOKUP(F122,Referencia!$A$15:$B$193,2,0)</f>
        <v>179</v>
      </c>
      <c r="F122" s="1" t="s">
        <v>518</v>
      </c>
      <c r="G122" s="1" t="s">
        <v>46</v>
      </c>
      <c r="H122" s="1">
        <v>1</v>
      </c>
      <c r="I122" s="1" t="s">
        <v>43</v>
      </c>
      <c r="J122" s="21">
        <v>46053</v>
      </c>
      <c r="K122" s="21">
        <v>75000</v>
      </c>
      <c r="L122" s="21">
        <f t="shared" si="3"/>
        <v>28947</v>
      </c>
      <c r="M122" s="1" t="s">
        <v>27</v>
      </c>
      <c r="N122" s="1" t="s">
        <v>24</v>
      </c>
    </row>
    <row r="123" spans="1:14" x14ac:dyDescent="0.35">
      <c r="A123" s="17">
        <v>45841</v>
      </c>
      <c r="B123" s="1" t="s">
        <v>8</v>
      </c>
      <c r="C123" s="26" t="str">
        <f>VLOOKUP(F123,Clientes!$B$2:$C$179,2,0)</f>
        <v>Tocancipá</v>
      </c>
      <c r="D123" s="1" t="s">
        <v>619</v>
      </c>
      <c r="E123" s="15">
        <f>VLOOKUP(F123,Referencia!$A$15:$B$193,2,0)</f>
        <v>179</v>
      </c>
      <c r="F123" s="1" t="s">
        <v>518</v>
      </c>
      <c r="G123" s="1" t="s">
        <v>470</v>
      </c>
      <c r="H123" s="1">
        <v>1</v>
      </c>
      <c r="I123" s="1" t="s">
        <v>22</v>
      </c>
      <c r="J123" s="21">
        <v>4650</v>
      </c>
      <c r="K123" s="21">
        <v>7000</v>
      </c>
      <c r="L123" s="21">
        <f t="shared" si="3"/>
        <v>2350</v>
      </c>
      <c r="M123" s="1" t="s">
        <v>27</v>
      </c>
      <c r="N123" s="1" t="s">
        <v>24</v>
      </c>
    </row>
    <row r="124" spans="1:14" x14ac:dyDescent="0.35">
      <c r="A124" s="17">
        <v>45841</v>
      </c>
      <c r="B124" s="1" t="s">
        <v>8</v>
      </c>
      <c r="C124" s="26" t="str">
        <f>VLOOKUP(F124,Clientes!$B$2:$C$179,2,0)</f>
        <v>Tocancipá</v>
      </c>
      <c r="D124" s="1" t="s">
        <v>619</v>
      </c>
      <c r="E124" s="15">
        <f>VLOOKUP(F124,Referencia!$A$15:$B$193,2,0)</f>
        <v>49</v>
      </c>
      <c r="F124" s="1" t="s">
        <v>77</v>
      </c>
      <c r="G124" s="1" t="s">
        <v>434</v>
      </c>
      <c r="H124" s="1">
        <v>1</v>
      </c>
      <c r="I124" s="5" t="s">
        <v>74</v>
      </c>
      <c r="J124" s="21">
        <v>35000</v>
      </c>
      <c r="K124" s="21">
        <v>60000</v>
      </c>
      <c r="L124" s="21">
        <f t="shared" si="3"/>
        <v>25000</v>
      </c>
      <c r="M124" s="1" t="s">
        <v>27</v>
      </c>
      <c r="N124" s="1" t="s">
        <v>24</v>
      </c>
    </row>
    <row r="125" spans="1:14" x14ac:dyDescent="0.35">
      <c r="A125" s="17">
        <v>45841</v>
      </c>
      <c r="B125" s="1" t="s">
        <v>8</v>
      </c>
      <c r="C125" s="26" t="str">
        <f>VLOOKUP(F125,Clientes!$B$2:$C$179,2,0)</f>
        <v>Briceño</v>
      </c>
      <c r="D125" s="1" t="s">
        <v>619</v>
      </c>
      <c r="E125" s="15">
        <f>VLOOKUP(F125,Referencia!$A$15:$B$193,2,0)</f>
        <v>78</v>
      </c>
      <c r="F125" s="1" t="s">
        <v>471</v>
      </c>
      <c r="G125" s="1" t="s">
        <v>472</v>
      </c>
      <c r="H125" s="1">
        <v>1</v>
      </c>
      <c r="I125" s="1" t="s">
        <v>59</v>
      </c>
      <c r="J125" s="21">
        <v>140000</v>
      </c>
      <c r="K125" s="21">
        <v>200000</v>
      </c>
      <c r="L125" s="21">
        <f t="shared" si="3"/>
        <v>60000</v>
      </c>
      <c r="M125" s="1" t="s">
        <v>27</v>
      </c>
      <c r="N125" s="1" t="s">
        <v>24</v>
      </c>
    </row>
    <row r="126" spans="1:14" x14ac:dyDescent="0.35">
      <c r="A126" s="17">
        <v>45841</v>
      </c>
      <c r="B126" s="1" t="s">
        <v>8</v>
      </c>
      <c r="C126" s="26" t="str">
        <f>VLOOKUP(F126,Clientes!$B$2:$C$179,2,0)</f>
        <v>Briceño</v>
      </c>
      <c r="D126" s="1" t="s">
        <v>619</v>
      </c>
      <c r="E126" s="15">
        <f>VLOOKUP(F126,Referencia!$A$15:$B$193,2,0)</f>
        <v>78</v>
      </c>
      <c r="F126" s="1" t="s">
        <v>471</v>
      </c>
      <c r="G126" s="1" t="s">
        <v>473</v>
      </c>
      <c r="H126" s="1">
        <v>1</v>
      </c>
      <c r="I126" s="1" t="s">
        <v>59</v>
      </c>
      <c r="J126" s="21">
        <v>100000</v>
      </c>
      <c r="K126" s="21">
        <v>200000</v>
      </c>
      <c r="L126" s="21">
        <f t="shared" si="3"/>
        <v>100000</v>
      </c>
      <c r="M126" s="1" t="s">
        <v>27</v>
      </c>
      <c r="N126" s="1" t="s">
        <v>24</v>
      </c>
    </row>
    <row r="127" spans="1:14" x14ac:dyDescent="0.35">
      <c r="A127" s="17">
        <v>45841</v>
      </c>
      <c r="B127" s="1" t="s">
        <v>8</v>
      </c>
      <c r="C127" s="26" t="str">
        <f>VLOOKUP(F127,Clientes!$B$2:$C$179,2,0)</f>
        <v>Briceño</v>
      </c>
      <c r="D127" s="1" t="s">
        <v>619</v>
      </c>
      <c r="E127" s="15">
        <f>VLOOKUP(F127,Referencia!$A$15:$B$193,2,0)</f>
        <v>35</v>
      </c>
      <c r="F127" s="1" t="s">
        <v>173</v>
      </c>
      <c r="G127" s="1" t="s">
        <v>460</v>
      </c>
      <c r="H127" s="1">
        <v>1</v>
      </c>
      <c r="I127" s="1" t="s">
        <v>59</v>
      </c>
      <c r="J127" s="21">
        <v>100000</v>
      </c>
      <c r="K127" s="21">
        <v>190000</v>
      </c>
      <c r="L127" s="21">
        <f t="shared" si="3"/>
        <v>90000</v>
      </c>
      <c r="M127" s="1" t="s">
        <v>27</v>
      </c>
      <c r="N127" s="1" t="s">
        <v>24</v>
      </c>
    </row>
    <row r="128" spans="1:14" x14ac:dyDescent="0.35">
      <c r="A128" s="17">
        <v>45847</v>
      </c>
      <c r="B128" s="1" t="s">
        <v>415</v>
      </c>
      <c r="C128" s="26" t="str">
        <f>VLOOKUP(F128,Clientes!$B$2:$C$179,2,0)</f>
        <v>Funza</v>
      </c>
      <c r="D128" s="1" t="s">
        <v>619</v>
      </c>
      <c r="E128" s="15">
        <f>VLOOKUP(F128,Referencia!$A$15:$B$193,2,0)</f>
        <v>67</v>
      </c>
      <c r="F128" s="1" t="s">
        <v>217</v>
      </c>
      <c r="G128" s="1" t="s">
        <v>433</v>
      </c>
      <c r="H128" s="1">
        <v>1</v>
      </c>
      <c r="I128" s="1" t="s">
        <v>59</v>
      </c>
      <c r="J128" s="21">
        <v>100000</v>
      </c>
      <c r="K128" s="21">
        <v>185000</v>
      </c>
      <c r="L128" s="21">
        <f t="shared" si="3"/>
        <v>85000</v>
      </c>
      <c r="M128" s="1" t="s">
        <v>23</v>
      </c>
      <c r="N128" s="1" t="s">
        <v>24</v>
      </c>
    </row>
    <row r="129" spans="1:14" x14ac:dyDescent="0.35">
      <c r="A129" s="17">
        <v>45847</v>
      </c>
      <c r="B129" s="1" t="s">
        <v>415</v>
      </c>
      <c r="C129" s="26" t="str">
        <f>VLOOKUP(F129,Clientes!$B$2:$C$179,2,0)</f>
        <v>Funza</v>
      </c>
      <c r="D129" s="1" t="s">
        <v>619</v>
      </c>
      <c r="E129" s="15">
        <f>VLOOKUP(F129,Referencia!$A$15:$B$193,2,0)</f>
        <v>67</v>
      </c>
      <c r="F129" s="1" t="s">
        <v>217</v>
      </c>
      <c r="G129" s="1" t="s">
        <v>475</v>
      </c>
      <c r="H129" s="1">
        <v>1</v>
      </c>
      <c r="I129" s="1" t="s">
        <v>26</v>
      </c>
      <c r="J129" s="21">
        <v>38560</v>
      </c>
      <c r="K129" s="21">
        <v>75000</v>
      </c>
      <c r="L129" s="21">
        <f t="shared" si="3"/>
        <v>36440</v>
      </c>
      <c r="M129" s="1" t="s">
        <v>23</v>
      </c>
      <c r="N129" s="1" t="s">
        <v>24</v>
      </c>
    </row>
    <row r="130" spans="1:14" x14ac:dyDescent="0.35">
      <c r="A130" s="17">
        <v>45847</v>
      </c>
      <c r="B130" s="1" t="s">
        <v>9</v>
      </c>
      <c r="C130" s="26" t="str">
        <f>VLOOKUP(F130,Clientes!$B$2:$C$179,2,0)</f>
        <v>Chia</v>
      </c>
      <c r="D130" s="1" t="s">
        <v>619</v>
      </c>
      <c r="E130" s="15">
        <f>VLOOKUP(F130,Referencia!$A$15:$B$193,2,0)</f>
        <v>8</v>
      </c>
      <c r="F130" s="1" t="s">
        <v>476</v>
      </c>
      <c r="G130" s="1" t="s">
        <v>60</v>
      </c>
      <c r="H130" s="1">
        <v>1</v>
      </c>
      <c r="I130" s="1" t="s">
        <v>59</v>
      </c>
      <c r="J130" s="21">
        <f>21*5000</f>
        <v>105000</v>
      </c>
      <c r="K130" s="21">
        <v>150000</v>
      </c>
      <c r="L130" s="21">
        <f t="shared" si="3"/>
        <v>45000</v>
      </c>
      <c r="M130" s="1" t="s">
        <v>23</v>
      </c>
      <c r="N130" s="1" t="s">
        <v>24</v>
      </c>
    </row>
    <row r="131" spans="1:14" x14ac:dyDescent="0.35">
      <c r="A131" s="17">
        <v>45847</v>
      </c>
      <c r="B131" s="1" t="s">
        <v>615</v>
      </c>
      <c r="C131" s="26" t="str">
        <f>VLOOKUP(B131,Referencia!$B$2:$C$12,2,0)</f>
        <v>Tabio</v>
      </c>
      <c r="D131" s="13" t="s">
        <v>617</v>
      </c>
      <c r="E131" s="15" t="str">
        <f>VLOOKUP(F131,Referencia!$A$15:$B$193,2,0)</f>
        <v>R1</v>
      </c>
      <c r="F131" s="1" t="s">
        <v>477</v>
      </c>
      <c r="G131" s="1" t="s">
        <v>420</v>
      </c>
      <c r="H131" s="1">
        <v>1</v>
      </c>
      <c r="I131" s="1" t="s">
        <v>59</v>
      </c>
      <c r="J131" s="21">
        <v>125000</v>
      </c>
      <c r="K131" s="21">
        <v>220000</v>
      </c>
      <c r="L131" s="21">
        <f t="shared" si="3"/>
        <v>95000</v>
      </c>
      <c r="M131" s="1" t="s">
        <v>23</v>
      </c>
      <c r="N131" s="1" t="s">
        <v>24</v>
      </c>
    </row>
    <row r="132" spans="1:14" x14ac:dyDescent="0.35">
      <c r="A132" s="17">
        <v>45847</v>
      </c>
      <c r="B132" s="1" t="s">
        <v>615</v>
      </c>
      <c r="C132" s="26" t="str">
        <f>VLOOKUP(F132,Clientes!$B$2:$C$179,2,0)</f>
        <v>Tenjo</v>
      </c>
      <c r="D132" s="1" t="s">
        <v>619</v>
      </c>
      <c r="E132" s="15">
        <f>VLOOKUP(F132,Referencia!$A$15:$B$193,2,0)</f>
        <v>6</v>
      </c>
      <c r="F132" s="1" t="s">
        <v>126</v>
      </c>
      <c r="G132" s="1" t="s">
        <v>478</v>
      </c>
      <c r="H132" s="1">
        <v>1</v>
      </c>
      <c r="I132" s="1" t="s">
        <v>442</v>
      </c>
      <c r="J132" s="21">
        <v>41650</v>
      </c>
      <c r="K132" s="21">
        <v>70000</v>
      </c>
      <c r="L132" s="21">
        <f t="shared" si="3"/>
        <v>28350</v>
      </c>
      <c r="M132" s="1" t="s">
        <v>27</v>
      </c>
      <c r="N132" s="1" t="s">
        <v>24</v>
      </c>
    </row>
    <row r="133" spans="1:14" x14ac:dyDescent="0.35">
      <c r="A133" s="17">
        <v>45847</v>
      </c>
      <c r="B133" s="1" t="s">
        <v>615</v>
      </c>
      <c r="C133" s="26" t="str">
        <f>VLOOKUP(B133,Referencia!$B$2:$C$12,2,0)</f>
        <v>Tabio</v>
      </c>
      <c r="D133" s="13" t="s">
        <v>617</v>
      </c>
      <c r="E133" s="15" t="str">
        <f>VLOOKUP(F133,Referencia!$A$15:$B$193,2,0)</f>
        <v>R1</v>
      </c>
      <c r="F133" s="1" t="s">
        <v>477</v>
      </c>
      <c r="G133" s="1" t="s">
        <v>479</v>
      </c>
      <c r="H133" s="1">
        <v>1</v>
      </c>
      <c r="I133" s="1" t="s">
        <v>59</v>
      </c>
      <c r="J133" s="21">
        <v>110000</v>
      </c>
      <c r="K133" s="21">
        <v>250000</v>
      </c>
      <c r="L133" s="21">
        <f t="shared" si="3"/>
        <v>140000</v>
      </c>
      <c r="M133" s="1" t="s">
        <v>23</v>
      </c>
      <c r="N133" s="1" t="s">
        <v>24</v>
      </c>
    </row>
    <row r="134" spans="1:14" x14ac:dyDescent="0.35">
      <c r="A134" s="17">
        <v>45847</v>
      </c>
      <c r="B134" s="1" t="s">
        <v>415</v>
      </c>
      <c r="C134" s="26" t="str">
        <f>VLOOKUP(F134,Clientes!$B$2:$C$179,2,0)</f>
        <v>Funza</v>
      </c>
      <c r="D134" s="1" t="s">
        <v>619</v>
      </c>
      <c r="E134" s="15">
        <f>VLOOKUP(F134,Referencia!$A$15:$B$193,2,0)</f>
        <v>19</v>
      </c>
      <c r="F134" s="1" t="s">
        <v>154</v>
      </c>
      <c r="G134" s="1" t="s">
        <v>631</v>
      </c>
      <c r="H134" s="1">
        <v>1</v>
      </c>
      <c r="I134" s="1" t="s">
        <v>32</v>
      </c>
      <c r="J134" s="21">
        <f>11500*12</f>
        <v>138000</v>
      </c>
      <c r="K134" s="21">
        <f>18000*12</f>
        <v>216000</v>
      </c>
      <c r="L134" s="21">
        <f t="shared" si="3"/>
        <v>78000</v>
      </c>
      <c r="M134" s="1" t="s">
        <v>27</v>
      </c>
      <c r="N134" s="1" t="s">
        <v>24</v>
      </c>
    </row>
    <row r="135" spans="1:14" x14ac:dyDescent="0.35">
      <c r="A135" s="17">
        <v>45847</v>
      </c>
      <c r="B135" s="1" t="s">
        <v>615</v>
      </c>
      <c r="C135" s="26" t="str">
        <f>VLOOKUP(F135,Clientes!$B$2:$C$179,2,0)</f>
        <v>Tabio</v>
      </c>
      <c r="D135" s="1" t="s">
        <v>619</v>
      </c>
      <c r="E135" s="15">
        <f>VLOOKUP(F135,Referencia!$A$15:$B$193,2,0)</f>
        <v>23</v>
      </c>
      <c r="F135" s="1" t="s">
        <v>480</v>
      </c>
      <c r="G135" s="1" t="s">
        <v>481</v>
      </c>
      <c r="H135" s="1">
        <v>1</v>
      </c>
      <c r="I135" s="1" t="s">
        <v>35</v>
      </c>
      <c r="J135" s="21">
        <v>25300</v>
      </c>
      <c r="K135" s="21">
        <v>45000</v>
      </c>
      <c r="L135" s="21">
        <f t="shared" si="3"/>
        <v>19700</v>
      </c>
      <c r="M135" s="1" t="s">
        <v>27</v>
      </c>
      <c r="N135" s="1" t="s">
        <v>24</v>
      </c>
    </row>
    <row r="136" spans="1:14" x14ac:dyDescent="0.35">
      <c r="A136" s="17">
        <v>45847</v>
      </c>
      <c r="B136" s="1" t="s">
        <v>615</v>
      </c>
      <c r="C136" s="26" t="str">
        <f>VLOOKUP(F136,Clientes!$B$2:$C$179,2,0)</f>
        <v>Tabio</v>
      </c>
      <c r="D136" s="1" t="s">
        <v>619</v>
      </c>
      <c r="E136" s="15">
        <f>VLOOKUP(F136,Referencia!$A$15:$B$193,2,0)</f>
        <v>23</v>
      </c>
      <c r="F136" s="1" t="s">
        <v>480</v>
      </c>
      <c r="G136" s="1" t="s">
        <v>482</v>
      </c>
      <c r="H136" s="1">
        <v>1</v>
      </c>
      <c r="I136" s="1" t="s">
        <v>35</v>
      </c>
      <c r="J136" s="21">
        <v>87800</v>
      </c>
      <c r="K136" s="21">
        <v>110000</v>
      </c>
      <c r="L136" s="21">
        <f t="shared" si="3"/>
        <v>22200</v>
      </c>
      <c r="M136" s="1" t="s">
        <v>27</v>
      </c>
      <c r="N136" s="1" t="s">
        <v>24</v>
      </c>
    </row>
    <row r="137" spans="1:14" x14ac:dyDescent="0.35">
      <c r="A137" s="17">
        <v>45847</v>
      </c>
      <c r="B137" s="1" t="s">
        <v>615</v>
      </c>
      <c r="C137" s="26" t="str">
        <f>VLOOKUP(F137,Clientes!$B$2:$C$179,2,0)</f>
        <v>Tabio</v>
      </c>
      <c r="D137" s="1" t="s">
        <v>619</v>
      </c>
      <c r="E137" s="15">
        <f>VLOOKUP(F137,Referencia!$A$15:$B$193,2,0)</f>
        <v>23</v>
      </c>
      <c r="F137" s="1" t="s">
        <v>480</v>
      </c>
      <c r="G137" s="1" t="s">
        <v>483</v>
      </c>
      <c r="H137" s="1">
        <v>1</v>
      </c>
      <c r="I137" s="1" t="s">
        <v>22</v>
      </c>
      <c r="J137" s="21">
        <v>20800</v>
      </c>
      <c r="K137" s="21">
        <v>50000</v>
      </c>
      <c r="L137" s="21">
        <f t="shared" si="3"/>
        <v>29200</v>
      </c>
      <c r="M137" s="1" t="s">
        <v>27</v>
      </c>
      <c r="N137" s="1" t="s">
        <v>24</v>
      </c>
    </row>
    <row r="138" spans="1:14" x14ac:dyDescent="0.35">
      <c r="A138" s="17">
        <v>45847</v>
      </c>
      <c r="B138" s="1" t="s">
        <v>615</v>
      </c>
      <c r="C138" s="26" t="str">
        <f>VLOOKUP(F138,Clientes!$B$2:$C$179,2,0)</f>
        <v>Tenjo</v>
      </c>
      <c r="D138" s="1" t="s">
        <v>619</v>
      </c>
      <c r="E138" s="15">
        <f>VLOOKUP(F138,Referencia!$A$15:$B$193,2,0)</f>
        <v>178</v>
      </c>
      <c r="F138" s="1" t="s">
        <v>424</v>
      </c>
      <c r="G138" s="1" t="s">
        <v>484</v>
      </c>
      <c r="H138" s="1">
        <v>1</v>
      </c>
      <c r="I138" s="1" t="s">
        <v>35</v>
      </c>
      <c r="J138" s="21">
        <v>363188</v>
      </c>
      <c r="K138" s="21">
        <v>390000</v>
      </c>
      <c r="L138" s="21">
        <f t="shared" si="3"/>
        <v>26812</v>
      </c>
      <c r="M138" s="1" t="s">
        <v>23</v>
      </c>
      <c r="N138" s="1" t="s">
        <v>24</v>
      </c>
    </row>
    <row r="139" spans="1:14" x14ac:dyDescent="0.35">
      <c r="A139" s="17">
        <v>45848</v>
      </c>
      <c r="B139" s="1" t="s">
        <v>8</v>
      </c>
      <c r="C139" s="26" t="str">
        <f>VLOOKUP(F139,Clientes!$B$2:$C$179,2,0)</f>
        <v>Sopó</v>
      </c>
      <c r="D139" s="1" t="s">
        <v>619</v>
      </c>
      <c r="E139" s="15">
        <f>VLOOKUP(F139,Referencia!$A$15:$B$193,2,0)</f>
        <v>2</v>
      </c>
      <c r="F139" s="1" t="s">
        <v>112</v>
      </c>
      <c r="G139" s="1" t="s">
        <v>47</v>
      </c>
      <c r="H139" s="1">
        <v>1</v>
      </c>
      <c r="I139" s="1" t="s">
        <v>22</v>
      </c>
      <c r="J139" s="21">
        <v>116000</v>
      </c>
      <c r="K139" s="21">
        <v>190000</v>
      </c>
      <c r="L139" s="21">
        <f t="shared" si="3"/>
        <v>74000</v>
      </c>
      <c r="M139" s="1" t="s">
        <v>27</v>
      </c>
      <c r="N139" s="1" t="s">
        <v>24</v>
      </c>
    </row>
    <row r="140" spans="1:14" x14ac:dyDescent="0.35">
      <c r="A140" s="17">
        <v>45848</v>
      </c>
      <c r="B140" s="1" t="s">
        <v>8</v>
      </c>
      <c r="C140" s="26" t="str">
        <f>VLOOKUP(F140,Clientes!$B$2:$C$179,2,0)</f>
        <v>Sopó</v>
      </c>
      <c r="D140" s="1" t="s">
        <v>619</v>
      </c>
      <c r="E140" s="15">
        <f>VLOOKUP(F140,Referencia!$A$15:$B$193,2,0)</f>
        <v>2</v>
      </c>
      <c r="F140" s="1" t="s">
        <v>112</v>
      </c>
      <c r="G140" s="1" t="s">
        <v>486</v>
      </c>
      <c r="H140" s="1">
        <v>3</v>
      </c>
      <c r="I140" s="1"/>
      <c r="J140" s="21">
        <f>48800*3</f>
        <v>146400</v>
      </c>
      <c r="K140" s="21">
        <v>180000</v>
      </c>
      <c r="L140" s="21">
        <f t="shared" si="3"/>
        <v>33600</v>
      </c>
      <c r="M140" s="1" t="s">
        <v>27</v>
      </c>
      <c r="N140" s="1" t="s">
        <v>24</v>
      </c>
    </row>
    <row r="141" spans="1:14" x14ac:dyDescent="0.35">
      <c r="A141" s="17">
        <v>45848</v>
      </c>
      <c r="B141" s="1" t="s">
        <v>8</v>
      </c>
      <c r="C141" s="26" t="str">
        <f>VLOOKUP(F141,Clientes!$B$2:$C$179,2,0)</f>
        <v>Sopó</v>
      </c>
      <c r="D141" s="1" t="s">
        <v>619</v>
      </c>
      <c r="E141" s="15">
        <f>VLOOKUP(F141,Referencia!$A$15:$B$193,2,0)</f>
        <v>1</v>
      </c>
      <c r="F141" s="1" t="s">
        <v>108</v>
      </c>
      <c r="G141" s="1" t="s">
        <v>75</v>
      </c>
      <c r="H141" s="1">
        <v>1</v>
      </c>
      <c r="I141" s="1" t="s">
        <v>22</v>
      </c>
      <c r="J141" s="21">
        <v>217005</v>
      </c>
      <c r="K141" s="21">
        <v>380000</v>
      </c>
      <c r="L141" s="21">
        <f t="shared" si="3"/>
        <v>162995</v>
      </c>
      <c r="M141" s="1" t="s">
        <v>27</v>
      </c>
      <c r="N141" s="1" t="s">
        <v>24</v>
      </c>
    </row>
    <row r="142" spans="1:14" x14ac:dyDescent="0.35">
      <c r="A142" s="17">
        <v>45848</v>
      </c>
      <c r="B142" s="1" t="s">
        <v>8</v>
      </c>
      <c r="C142" s="26" t="str">
        <f>VLOOKUP(F142,Clientes!$B$2:$C$179,2,0)</f>
        <v>Tocancipá</v>
      </c>
      <c r="D142" s="1" t="s">
        <v>619</v>
      </c>
      <c r="E142" s="15">
        <f>VLOOKUP(F142,Referencia!$A$15:$B$193,2,0)</f>
        <v>49</v>
      </c>
      <c r="F142" s="1" t="s">
        <v>77</v>
      </c>
      <c r="G142" s="1" t="s">
        <v>487</v>
      </c>
      <c r="H142" s="1">
        <v>1</v>
      </c>
      <c r="I142" s="1" t="s">
        <v>59</v>
      </c>
      <c r="J142" s="21">
        <v>150000</v>
      </c>
      <c r="K142" s="21">
        <v>290000</v>
      </c>
      <c r="L142" s="21">
        <f t="shared" si="3"/>
        <v>140000</v>
      </c>
      <c r="M142" s="1" t="s">
        <v>27</v>
      </c>
      <c r="N142" s="1" t="s">
        <v>24</v>
      </c>
    </row>
    <row r="143" spans="1:14" x14ac:dyDescent="0.35">
      <c r="A143" s="17">
        <v>45848</v>
      </c>
      <c r="B143" s="1" t="s">
        <v>8</v>
      </c>
      <c r="C143" s="26" t="str">
        <f>VLOOKUP(F143,Clientes!$B$2:$C$179,2,0)</f>
        <v>Tocancipá</v>
      </c>
      <c r="D143" s="1" t="s">
        <v>619</v>
      </c>
      <c r="E143" s="15">
        <f>VLOOKUP(F143,Referencia!$A$15:$B$193,2,0)</f>
        <v>49</v>
      </c>
      <c r="F143" s="1" t="s">
        <v>77</v>
      </c>
      <c r="G143" s="1" t="s">
        <v>60</v>
      </c>
      <c r="H143" s="1">
        <v>1</v>
      </c>
      <c r="I143" s="1" t="s">
        <v>59</v>
      </c>
      <c r="J143" s="21">
        <v>5000</v>
      </c>
      <c r="K143" s="21">
        <v>0</v>
      </c>
      <c r="L143" s="21">
        <f t="shared" si="3"/>
        <v>-5000</v>
      </c>
      <c r="M143" s="1" t="s">
        <v>27</v>
      </c>
      <c r="N143" s="1" t="s">
        <v>24</v>
      </c>
    </row>
    <row r="144" spans="1:14" x14ac:dyDescent="0.35">
      <c r="A144" s="17">
        <v>45848</v>
      </c>
      <c r="B144" s="1" t="s">
        <v>8</v>
      </c>
      <c r="C144" s="26" t="str">
        <f>VLOOKUP(F144,Clientes!$B$2:$C$179,2,0)</f>
        <v>Tocancipá</v>
      </c>
      <c r="D144" s="1" t="s">
        <v>619</v>
      </c>
      <c r="E144" s="15">
        <f>VLOOKUP(F144,Referencia!$A$15:$B$193,2,0)</f>
        <v>49</v>
      </c>
      <c r="F144" s="1" t="s">
        <v>77</v>
      </c>
      <c r="G144" s="1" t="s">
        <v>488</v>
      </c>
      <c r="H144" s="1">
        <v>1</v>
      </c>
      <c r="I144" s="1" t="s">
        <v>22</v>
      </c>
      <c r="J144" s="21">
        <v>20111</v>
      </c>
      <c r="K144" s="21">
        <v>35000</v>
      </c>
      <c r="L144" s="21">
        <f t="shared" si="3"/>
        <v>14889</v>
      </c>
      <c r="M144" s="1" t="s">
        <v>27</v>
      </c>
      <c r="N144" s="1" t="s">
        <v>24</v>
      </c>
    </row>
    <row r="145" spans="1:14" x14ac:dyDescent="0.35">
      <c r="A145" s="17">
        <v>45848</v>
      </c>
      <c r="B145" s="1" t="s">
        <v>8</v>
      </c>
      <c r="C145" s="26" t="str">
        <f>VLOOKUP(F145,Clientes!$B$2:$C$179,2,0)</f>
        <v>Tocancipá</v>
      </c>
      <c r="D145" s="1" t="s">
        <v>619</v>
      </c>
      <c r="E145" s="15">
        <f>VLOOKUP(F145,Referencia!$A$15:$B$193,2,0)</f>
        <v>49</v>
      </c>
      <c r="F145" s="1" t="s">
        <v>77</v>
      </c>
      <c r="G145" s="1" t="s">
        <v>489</v>
      </c>
      <c r="H145" s="1">
        <v>1</v>
      </c>
      <c r="I145" s="1" t="s">
        <v>22</v>
      </c>
      <c r="J145" s="21">
        <v>4000</v>
      </c>
      <c r="K145" s="21">
        <v>6500</v>
      </c>
      <c r="L145" s="21">
        <f t="shared" si="3"/>
        <v>2500</v>
      </c>
      <c r="M145" s="1" t="s">
        <v>27</v>
      </c>
      <c r="N145" s="1" t="s">
        <v>24</v>
      </c>
    </row>
    <row r="146" spans="1:14" x14ac:dyDescent="0.35">
      <c r="A146" s="17">
        <v>45848</v>
      </c>
      <c r="B146" s="1" t="s">
        <v>8</v>
      </c>
      <c r="C146" s="26" t="str">
        <f>VLOOKUP(F146,Clientes!$B$2:$C$179,2,0)</f>
        <v>Tocancipá</v>
      </c>
      <c r="D146" s="1" t="s">
        <v>619</v>
      </c>
      <c r="E146" s="15">
        <f>VLOOKUP(F146,Referencia!$A$15:$B$193,2,0)</f>
        <v>29</v>
      </c>
      <c r="F146" s="1" t="s">
        <v>441</v>
      </c>
      <c r="G146" s="1" t="s">
        <v>488</v>
      </c>
      <c r="H146" s="1">
        <v>1</v>
      </c>
      <c r="I146" s="1" t="s">
        <v>22</v>
      </c>
      <c r="J146" s="21">
        <v>20111</v>
      </c>
      <c r="K146" s="21">
        <v>35000</v>
      </c>
      <c r="L146" s="21">
        <f t="shared" si="3"/>
        <v>14889</v>
      </c>
      <c r="M146" s="1" t="s">
        <v>27</v>
      </c>
      <c r="N146" s="1" t="s">
        <v>24</v>
      </c>
    </row>
    <row r="147" spans="1:14" x14ac:dyDescent="0.35">
      <c r="A147" s="17">
        <v>45848</v>
      </c>
      <c r="B147" s="1" t="s">
        <v>8</v>
      </c>
      <c r="C147" s="26" t="str">
        <f>VLOOKUP(F147,Clientes!$B$2:$C$179,2,0)</f>
        <v>Tocancipá</v>
      </c>
      <c r="D147" s="1" t="s">
        <v>619</v>
      </c>
      <c r="E147" s="15">
        <f>VLOOKUP(F147,Referencia!$A$15:$B$193,2,0)</f>
        <v>29</v>
      </c>
      <c r="F147" s="1" t="s">
        <v>441</v>
      </c>
      <c r="G147" s="1" t="s">
        <v>490</v>
      </c>
      <c r="H147" s="1">
        <v>1</v>
      </c>
      <c r="I147" s="1" t="s">
        <v>22</v>
      </c>
      <c r="J147" s="21">
        <v>36076</v>
      </c>
      <c r="K147" s="21">
        <v>70000</v>
      </c>
      <c r="L147" s="21">
        <f t="shared" si="3"/>
        <v>33924</v>
      </c>
      <c r="M147" s="1" t="s">
        <v>27</v>
      </c>
      <c r="N147" s="1" t="s">
        <v>24</v>
      </c>
    </row>
    <row r="148" spans="1:14" x14ac:dyDescent="0.35">
      <c r="A148" s="17">
        <v>45848</v>
      </c>
      <c r="B148" s="1" t="s">
        <v>8</v>
      </c>
      <c r="C148" s="26" t="str">
        <f>VLOOKUP(F148,Clientes!$B$2:$C$179,2,0)</f>
        <v>Tocancipá</v>
      </c>
      <c r="D148" s="1" t="s">
        <v>619</v>
      </c>
      <c r="E148" s="15">
        <f>VLOOKUP(F148,Referencia!$A$15:$B$193,2,0)</f>
        <v>29</v>
      </c>
      <c r="F148" s="1" t="s">
        <v>441</v>
      </c>
      <c r="G148" s="1" t="s">
        <v>60</v>
      </c>
      <c r="H148" s="1">
        <v>1</v>
      </c>
      <c r="I148" s="1" t="s">
        <v>59</v>
      </c>
      <c r="J148" s="21">
        <v>5000</v>
      </c>
      <c r="K148" s="21">
        <v>10000</v>
      </c>
      <c r="L148" s="21">
        <f t="shared" si="3"/>
        <v>5000</v>
      </c>
      <c r="M148" s="1" t="s">
        <v>27</v>
      </c>
      <c r="N148" s="1" t="s">
        <v>24</v>
      </c>
    </row>
    <row r="149" spans="1:14" x14ac:dyDescent="0.35">
      <c r="A149" s="17">
        <v>45848</v>
      </c>
      <c r="B149" s="1" t="s">
        <v>8</v>
      </c>
      <c r="C149" s="26" t="str">
        <f>VLOOKUP(F149,Clientes!$B$2:$C$179,2,0)</f>
        <v>Tocancipá</v>
      </c>
      <c r="D149" s="1" t="s">
        <v>619</v>
      </c>
      <c r="E149" s="15">
        <f>VLOOKUP(F149,Referencia!$A$15:$B$193,2,0)</f>
        <v>29</v>
      </c>
      <c r="F149" s="1" t="s">
        <v>441</v>
      </c>
      <c r="G149" s="1" t="s">
        <v>434</v>
      </c>
      <c r="H149" s="1">
        <v>1</v>
      </c>
      <c r="I149" s="5" t="s">
        <v>74</v>
      </c>
      <c r="J149" s="21">
        <v>35000</v>
      </c>
      <c r="K149" s="21">
        <v>60000</v>
      </c>
      <c r="L149" s="21">
        <f t="shared" si="3"/>
        <v>25000</v>
      </c>
      <c r="M149" s="1" t="s">
        <v>27</v>
      </c>
      <c r="N149" s="1" t="s">
        <v>24</v>
      </c>
    </row>
    <row r="150" spans="1:14" x14ac:dyDescent="0.35">
      <c r="A150" s="17">
        <v>45848</v>
      </c>
      <c r="B150" s="1" t="s">
        <v>8</v>
      </c>
      <c r="C150" s="26" t="str">
        <f>VLOOKUP(B150,Referencia!$B$2:$C$12,2,0)</f>
        <v>Sopó</v>
      </c>
      <c r="D150" s="13" t="s">
        <v>617</v>
      </c>
      <c r="E150" s="15" t="str">
        <f>VLOOKUP(F150,Referencia!$A$15:$B$193,2,0)</f>
        <v>R1</v>
      </c>
      <c r="F150" s="1" t="s">
        <v>477</v>
      </c>
      <c r="G150" s="1" t="s">
        <v>491</v>
      </c>
      <c r="H150" s="1">
        <v>1</v>
      </c>
      <c r="I150" s="1" t="s">
        <v>40</v>
      </c>
      <c r="J150" s="21">
        <v>55000</v>
      </c>
      <c r="K150" s="21">
        <v>90000</v>
      </c>
      <c r="L150" s="21">
        <f t="shared" si="3"/>
        <v>35000</v>
      </c>
      <c r="M150" s="1" t="s">
        <v>23</v>
      </c>
      <c r="N150" s="1" t="s">
        <v>24</v>
      </c>
    </row>
    <row r="151" spans="1:14" x14ac:dyDescent="0.35">
      <c r="A151" s="17">
        <v>45848</v>
      </c>
      <c r="B151" s="1" t="s">
        <v>8</v>
      </c>
      <c r="C151" s="26" t="str">
        <f>VLOOKUP(F151,Clientes!$B$2:$C$179,2,0)</f>
        <v>Briceño</v>
      </c>
      <c r="D151" s="1" t="s">
        <v>619</v>
      </c>
      <c r="E151" s="15">
        <f>VLOOKUP(F151,Referencia!$A$15:$B$193,2,0)</f>
        <v>76</v>
      </c>
      <c r="F151" s="1" t="s">
        <v>492</v>
      </c>
      <c r="G151" s="1" t="s">
        <v>627</v>
      </c>
      <c r="H151" s="1">
        <v>1</v>
      </c>
      <c r="I151" s="5" t="s">
        <v>31</v>
      </c>
      <c r="J151" s="21">
        <v>20000</v>
      </c>
      <c r="K151" s="21">
        <v>30000</v>
      </c>
      <c r="L151" s="21">
        <f t="shared" si="3"/>
        <v>10000</v>
      </c>
      <c r="M151" s="1" t="s">
        <v>23</v>
      </c>
      <c r="N151" s="1" t="s">
        <v>24</v>
      </c>
    </row>
    <row r="152" spans="1:14" x14ac:dyDescent="0.35">
      <c r="A152" s="17">
        <v>45848</v>
      </c>
      <c r="B152" s="1" t="s">
        <v>8</v>
      </c>
      <c r="C152" s="26" t="str">
        <f>VLOOKUP(F152,Clientes!$B$2:$C$179,2,0)</f>
        <v>Briceño</v>
      </c>
      <c r="D152" s="1" t="s">
        <v>619</v>
      </c>
      <c r="E152" s="15">
        <f>VLOOKUP(F152,Referencia!$A$15:$B$193,2,0)</f>
        <v>76</v>
      </c>
      <c r="F152" s="1" t="s">
        <v>492</v>
      </c>
      <c r="G152" s="1" t="s">
        <v>493</v>
      </c>
      <c r="H152" s="1">
        <v>1</v>
      </c>
      <c r="I152" s="1" t="s">
        <v>22</v>
      </c>
      <c r="J152" s="21">
        <v>75000</v>
      </c>
      <c r="K152" s="21">
        <v>160000</v>
      </c>
      <c r="L152" s="21">
        <f t="shared" si="3"/>
        <v>85000</v>
      </c>
      <c r="M152" s="1" t="s">
        <v>27</v>
      </c>
      <c r="N152" s="1" t="s">
        <v>24</v>
      </c>
    </row>
    <row r="153" spans="1:14" x14ac:dyDescent="0.35">
      <c r="A153" s="17">
        <v>45848</v>
      </c>
      <c r="B153" s="1" t="s">
        <v>8</v>
      </c>
      <c r="C153" s="26" t="str">
        <f>VLOOKUP(F153,Clientes!$B$2:$C$179,2,0)</f>
        <v>Briceño</v>
      </c>
      <c r="D153" s="1" t="s">
        <v>619</v>
      </c>
      <c r="E153" s="15">
        <f>VLOOKUP(F153,Referencia!$A$15:$B$193,2,0)</f>
        <v>76</v>
      </c>
      <c r="F153" s="1" t="s">
        <v>492</v>
      </c>
      <c r="G153" s="1" t="s">
        <v>494</v>
      </c>
      <c r="H153" s="1">
        <v>1</v>
      </c>
      <c r="I153" s="1" t="s">
        <v>22</v>
      </c>
      <c r="J153" s="21">
        <v>15605</v>
      </c>
      <c r="K153" s="21">
        <v>25000</v>
      </c>
      <c r="L153" s="21">
        <f t="shared" si="3"/>
        <v>9395</v>
      </c>
      <c r="M153" s="1" t="s">
        <v>27</v>
      </c>
      <c r="N153" s="1" t="s">
        <v>24</v>
      </c>
    </row>
    <row r="154" spans="1:14" x14ac:dyDescent="0.35">
      <c r="A154" s="17">
        <v>45848</v>
      </c>
      <c r="B154" s="1" t="s">
        <v>8</v>
      </c>
      <c r="C154" s="26" t="str">
        <f>VLOOKUP(F154,Clientes!$B$2:$C$179,2,0)</f>
        <v>Briceño</v>
      </c>
      <c r="D154" s="1" t="s">
        <v>619</v>
      </c>
      <c r="E154" s="15">
        <f>VLOOKUP(F154,Referencia!$A$15:$B$193,2,0)</f>
        <v>76</v>
      </c>
      <c r="F154" s="1" t="s">
        <v>492</v>
      </c>
      <c r="G154" s="1" t="s">
        <v>495</v>
      </c>
      <c r="H154" s="1">
        <v>1</v>
      </c>
      <c r="I154" s="1" t="s">
        <v>59</v>
      </c>
      <c r="J154" s="21">
        <v>40000</v>
      </c>
      <c r="K154" s="21">
        <v>80000</v>
      </c>
      <c r="L154" s="21">
        <f t="shared" si="3"/>
        <v>40000</v>
      </c>
      <c r="M154" s="1" t="s">
        <v>27</v>
      </c>
      <c r="N154" s="1" t="s">
        <v>24</v>
      </c>
    </row>
    <row r="155" spans="1:14" x14ac:dyDescent="0.35">
      <c r="A155" s="17">
        <v>45849</v>
      </c>
      <c r="B155" s="1" t="s">
        <v>9</v>
      </c>
      <c r="C155" s="26" t="str">
        <f>VLOOKUP(F155,Clientes!$B$2:$C$179,2,0)</f>
        <v>Chia</v>
      </c>
      <c r="D155" s="1" t="s">
        <v>619</v>
      </c>
      <c r="E155" s="15">
        <f>VLOOKUP(F155,Referencia!$A$15:$B$193,2,0)</f>
        <v>16</v>
      </c>
      <c r="F155" s="1" t="s">
        <v>79</v>
      </c>
      <c r="G155" s="1" t="s">
        <v>497</v>
      </c>
      <c r="H155" s="1">
        <v>1</v>
      </c>
      <c r="I155" s="1" t="s">
        <v>59</v>
      </c>
      <c r="J155" s="21">
        <v>180000</v>
      </c>
      <c r="K155" s="21">
        <v>315000</v>
      </c>
      <c r="L155" s="21">
        <f t="shared" si="3"/>
        <v>135000</v>
      </c>
      <c r="M155" s="1" t="s">
        <v>27</v>
      </c>
      <c r="N155" s="1" t="s">
        <v>24</v>
      </c>
    </row>
    <row r="156" spans="1:14" x14ac:dyDescent="0.35">
      <c r="A156" s="17">
        <v>45849</v>
      </c>
      <c r="B156" s="1" t="s">
        <v>8</v>
      </c>
      <c r="C156" s="26" t="str">
        <f>VLOOKUP(F156,Clientes!$B$2:$C$179,2,0)</f>
        <v>Briceño</v>
      </c>
      <c r="D156" s="1" t="s">
        <v>619</v>
      </c>
      <c r="E156" s="15">
        <f>VLOOKUP(F156,Referencia!$A$15:$B$193,2,0)</f>
        <v>35</v>
      </c>
      <c r="F156" s="1" t="s">
        <v>173</v>
      </c>
      <c r="G156" s="1" t="s">
        <v>498</v>
      </c>
      <c r="H156" s="1">
        <v>1</v>
      </c>
      <c r="I156" s="1" t="s">
        <v>22</v>
      </c>
      <c r="J156" s="21">
        <v>152681</v>
      </c>
      <c r="K156" s="21">
        <v>240000</v>
      </c>
      <c r="L156" s="21">
        <f t="shared" si="3"/>
        <v>87319</v>
      </c>
      <c r="M156" s="1" t="s">
        <v>23</v>
      </c>
      <c r="N156" s="1" t="s">
        <v>24</v>
      </c>
    </row>
    <row r="157" spans="1:14" x14ac:dyDescent="0.35">
      <c r="A157" s="17">
        <v>45849</v>
      </c>
      <c r="B157" s="1" t="s">
        <v>8</v>
      </c>
      <c r="C157" s="26" t="str">
        <f>VLOOKUP(F157,Clientes!$B$2:$C$179,2,0)</f>
        <v>Briceño</v>
      </c>
      <c r="D157" s="1" t="s">
        <v>619</v>
      </c>
      <c r="E157" s="15">
        <f>VLOOKUP(F157,Referencia!$A$15:$B$193,2,0)</f>
        <v>35</v>
      </c>
      <c r="F157" s="1" t="s">
        <v>173</v>
      </c>
      <c r="G157" s="1" t="s">
        <v>499</v>
      </c>
      <c r="H157" s="1">
        <v>1</v>
      </c>
      <c r="I157" s="1"/>
      <c r="J157" s="21">
        <v>45000</v>
      </c>
      <c r="K157" s="21">
        <v>80000</v>
      </c>
      <c r="L157" s="21">
        <f t="shared" si="3"/>
        <v>35000</v>
      </c>
      <c r="M157" s="1" t="s">
        <v>23</v>
      </c>
      <c r="N157" s="1" t="s">
        <v>24</v>
      </c>
    </row>
    <row r="158" spans="1:14" x14ac:dyDescent="0.35">
      <c r="A158" s="17">
        <v>45849</v>
      </c>
      <c r="B158" s="1" t="s">
        <v>8</v>
      </c>
      <c r="C158" s="26" t="str">
        <f>VLOOKUP(F158,Clientes!$B$2:$C$179,2,0)</f>
        <v>Briceño</v>
      </c>
      <c r="D158" s="1" t="s">
        <v>619</v>
      </c>
      <c r="E158" s="15">
        <f>VLOOKUP(F158,Referencia!$A$15:$B$193,2,0)</f>
        <v>35</v>
      </c>
      <c r="F158" s="1" t="s">
        <v>173</v>
      </c>
      <c r="G158" s="1" t="s">
        <v>29</v>
      </c>
      <c r="H158" s="1">
        <v>1</v>
      </c>
      <c r="I158" s="1" t="s">
        <v>22</v>
      </c>
      <c r="J158" s="21">
        <v>15100</v>
      </c>
      <c r="K158" s="21">
        <v>25000</v>
      </c>
      <c r="L158" s="21">
        <f t="shared" si="3"/>
        <v>9900</v>
      </c>
      <c r="M158" s="1" t="s">
        <v>23</v>
      </c>
      <c r="N158" s="1" t="s">
        <v>24</v>
      </c>
    </row>
    <row r="159" spans="1:14" x14ac:dyDescent="0.35">
      <c r="A159" s="17">
        <v>45849</v>
      </c>
      <c r="B159" s="1" t="s">
        <v>8</v>
      </c>
      <c r="C159" s="26" t="str">
        <f>VLOOKUP(F159,Clientes!$B$2:$C$179,2,0)</f>
        <v>Briceño</v>
      </c>
      <c r="D159" s="1" t="s">
        <v>619</v>
      </c>
      <c r="E159" s="15">
        <f>VLOOKUP(F159,Referencia!$A$15:$B$193,2,0)</f>
        <v>35</v>
      </c>
      <c r="F159" s="1" t="s">
        <v>173</v>
      </c>
      <c r="G159" s="1" t="s">
        <v>500</v>
      </c>
      <c r="H159" s="1">
        <v>2</v>
      </c>
      <c r="I159" s="5" t="s">
        <v>430</v>
      </c>
      <c r="J159" s="23">
        <f>6500*2</f>
        <v>13000</v>
      </c>
      <c r="K159" s="22">
        <v>20000</v>
      </c>
      <c r="L159" s="21">
        <f t="shared" si="3"/>
        <v>7000</v>
      </c>
      <c r="M159" s="1" t="s">
        <v>23</v>
      </c>
      <c r="N159" s="1" t="s">
        <v>24</v>
      </c>
    </row>
    <row r="160" spans="1:14" x14ac:dyDescent="0.35">
      <c r="A160" s="17">
        <v>45849</v>
      </c>
      <c r="B160" s="1" t="s">
        <v>8</v>
      </c>
      <c r="C160" s="26" t="str">
        <f>VLOOKUP(F160,Clientes!$B$2:$C$179,2,0)</f>
        <v>Briceño</v>
      </c>
      <c r="D160" s="1" t="s">
        <v>619</v>
      </c>
      <c r="E160" s="15">
        <f>VLOOKUP(F160,Referencia!$A$15:$B$193,2,0)</f>
        <v>35</v>
      </c>
      <c r="F160" s="1" t="s">
        <v>173</v>
      </c>
      <c r="G160" s="1" t="s">
        <v>501</v>
      </c>
      <c r="H160" s="1">
        <v>2</v>
      </c>
      <c r="I160" s="5" t="s">
        <v>430</v>
      </c>
      <c r="J160" s="21">
        <v>18000</v>
      </c>
      <c r="K160" s="21">
        <v>0</v>
      </c>
      <c r="L160" s="21">
        <f t="shared" si="3"/>
        <v>-18000</v>
      </c>
      <c r="M160" s="1" t="s">
        <v>23</v>
      </c>
      <c r="N160" s="1" t="s">
        <v>24</v>
      </c>
    </row>
    <row r="161" spans="1:14" x14ac:dyDescent="0.35">
      <c r="A161" s="17">
        <v>45849</v>
      </c>
      <c r="B161" s="1" t="s">
        <v>8</v>
      </c>
      <c r="C161" s="26" t="str">
        <f>VLOOKUP(F161,Clientes!$B$2:$C$179,2,0)</f>
        <v>Briceño</v>
      </c>
      <c r="D161" s="1" t="s">
        <v>619</v>
      </c>
      <c r="E161" s="15">
        <f>VLOOKUP(F161,Referencia!$A$15:$B$193,2,0)</f>
        <v>35</v>
      </c>
      <c r="F161" s="1" t="s">
        <v>173</v>
      </c>
      <c r="G161" s="1" t="s">
        <v>502</v>
      </c>
      <c r="H161" s="1">
        <v>1</v>
      </c>
      <c r="I161" s="1" t="s">
        <v>59</v>
      </c>
      <c r="J161" s="21">
        <v>220000</v>
      </c>
      <c r="K161" s="21">
        <v>260000</v>
      </c>
      <c r="L161" s="21">
        <f t="shared" si="3"/>
        <v>40000</v>
      </c>
      <c r="M161" s="1" t="s">
        <v>23</v>
      </c>
      <c r="N161" s="1" t="s">
        <v>24</v>
      </c>
    </row>
    <row r="162" spans="1:14" x14ac:dyDescent="0.35">
      <c r="A162" s="17">
        <v>45849</v>
      </c>
      <c r="B162" s="1" t="s">
        <v>8</v>
      </c>
      <c r="C162" s="26" t="str">
        <f>VLOOKUP(F162,Clientes!$B$2:$C$179,2,0)</f>
        <v>Briceño</v>
      </c>
      <c r="D162" s="1" t="s">
        <v>619</v>
      </c>
      <c r="E162" s="15">
        <f>VLOOKUP(F162,Referencia!$A$15:$B$193,2,0)</f>
        <v>35</v>
      </c>
      <c r="F162" s="1" t="s">
        <v>173</v>
      </c>
      <c r="G162" s="1" t="s">
        <v>503</v>
      </c>
      <c r="H162" s="1">
        <v>1</v>
      </c>
      <c r="I162" s="5" t="s">
        <v>430</v>
      </c>
      <c r="J162" s="21">
        <v>34000</v>
      </c>
      <c r="K162" s="21">
        <v>50000</v>
      </c>
      <c r="L162" s="21">
        <f t="shared" si="3"/>
        <v>16000</v>
      </c>
      <c r="M162" s="1" t="s">
        <v>23</v>
      </c>
      <c r="N162" s="1" t="s">
        <v>24</v>
      </c>
    </row>
    <row r="163" spans="1:14" x14ac:dyDescent="0.35">
      <c r="A163" s="17">
        <v>45849</v>
      </c>
      <c r="B163" s="1" t="s">
        <v>8</v>
      </c>
      <c r="C163" s="26" t="str">
        <f>VLOOKUP(F163,Clientes!$B$2:$C$179,2,0)</f>
        <v>Briceño</v>
      </c>
      <c r="D163" s="1" t="s">
        <v>619</v>
      </c>
      <c r="E163" s="15">
        <f>VLOOKUP(F163,Referencia!$A$15:$B$193,2,0)</f>
        <v>35</v>
      </c>
      <c r="F163" s="1" t="s">
        <v>173</v>
      </c>
      <c r="G163" s="1" t="s">
        <v>504</v>
      </c>
      <c r="H163" s="1">
        <v>1</v>
      </c>
      <c r="I163" s="5" t="s">
        <v>430</v>
      </c>
      <c r="J163" s="21">
        <v>60000</v>
      </c>
      <c r="K163" s="21">
        <v>100000</v>
      </c>
      <c r="L163" s="21">
        <f t="shared" si="3"/>
        <v>40000</v>
      </c>
      <c r="M163" s="1" t="s">
        <v>23</v>
      </c>
      <c r="N163" s="1" t="s">
        <v>24</v>
      </c>
    </row>
    <row r="164" spans="1:14" x14ac:dyDescent="0.35">
      <c r="A164" s="17">
        <v>45849</v>
      </c>
      <c r="B164" s="1" t="s">
        <v>8</v>
      </c>
      <c r="C164" s="26" t="str">
        <f>VLOOKUP(F164,Clientes!$B$2:$C$179,2,0)</f>
        <v>Briceño</v>
      </c>
      <c r="D164" s="1" t="s">
        <v>619</v>
      </c>
      <c r="E164" s="15">
        <f>VLOOKUP(F164,Referencia!$A$15:$B$193,2,0)</f>
        <v>35</v>
      </c>
      <c r="F164" s="1" t="s">
        <v>173</v>
      </c>
      <c r="G164" s="1" t="s">
        <v>627</v>
      </c>
      <c r="H164" s="1">
        <v>1</v>
      </c>
      <c r="I164" s="5" t="s">
        <v>31</v>
      </c>
      <c r="J164" s="21">
        <v>20000</v>
      </c>
      <c r="K164" s="21">
        <v>30000</v>
      </c>
      <c r="L164" s="21">
        <f t="shared" si="3"/>
        <v>10000</v>
      </c>
      <c r="M164" s="1" t="s">
        <v>23</v>
      </c>
      <c r="N164" s="1" t="s">
        <v>24</v>
      </c>
    </row>
    <row r="165" spans="1:14" x14ac:dyDescent="0.35">
      <c r="A165" s="17">
        <v>45849</v>
      </c>
      <c r="B165" s="1" t="s">
        <v>8</v>
      </c>
      <c r="C165" s="26" t="str">
        <f>VLOOKUP(F165,Clientes!$B$2:$C$179,2,0)</f>
        <v>Briceño</v>
      </c>
      <c r="D165" s="1" t="s">
        <v>619</v>
      </c>
      <c r="E165" s="15">
        <f>VLOOKUP(F165,Referencia!$A$15:$B$193,2,0)</f>
        <v>35</v>
      </c>
      <c r="F165" s="1" t="s">
        <v>173</v>
      </c>
      <c r="G165" s="1" t="s">
        <v>505</v>
      </c>
      <c r="H165" s="1">
        <v>1</v>
      </c>
      <c r="I165" s="1"/>
      <c r="J165" s="21">
        <v>29600</v>
      </c>
      <c r="K165" s="21">
        <v>50000</v>
      </c>
      <c r="L165" s="21">
        <f t="shared" si="3"/>
        <v>20400</v>
      </c>
      <c r="M165" s="1" t="s">
        <v>23</v>
      </c>
      <c r="N165" s="1" t="s">
        <v>24</v>
      </c>
    </row>
    <row r="166" spans="1:14" x14ac:dyDescent="0.35">
      <c r="A166" s="17">
        <v>45849</v>
      </c>
      <c r="B166" s="1" t="s">
        <v>8</v>
      </c>
      <c r="C166" s="26" t="str">
        <f>VLOOKUP(F166,Clientes!$B$2:$C$179,2,0)</f>
        <v>Briceño</v>
      </c>
      <c r="D166" s="1" t="s">
        <v>619</v>
      </c>
      <c r="E166" s="15">
        <f>VLOOKUP(F166,Referencia!$A$15:$B$193,2,0)</f>
        <v>35</v>
      </c>
      <c r="F166" s="1" t="s">
        <v>173</v>
      </c>
      <c r="G166" s="1" t="s">
        <v>506</v>
      </c>
      <c r="H166" s="1">
        <v>1</v>
      </c>
      <c r="I166" s="1" t="s">
        <v>22</v>
      </c>
      <c r="J166" s="22">
        <v>0</v>
      </c>
      <c r="K166" s="21">
        <v>15000</v>
      </c>
      <c r="L166" s="21">
        <f t="shared" si="3"/>
        <v>15000</v>
      </c>
      <c r="M166" s="1" t="s">
        <v>23</v>
      </c>
      <c r="N166" s="1" t="s">
        <v>24</v>
      </c>
    </row>
    <row r="167" spans="1:14" x14ac:dyDescent="0.35">
      <c r="A167" s="17">
        <v>45849</v>
      </c>
      <c r="B167" s="1" t="s">
        <v>8</v>
      </c>
      <c r="C167" s="26" t="str">
        <f>VLOOKUP(F167,Clientes!$B$2:$C$179,2,0)</f>
        <v>Briceño</v>
      </c>
      <c r="D167" s="1" t="s">
        <v>619</v>
      </c>
      <c r="E167" s="15">
        <f>VLOOKUP(F167,Referencia!$A$15:$B$193,2,0)</f>
        <v>35</v>
      </c>
      <c r="F167" s="1" t="s">
        <v>173</v>
      </c>
      <c r="G167" s="1" t="s">
        <v>507</v>
      </c>
      <c r="H167" s="1">
        <v>1</v>
      </c>
      <c r="I167" s="1" t="s">
        <v>40</v>
      </c>
      <c r="J167" s="21">
        <v>11000</v>
      </c>
      <c r="K167" s="21">
        <v>30000</v>
      </c>
      <c r="L167" s="21">
        <f t="shared" si="3"/>
        <v>19000</v>
      </c>
      <c r="M167" s="1" t="s">
        <v>23</v>
      </c>
      <c r="N167" s="1" t="s">
        <v>24</v>
      </c>
    </row>
    <row r="168" spans="1:14" x14ac:dyDescent="0.35">
      <c r="A168" s="17">
        <v>45849</v>
      </c>
      <c r="B168" s="1" t="s">
        <v>8</v>
      </c>
      <c r="C168" s="26" t="str">
        <f>VLOOKUP(F168,Clientes!$B$2:$C$179,2,0)</f>
        <v>Briceño</v>
      </c>
      <c r="D168" s="1" t="s">
        <v>619</v>
      </c>
      <c r="E168" s="15">
        <f>VLOOKUP(F168,Referencia!$A$15:$B$193,2,0)</f>
        <v>35</v>
      </c>
      <c r="F168" s="1" t="s">
        <v>173</v>
      </c>
      <c r="G168" s="1" t="s">
        <v>46</v>
      </c>
      <c r="H168" s="1">
        <v>1</v>
      </c>
      <c r="I168" s="1" t="s">
        <v>22</v>
      </c>
      <c r="J168" s="21">
        <v>68100</v>
      </c>
      <c r="K168" s="21">
        <v>100000</v>
      </c>
      <c r="L168" s="21">
        <f t="shared" si="3"/>
        <v>31900</v>
      </c>
      <c r="M168" s="1" t="s">
        <v>23</v>
      </c>
      <c r="N168" s="1" t="s">
        <v>24</v>
      </c>
    </row>
    <row r="169" spans="1:14" x14ac:dyDescent="0.35">
      <c r="A169" s="17">
        <v>45850</v>
      </c>
      <c r="B169" s="1" t="s">
        <v>9</v>
      </c>
      <c r="C169" s="26" t="str">
        <f>VLOOKUP(F169,Clientes!$B$2:$C$179,2,0)</f>
        <v>Chia</v>
      </c>
      <c r="D169" s="1" t="s">
        <v>619</v>
      </c>
      <c r="E169" s="15">
        <f>VLOOKUP(F169,Referencia!$A$15:$B$193,2,0)</f>
        <v>15</v>
      </c>
      <c r="F169" s="1" t="s">
        <v>96</v>
      </c>
      <c r="G169" s="1" t="s">
        <v>632</v>
      </c>
      <c r="H169" s="1">
        <v>1</v>
      </c>
      <c r="I169" s="1" t="s">
        <v>40</v>
      </c>
      <c r="J169" s="21">
        <v>32000</v>
      </c>
      <c r="K169" s="21">
        <v>75000</v>
      </c>
      <c r="L169" s="21">
        <f t="shared" si="3"/>
        <v>43000</v>
      </c>
      <c r="M169" s="1" t="s">
        <v>27</v>
      </c>
      <c r="N169" s="1" t="s">
        <v>24</v>
      </c>
    </row>
    <row r="170" spans="1:14" x14ac:dyDescent="0.35">
      <c r="A170" s="17">
        <v>45850</v>
      </c>
      <c r="B170" s="1" t="s">
        <v>9</v>
      </c>
      <c r="C170" s="26" t="str">
        <f>VLOOKUP(F170,Clientes!$B$2:$C$179,2,0)</f>
        <v>Chia</v>
      </c>
      <c r="D170" s="1" t="s">
        <v>619</v>
      </c>
      <c r="E170" s="15">
        <f>VLOOKUP(F170,Referencia!$A$15:$B$193,2,0)</f>
        <v>15</v>
      </c>
      <c r="F170" s="1" t="s">
        <v>96</v>
      </c>
      <c r="G170" s="1" t="s">
        <v>508</v>
      </c>
      <c r="H170" s="1">
        <v>1</v>
      </c>
      <c r="I170" s="1" t="s">
        <v>32</v>
      </c>
      <c r="J170" s="21">
        <v>11340</v>
      </c>
      <c r="K170" s="21">
        <v>18000</v>
      </c>
      <c r="L170" s="21">
        <f t="shared" si="3"/>
        <v>6660</v>
      </c>
      <c r="M170" s="1" t="s">
        <v>27</v>
      </c>
      <c r="N170" s="1" t="s">
        <v>24</v>
      </c>
    </row>
    <row r="171" spans="1:14" x14ac:dyDescent="0.35">
      <c r="A171" s="17">
        <v>45850</v>
      </c>
      <c r="B171" s="1" t="s">
        <v>9</v>
      </c>
      <c r="C171" s="26" t="str">
        <f>VLOOKUP(F171,Clientes!$B$2:$C$179,2,0)</f>
        <v>Chia</v>
      </c>
      <c r="D171" s="1" t="s">
        <v>619</v>
      </c>
      <c r="E171" s="15">
        <f>VLOOKUP(F171,Referencia!$A$15:$B$193,2,0)</f>
        <v>15</v>
      </c>
      <c r="F171" s="1" t="s">
        <v>96</v>
      </c>
      <c r="G171" s="1" t="s">
        <v>84</v>
      </c>
      <c r="H171" s="1">
        <v>1</v>
      </c>
      <c r="I171" s="1" t="s">
        <v>22</v>
      </c>
      <c r="J171" s="21">
        <v>14600</v>
      </c>
      <c r="K171" s="21">
        <v>25000</v>
      </c>
      <c r="L171" s="21">
        <f t="shared" si="3"/>
        <v>10400</v>
      </c>
      <c r="M171" s="1" t="s">
        <v>27</v>
      </c>
      <c r="N171" s="1" t="s">
        <v>24</v>
      </c>
    </row>
    <row r="172" spans="1:14" x14ac:dyDescent="0.35">
      <c r="A172" s="17">
        <v>45850</v>
      </c>
      <c r="B172" s="1" t="s">
        <v>9</v>
      </c>
      <c r="C172" s="26" t="str">
        <f>VLOOKUP(F172,Clientes!$B$2:$C$179,2,0)</f>
        <v>Chia</v>
      </c>
      <c r="D172" s="1" t="s">
        <v>619</v>
      </c>
      <c r="E172" s="15">
        <f>VLOOKUP(F172,Referencia!$A$15:$B$193,2,0)</f>
        <v>127</v>
      </c>
      <c r="F172" s="1" t="s">
        <v>509</v>
      </c>
      <c r="G172" s="1" t="s">
        <v>578</v>
      </c>
      <c r="H172" s="1">
        <v>1</v>
      </c>
      <c r="I172" s="1" t="s">
        <v>22</v>
      </c>
      <c r="J172" s="21">
        <v>373700</v>
      </c>
      <c r="K172" s="21">
        <v>490000</v>
      </c>
      <c r="L172" s="21">
        <f t="shared" si="3"/>
        <v>116300</v>
      </c>
      <c r="M172" s="1" t="s">
        <v>27</v>
      </c>
      <c r="N172" s="1" t="s">
        <v>24</v>
      </c>
    </row>
    <row r="173" spans="1:14" x14ac:dyDescent="0.35">
      <c r="A173" s="17">
        <v>45850</v>
      </c>
      <c r="B173" s="1" t="s">
        <v>9</v>
      </c>
      <c r="C173" s="26" t="str">
        <f>VLOOKUP(F173,Clientes!$B$2:$C$179,2,0)</f>
        <v>Chia</v>
      </c>
      <c r="D173" s="1" t="s">
        <v>619</v>
      </c>
      <c r="E173" s="15">
        <f>VLOOKUP(F173,Referencia!$A$15:$B$193,2,0)</f>
        <v>16</v>
      </c>
      <c r="F173" s="1" t="s">
        <v>79</v>
      </c>
      <c r="G173" s="1" t="s">
        <v>81</v>
      </c>
      <c r="H173" s="1">
        <v>1</v>
      </c>
      <c r="I173" s="1" t="s">
        <v>40</v>
      </c>
      <c r="J173" s="21">
        <v>135000</v>
      </c>
      <c r="K173" s="21">
        <v>190000</v>
      </c>
      <c r="L173" s="21">
        <f t="shared" si="3"/>
        <v>55000</v>
      </c>
      <c r="M173" s="1" t="s">
        <v>27</v>
      </c>
      <c r="N173" s="1" t="s">
        <v>24</v>
      </c>
    </row>
    <row r="174" spans="1:14" x14ac:dyDescent="0.35">
      <c r="A174" s="17">
        <v>45850</v>
      </c>
      <c r="B174" s="1" t="s">
        <v>9</v>
      </c>
      <c r="C174" s="26" t="str">
        <f>VLOOKUP(F174,Clientes!$B$2:$C$179,2,0)</f>
        <v>Chia</v>
      </c>
      <c r="D174" s="1" t="s">
        <v>619</v>
      </c>
      <c r="E174" s="15">
        <f>VLOOKUP(F174,Referencia!$A$15:$B$193,2,0)</f>
        <v>12</v>
      </c>
      <c r="F174" s="6" t="s">
        <v>141</v>
      </c>
      <c r="G174" s="1" t="s">
        <v>631</v>
      </c>
      <c r="H174" s="1">
        <v>5</v>
      </c>
      <c r="I174" s="1" t="s">
        <v>32</v>
      </c>
      <c r="J174" s="21">
        <f>10500*5</f>
        <v>52500</v>
      </c>
      <c r="K174" s="21">
        <v>90000</v>
      </c>
      <c r="L174" s="21">
        <f t="shared" si="3"/>
        <v>37500</v>
      </c>
      <c r="M174" s="1" t="s">
        <v>27</v>
      </c>
      <c r="N174" s="1" t="s">
        <v>24</v>
      </c>
    </row>
    <row r="175" spans="1:14" x14ac:dyDescent="0.35">
      <c r="A175" s="17">
        <v>45850</v>
      </c>
      <c r="B175" s="1" t="s">
        <v>9</v>
      </c>
      <c r="C175" s="26" t="str">
        <f>VLOOKUP(F175,Clientes!$B$2:$C$179,2,0)</f>
        <v>Chia</v>
      </c>
      <c r="D175" s="1" t="s">
        <v>619</v>
      </c>
      <c r="E175" s="15">
        <f>VLOOKUP(F175,Referencia!$A$15:$B$193,2,0)</f>
        <v>12</v>
      </c>
      <c r="F175" s="6" t="s">
        <v>141</v>
      </c>
      <c r="G175" s="1" t="s">
        <v>510</v>
      </c>
      <c r="H175" s="1">
        <v>1</v>
      </c>
      <c r="I175" s="5" t="s">
        <v>430</v>
      </c>
      <c r="J175" s="21">
        <v>2500</v>
      </c>
      <c r="K175" s="21">
        <v>5000</v>
      </c>
      <c r="L175" s="21">
        <f t="shared" si="3"/>
        <v>2500</v>
      </c>
      <c r="M175" s="1" t="s">
        <v>27</v>
      </c>
      <c r="N175" s="1" t="s">
        <v>24</v>
      </c>
    </row>
    <row r="176" spans="1:14" x14ac:dyDescent="0.35">
      <c r="A176" s="17">
        <v>45850</v>
      </c>
      <c r="B176" s="1" t="s">
        <v>9</v>
      </c>
      <c r="C176" s="26" t="str">
        <f>VLOOKUP(F176,Clientes!$B$2:$C$179,2,0)</f>
        <v>Chia</v>
      </c>
      <c r="D176" s="1" t="s">
        <v>619</v>
      </c>
      <c r="E176" s="15">
        <f>VLOOKUP(F176,Referencia!$A$15:$B$193,2,0)</f>
        <v>8</v>
      </c>
      <c r="F176" s="1" t="s">
        <v>511</v>
      </c>
      <c r="G176" s="1" t="s">
        <v>60</v>
      </c>
      <c r="H176" s="1">
        <v>5</v>
      </c>
      <c r="I176" s="1" t="s">
        <v>59</v>
      </c>
      <c r="J176" s="21">
        <v>25000</v>
      </c>
      <c r="K176" s="21">
        <v>37500</v>
      </c>
      <c r="L176" s="21">
        <f t="shared" si="3"/>
        <v>12500</v>
      </c>
      <c r="M176" s="1" t="s">
        <v>27</v>
      </c>
      <c r="N176" s="1" t="s">
        <v>24</v>
      </c>
    </row>
    <row r="177" spans="1:14" x14ac:dyDescent="0.35">
      <c r="A177" s="17">
        <v>45854</v>
      </c>
      <c r="B177" s="1" t="s">
        <v>615</v>
      </c>
      <c r="C177" s="26" t="str">
        <f>VLOOKUP(F177,Clientes!$B$2:$C$179,2,0)</f>
        <v>Tenjo</v>
      </c>
      <c r="D177" s="1" t="s">
        <v>619</v>
      </c>
      <c r="E177" s="15">
        <f>VLOOKUP(F177,Referencia!$A$15:$B$193,2,0)</f>
        <v>6</v>
      </c>
      <c r="F177" s="1" t="s">
        <v>126</v>
      </c>
      <c r="G177" s="1" t="s">
        <v>478</v>
      </c>
      <c r="H177" s="1">
        <v>1</v>
      </c>
      <c r="I177" s="1" t="s">
        <v>442</v>
      </c>
      <c r="J177" s="21">
        <v>41650</v>
      </c>
      <c r="K177" s="21">
        <v>70000</v>
      </c>
      <c r="L177" s="21">
        <f t="shared" ref="L177:L244" si="4">K177-J177</f>
        <v>28350</v>
      </c>
      <c r="M177" s="1" t="s">
        <v>27</v>
      </c>
      <c r="N177" s="1" t="s">
        <v>24</v>
      </c>
    </row>
    <row r="178" spans="1:14" x14ac:dyDescent="0.35">
      <c r="A178" s="17">
        <v>45854</v>
      </c>
      <c r="B178" s="1" t="s">
        <v>615</v>
      </c>
      <c r="C178" s="26" t="str">
        <f>VLOOKUP(F178,Clientes!$B$2:$C$179,2,0)</f>
        <v>Tenjo</v>
      </c>
      <c r="D178" s="1" t="s">
        <v>619</v>
      </c>
      <c r="E178" s="15">
        <f>VLOOKUP(F178,Referencia!$A$15:$B$193,2,0)</f>
        <v>6</v>
      </c>
      <c r="F178" s="1" t="s">
        <v>126</v>
      </c>
      <c r="G178" s="1" t="s">
        <v>513</v>
      </c>
      <c r="H178" s="1">
        <v>1</v>
      </c>
      <c r="I178" s="1" t="s">
        <v>59</v>
      </c>
      <c r="J178" s="21">
        <v>60000</v>
      </c>
      <c r="K178" s="21">
        <v>110000</v>
      </c>
      <c r="L178" s="21">
        <f t="shared" si="4"/>
        <v>50000</v>
      </c>
      <c r="M178" s="1" t="s">
        <v>27</v>
      </c>
      <c r="N178" s="1" t="s">
        <v>24</v>
      </c>
    </row>
    <row r="179" spans="1:14" x14ac:dyDescent="0.35">
      <c r="A179" s="17">
        <v>45854</v>
      </c>
      <c r="B179" s="1" t="s">
        <v>615</v>
      </c>
      <c r="C179" s="26" t="str">
        <f>VLOOKUP(F179,Clientes!$B$2:$C$179,2,0)</f>
        <v>Tabio</v>
      </c>
      <c r="D179" s="1" t="s">
        <v>619</v>
      </c>
      <c r="E179" s="15">
        <f>VLOOKUP(F179,Referencia!$A$15:$B$193,2,0)</f>
        <v>181</v>
      </c>
      <c r="F179" s="1" t="s">
        <v>63</v>
      </c>
      <c r="G179" s="1" t="s">
        <v>494</v>
      </c>
      <c r="H179" s="1">
        <v>1</v>
      </c>
      <c r="I179" s="1" t="s">
        <v>26</v>
      </c>
      <c r="J179" s="21">
        <v>0</v>
      </c>
      <c r="K179" s="21">
        <v>20000</v>
      </c>
      <c r="L179" s="21">
        <f t="shared" si="4"/>
        <v>20000</v>
      </c>
      <c r="M179" s="1" t="s">
        <v>23</v>
      </c>
      <c r="N179" s="1" t="s">
        <v>24</v>
      </c>
    </row>
    <row r="180" spans="1:14" x14ac:dyDescent="0.35">
      <c r="A180" s="17">
        <v>45854</v>
      </c>
      <c r="B180" s="1" t="s">
        <v>615</v>
      </c>
      <c r="C180" s="26" t="str">
        <f>VLOOKUP(F180,Clientes!$B$2:$C$179,2,0)</f>
        <v>Tabio</v>
      </c>
      <c r="D180" s="1" t="s">
        <v>619</v>
      </c>
      <c r="E180" s="15">
        <f>VLOOKUP(F180,Referencia!$A$15:$B$193,2,0)</f>
        <v>181</v>
      </c>
      <c r="F180" s="1" t="s">
        <v>63</v>
      </c>
      <c r="G180" s="1" t="s">
        <v>70</v>
      </c>
      <c r="H180" s="1">
        <v>1</v>
      </c>
      <c r="I180" s="1" t="s">
        <v>22</v>
      </c>
      <c r="J180" s="21">
        <v>4800</v>
      </c>
      <c r="K180" s="21">
        <v>8000</v>
      </c>
      <c r="L180" s="21">
        <f t="shared" si="4"/>
        <v>3200</v>
      </c>
      <c r="M180" s="1" t="s">
        <v>23</v>
      </c>
      <c r="N180" s="1" t="s">
        <v>24</v>
      </c>
    </row>
    <row r="181" spans="1:14" x14ac:dyDescent="0.35">
      <c r="A181" s="17">
        <v>45854</v>
      </c>
      <c r="B181" s="1" t="s">
        <v>415</v>
      </c>
      <c r="C181" s="26" t="str">
        <f>VLOOKUP(B181,Referencia!$B$2:$C$12,2,0)</f>
        <v>Funza</v>
      </c>
      <c r="D181" s="13" t="s">
        <v>617</v>
      </c>
      <c r="E181" s="15" t="str">
        <f>VLOOKUP(F181,Referencia!$A$15:$B$193,2,0)</f>
        <v>R1</v>
      </c>
      <c r="F181" s="1" t="s">
        <v>477</v>
      </c>
      <c r="G181" s="1" t="s">
        <v>72</v>
      </c>
      <c r="H181" s="1">
        <v>1</v>
      </c>
      <c r="I181" s="1" t="s">
        <v>22</v>
      </c>
      <c r="J181" s="21">
        <v>75000</v>
      </c>
      <c r="K181" s="21">
        <v>140000</v>
      </c>
      <c r="L181" s="21">
        <f t="shared" si="4"/>
        <v>65000</v>
      </c>
      <c r="M181" s="1" t="s">
        <v>23</v>
      </c>
      <c r="N181" s="1" t="s">
        <v>24</v>
      </c>
    </row>
    <row r="182" spans="1:14" x14ac:dyDescent="0.35">
      <c r="A182" s="17">
        <v>45855</v>
      </c>
      <c r="B182" s="1" t="s">
        <v>8</v>
      </c>
      <c r="C182" s="26" t="str">
        <f>VLOOKUP(F182,Clientes!$B$2:$C$179,2,0)</f>
        <v>Sopó</v>
      </c>
      <c r="D182" s="1" t="s">
        <v>619</v>
      </c>
      <c r="E182" s="15">
        <f>VLOOKUP(F182,Referencia!$A$15:$B$193,2,0)</f>
        <v>2</v>
      </c>
      <c r="F182" s="1" t="s">
        <v>112</v>
      </c>
      <c r="G182" s="1" t="s">
        <v>54</v>
      </c>
      <c r="H182" s="1">
        <v>1</v>
      </c>
      <c r="I182" s="1" t="s">
        <v>22</v>
      </c>
      <c r="J182" s="21">
        <v>12162</v>
      </c>
      <c r="K182" s="21">
        <v>20000</v>
      </c>
      <c r="L182" s="21">
        <f t="shared" si="4"/>
        <v>7838</v>
      </c>
      <c r="M182" s="1" t="s">
        <v>27</v>
      </c>
      <c r="N182" s="1" t="s">
        <v>24</v>
      </c>
    </row>
    <row r="183" spans="1:14" x14ac:dyDescent="0.35">
      <c r="A183" s="17">
        <v>45855</v>
      </c>
      <c r="B183" s="1" t="s">
        <v>8</v>
      </c>
      <c r="C183" s="26" t="str">
        <f>VLOOKUP(F183,Clientes!$B$2:$C$179,2,0)</f>
        <v>Sopó</v>
      </c>
      <c r="D183" s="1" t="s">
        <v>619</v>
      </c>
      <c r="E183" s="15">
        <f>VLOOKUP(F183,Referencia!$A$15:$B$193,2,0)</f>
        <v>2</v>
      </c>
      <c r="F183" s="1" t="s">
        <v>112</v>
      </c>
      <c r="G183" s="1" t="s">
        <v>55</v>
      </c>
      <c r="H183" s="1">
        <v>1</v>
      </c>
      <c r="I183" s="1" t="s">
        <v>22</v>
      </c>
      <c r="J183" s="21">
        <v>11665</v>
      </c>
      <c r="K183" s="21">
        <v>15000</v>
      </c>
      <c r="L183" s="21">
        <f t="shared" si="4"/>
        <v>3335</v>
      </c>
      <c r="M183" s="1" t="s">
        <v>27</v>
      </c>
      <c r="N183" s="1" t="s">
        <v>24</v>
      </c>
    </row>
    <row r="184" spans="1:14" x14ac:dyDescent="0.35">
      <c r="A184" s="17">
        <v>45855</v>
      </c>
      <c r="B184" s="1" t="s">
        <v>8</v>
      </c>
      <c r="C184" s="26" t="str">
        <f>VLOOKUP(F184,Clientes!$B$2:$C$179,2,0)</f>
        <v>Sopó</v>
      </c>
      <c r="D184" s="1" t="s">
        <v>619</v>
      </c>
      <c r="E184" s="15">
        <f>VLOOKUP(F184,Referencia!$A$15:$B$193,2,0)</f>
        <v>2</v>
      </c>
      <c r="F184" s="1" t="s">
        <v>112</v>
      </c>
      <c r="G184" s="1" t="s">
        <v>56</v>
      </c>
      <c r="H184" s="1">
        <v>1</v>
      </c>
      <c r="I184" s="1" t="s">
        <v>22</v>
      </c>
      <c r="J184" s="21">
        <v>11580</v>
      </c>
      <c r="K184" s="21">
        <v>15000</v>
      </c>
      <c r="L184" s="21">
        <f t="shared" si="4"/>
        <v>3420</v>
      </c>
      <c r="M184" s="1" t="s">
        <v>27</v>
      </c>
      <c r="N184" s="1" t="s">
        <v>24</v>
      </c>
    </row>
    <row r="185" spans="1:14" x14ac:dyDescent="0.35">
      <c r="A185" s="17">
        <v>45855</v>
      </c>
      <c r="B185" s="1" t="s">
        <v>8</v>
      </c>
      <c r="C185" s="26" t="str">
        <f>VLOOKUP(F185,Clientes!$B$2:$C$179,2,0)</f>
        <v>Sopó</v>
      </c>
      <c r="D185" s="1" t="s">
        <v>619</v>
      </c>
      <c r="E185" s="15">
        <f>VLOOKUP(F185,Referencia!$A$15:$B$193,2,0)</f>
        <v>2</v>
      </c>
      <c r="F185" s="1" t="s">
        <v>112</v>
      </c>
      <c r="G185" s="1" t="s">
        <v>515</v>
      </c>
      <c r="H185" s="1">
        <v>1</v>
      </c>
      <c r="I185" s="1" t="s">
        <v>40</v>
      </c>
      <c r="J185" s="21">
        <v>63000</v>
      </c>
      <c r="K185" s="21">
        <v>125000</v>
      </c>
      <c r="L185" s="21">
        <f t="shared" si="4"/>
        <v>62000</v>
      </c>
      <c r="M185" s="1" t="s">
        <v>27</v>
      </c>
      <c r="N185" s="1" t="s">
        <v>24</v>
      </c>
    </row>
    <row r="186" spans="1:14" x14ac:dyDescent="0.35">
      <c r="A186" s="17">
        <v>45855</v>
      </c>
      <c r="B186" s="1" t="s">
        <v>8</v>
      </c>
      <c r="C186" s="26" t="str">
        <f>VLOOKUP(F186,Clientes!$B$2:$C$179,2,0)</f>
        <v>Chia</v>
      </c>
      <c r="D186" s="1" t="s">
        <v>619</v>
      </c>
      <c r="E186" s="15">
        <f>VLOOKUP(F186,Referencia!$A$15:$B$193,2,0)</f>
        <v>5</v>
      </c>
      <c r="F186" s="1" t="s">
        <v>121</v>
      </c>
      <c r="G186" s="1" t="s">
        <v>516</v>
      </c>
      <c r="H186" s="1">
        <v>1</v>
      </c>
      <c r="I186" s="1" t="s">
        <v>40</v>
      </c>
      <c r="J186" s="21">
        <v>8500</v>
      </c>
      <c r="K186" s="21">
        <v>25000</v>
      </c>
      <c r="L186" s="21">
        <f t="shared" si="4"/>
        <v>16500</v>
      </c>
      <c r="M186" s="1" t="s">
        <v>27</v>
      </c>
      <c r="N186" s="1" t="s">
        <v>24</v>
      </c>
    </row>
    <row r="187" spans="1:14" x14ac:dyDescent="0.35">
      <c r="A187" s="17">
        <v>45855</v>
      </c>
      <c r="B187" s="1" t="s">
        <v>8</v>
      </c>
      <c r="C187" s="26" t="str">
        <f>VLOOKUP(F187,Clientes!$B$2:$C$179,2,0)</f>
        <v>Sopó</v>
      </c>
      <c r="D187" s="1" t="s">
        <v>619</v>
      </c>
      <c r="E187" s="15">
        <f>VLOOKUP(F187,Referencia!$A$15:$B$193,2,0)</f>
        <v>1</v>
      </c>
      <c r="F187" s="1" t="s">
        <v>108</v>
      </c>
      <c r="G187" s="1" t="s">
        <v>420</v>
      </c>
      <c r="H187" s="1">
        <v>1</v>
      </c>
      <c r="I187" s="1" t="s">
        <v>59</v>
      </c>
      <c r="J187" s="21">
        <v>125000</v>
      </c>
      <c r="K187" s="21">
        <v>220000</v>
      </c>
      <c r="L187" s="21">
        <f t="shared" si="4"/>
        <v>95000</v>
      </c>
      <c r="M187" s="1" t="s">
        <v>27</v>
      </c>
      <c r="N187" s="1" t="s">
        <v>24</v>
      </c>
    </row>
    <row r="188" spans="1:14" x14ac:dyDescent="0.35">
      <c r="A188" s="17">
        <v>45855</v>
      </c>
      <c r="B188" s="1" t="s">
        <v>8</v>
      </c>
      <c r="C188" s="26" t="str">
        <f>VLOOKUP(F188,Clientes!$B$2:$C$179,2,0)</f>
        <v>Briceño</v>
      </c>
      <c r="D188" s="1" t="s">
        <v>619</v>
      </c>
      <c r="E188" s="15">
        <f>VLOOKUP(F188,Referencia!$A$15:$B$193,2,0)</f>
        <v>78</v>
      </c>
      <c r="F188" s="1" t="s">
        <v>471</v>
      </c>
      <c r="G188" s="1" t="s">
        <v>60</v>
      </c>
      <c r="H188" s="1">
        <v>4</v>
      </c>
      <c r="I188" s="1" t="s">
        <v>59</v>
      </c>
      <c r="J188" s="21">
        <v>20000</v>
      </c>
      <c r="K188" s="21">
        <v>40000</v>
      </c>
      <c r="L188" s="21">
        <f t="shared" si="4"/>
        <v>20000</v>
      </c>
      <c r="M188" s="1" t="s">
        <v>23</v>
      </c>
      <c r="N188" s="1" t="s">
        <v>24</v>
      </c>
    </row>
    <row r="189" spans="1:14" x14ac:dyDescent="0.35">
      <c r="A189" s="17">
        <v>45855</v>
      </c>
      <c r="B189" s="1" t="s">
        <v>8</v>
      </c>
      <c r="C189" s="26" t="str">
        <f>VLOOKUP(F189,Clientes!$B$2:$C$179,2,0)</f>
        <v>Tocancipá</v>
      </c>
      <c r="D189" s="1" t="s">
        <v>619</v>
      </c>
      <c r="E189" s="15">
        <f>VLOOKUP(F189,Referencia!$A$15:$B$193,2,0)</f>
        <v>49</v>
      </c>
      <c r="F189" s="1" t="s">
        <v>77</v>
      </c>
      <c r="G189" s="1" t="s">
        <v>517</v>
      </c>
      <c r="H189" s="1">
        <v>1</v>
      </c>
      <c r="I189" s="1" t="s">
        <v>22</v>
      </c>
      <c r="J189" s="21">
        <v>3451</v>
      </c>
      <c r="K189" s="21">
        <v>7000</v>
      </c>
      <c r="L189" s="21">
        <f t="shared" si="4"/>
        <v>3549</v>
      </c>
      <c r="M189" s="1" t="s">
        <v>27</v>
      </c>
      <c r="N189" s="1" t="s">
        <v>24</v>
      </c>
    </row>
    <row r="190" spans="1:14" x14ac:dyDescent="0.35">
      <c r="A190" s="17">
        <v>45855</v>
      </c>
      <c r="B190" s="1" t="s">
        <v>8</v>
      </c>
      <c r="C190" s="26" t="str">
        <f>VLOOKUP(F190,Clientes!$B$2:$C$179,2,0)</f>
        <v>Tocancipá</v>
      </c>
      <c r="D190" s="1" t="s">
        <v>619</v>
      </c>
      <c r="E190" s="15">
        <f>VLOOKUP(F190,Referencia!$A$15:$B$193,2,0)</f>
        <v>179</v>
      </c>
      <c r="F190" s="1" t="s">
        <v>518</v>
      </c>
      <c r="G190" s="1" t="s">
        <v>607</v>
      </c>
      <c r="H190" s="1">
        <v>1</v>
      </c>
      <c r="I190" s="1" t="s">
        <v>40</v>
      </c>
      <c r="J190" s="21">
        <v>34000</v>
      </c>
      <c r="K190" s="21">
        <v>50000</v>
      </c>
      <c r="L190" s="21">
        <f t="shared" si="4"/>
        <v>16000</v>
      </c>
      <c r="M190" s="1" t="s">
        <v>27</v>
      </c>
      <c r="N190" s="1" t="s">
        <v>24</v>
      </c>
    </row>
    <row r="191" spans="1:14" x14ac:dyDescent="0.35">
      <c r="A191" s="17">
        <v>45855</v>
      </c>
      <c r="B191" s="1" t="s">
        <v>8</v>
      </c>
      <c r="C191" s="26" t="str">
        <f>VLOOKUP(F191,Clientes!$B$2:$C$179,2,0)</f>
        <v>Tocancipá</v>
      </c>
      <c r="D191" s="1" t="s">
        <v>619</v>
      </c>
      <c r="E191" s="15">
        <f>VLOOKUP(F191,Referencia!$A$15:$B$193,2,0)</f>
        <v>179</v>
      </c>
      <c r="F191" s="1" t="s">
        <v>518</v>
      </c>
      <c r="G191" s="1" t="s">
        <v>519</v>
      </c>
      <c r="H191" s="1">
        <v>1</v>
      </c>
      <c r="I191" s="1" t="s">
        <v>40</v>
      </c>
      <c r="J191" s="21">
        <v>0</v>
      </c>
      <c r="K191" s="21">
        <v>20000</v>
      </c>
      <c r="L191" s="21">
        <f t="shared" si="4"/>
        <v>20000</v>
      </c>
      <c r="M191" s="1" t="s">
        <v>27</v>
      </c>
      <c r="N191" s="1" t="s">
        <v>24</v>
      </c>
    </row>
    <row r="192" spans="1:14" x14ac:dyDescent="0.35">
      <c r="A192" s="17">
        <v>45855</v>
      </c>
      <c r="B192" s="1" t="s">
        <v>8</v>
      </c>
      <c r="C192" s="26" t="str">
        <f>VLOOKUP(F192,Clientes!$B$2:$C$179,2,0)</f>
        <v>Cajicá</v>
      </c>
      <c r="D192" s="1" t="s">
        <v>619</v>
      </c>
      <c r="E192" s="15">
        <f>VLOOKUP(F192,Referencia!$A$15:$B$193,2,0)</f>
        <v>20</v>
      </c>
      <c r="F192" s="1" t="s">
        <v>520</v>
      </c>
      <c r="G192" s="1" t="s">
        <v>628</v>
      </c>
      <c r="H192" s="1">
        <v>1</v>
      </c>
      <c r="I192" s="5" t="s">
        <v>31</v>
      </c>
      <c r="J192" s="21">
        <v>50000</v>
      </c>
      <c r="K192" s="21">
        <v>100000</v>
      </c>
      <c r="L192" s="21">
        <f t="shared" si="4"/>
        <v>50000</v>
      </c>
      <c r="M192" s="1" t="s">
        <v>27</v>
      </c>
      <c r="N192" s="1" t="s">
        <v>24</v>
      </c>
    </row>
    <row r="193" spans="1:14" x14ac:dyDescent="0.35">
      <c r="A193" s="17">
        <v>45855</v>
      </c>
      <c r="B193" s="1" t="s">
        <v>415</v>
      </c>
      <c r="C193" s="26" t="str">
        <f>VLOOKUP(F193,Clientes!$B$2:$C$179,2,0)</f>
        <v>Funza</v>
      </c>
      <c r="D193" s="1" t="s">
        <v>619</v>
      </c>
      <c r="E193" s="15">
        <f>VLOOKUP(F193,Referencia!$A$15:$B$193,2,0)</f>
        <v>3</v>
      </c>
      <c r="F193" s="1" t="s">
        <v>422</v>
      </c>
      <c r="G193" s="1" t="s">
        <v>521</v>
      </c>
      <c r="H193" s="1">
        <v>1</v>
      </c>
      <c r="I193" s="1" t="s">
        <v>40</v>
      </c>
      <c r="J193" s="21">
        <v>20000</v>
      </c>
      <c r="K193" s="21">
        <v>40000</v>
      </c>
      <c r="L193" s="21">
        <f t="shared" si="4"/>
        <v>20000</v>
      </c>
      <c r="M193" s="1" t="s">
        <v>27</v>
      </c>
      <c r="N193" s="1" t="s">
        <v>24</v>
      </c>
    </row>
    <row r="194" spans="1:14" x14ac:dyDescent="0.35">
      <c r="A194" s="17">
        <v>45855</v>
      </c>
      <c r="B194" s="1" t="s">
        <v>415</v>
      </c>
      <c r="C194" s="26" t="str">
        <f>VLOOKUP(F194,Clientes!$B$2:$C$179,2,0)</f>
        <v>Funza</v>
      </c>
      <c r="D194" s="1" t="s">
        <v>619</v>
      </c>
      <c r="E194" s="15">
        <f>VLOOKUP(F194,Referencia!$A$15:$B$193,2,0)</f>
        <v>3</v>
      </c>
      <c r="F194" s="1" t="s">
        <v>422</v>
      </c>
      <c r="G194" s="1" t="s">
        <v>522</v>
      </c>
      <c r="H194" s="1">
        <v>1</v>
      </c>
      <c r="I194" s="1" t="s">
        <v>59</v>
      </c>
      <c r="J194" s="21">
        <v>100000</v>
      </c>
      <c r="K194" s="21">
        <v>190000</v>
      </c>
      <c r="L194" s="21">
        <f t="shared" si="4"/>
        <v>90000</v>
      </c>
      <c r="M194" s="1" t="s">
        <v>27</v>
      </c>
      <c r="N194" s="1" t="s">
        <v>24</v>
      </c>
    </row>
    <row r="195" spans="1:14" x14ac:dyDescent="0.35">
      <c r="A195" s="17">
        <v>45855</v>
      </c>
      <c r="B195" s="1" t="s">
        <v>415</v>
      </c>
      <c r="C195" s="26" t="str">
        <f>VLOOKUP(F195,Clientes!$B$2:$C$179,2,0)</f>
        <v>Funza</v>
      </c>
      <c r="D195" s="1" t="s">
        <v>619</v>
      </c>
      <c r="E195" s="15">
        <f>VLOOKUP(F195,Referencia!$A$15:$B$193,2,0)</f>
        <v>3</v>
      </c>
      <c r="F195" s="1" t="s">
        <v>422</v>
      </c>
      <c r="G195" s="1" t="s">
        <v>523</v>
      </c>
      <c r="H195" s="1">
        <v>1</v>
      </c>
      <c r="I195" s="1" t="s">
        <v>59</v>
      </c>
      <c r="J195" s="21">
        <v>50000</v>
      </c>
      <c r="K195" s="21">
        <v>90000</v>
      </c>
      <c r="L195" s="21">
        <f t="shared" si="4"/>
        <v>40000</v>
      </c>
      <c r="M195" s="1" t="s">
        <v>27</v>
      </c>
      <c r="N195" s="1" t="s">
        <v>24</v>
      </c>
    </row>
    <row r="196" spans="1:14" x14ac:dyDescent="0.35">
      <c r="A196" s="17">
        <v>45855</v>
      </c>
      <c r="B196" s="1" t="s">
        <v>415</v>
      </c>
      <c r="C196" s="26" t="str">
        <f>VLOOKUP(F196,Clientes!$B$2:$C$179,2,0)</f>
        <v>Funza</v>
      </c>
      <c r="D196" s="1" t="s">
        <v>619</v>
      </c>
      <c r="E196" s="15">
        <f>VLOOKUP(F196,Referencia!$A$15:$B$193,2,0)</f>
        <v>21</v>
      </c>
      <c r="F196" s="1" t="s">
        <v>52</v>
      </c>
      <c r="G196" s="1" t="s">
        <v>524</v>
      </c>
      <c r="H196" s="1">
        <v>1</v>
      </c>
      <c r="I196" s="5" t="s">
        <v>74</v>
      </c>
      <c r="J196" s="21">
        <v>230000</v>
      </c>
      <c r="K196" s="21">
        <v>380000</v>
      </c>
      <c r="L196" s="21">
        <f t="shared" si="4"/>
        <v>150000</v>
      </c>
      <c r="M196" s="1" t="s">
        <v>27</v>
      </c>
      <c r="N196" s="1" t="s">
        <v>24</v>
      </c>
    </row>
    <row r="197" spans="1:14" x14ac:dyDescent="0.35">
      <c r="A197" s="17">
        <v>45856</v>
      </c>
      <c r="B197" s="1" t="s">
        <v>9</v>
      </c>
      <c r="C197" s="26" t="str">
        <f>VLOOKUP(F197,Clientes!$B$2:$C$179,2,0)</f>
        <v>Chia</v>
      </c>
      <c r="D197" s="1" t="s">
        <v>619</v>
      </c>
      <c r="E197" s="15">
        <f>VLOOKUP(F197,Referencia!$A$15:$B$193,2,0)</f>
        <v>15</v>
      </c>
      <c r="F197" s="1" t="s">
        <v>96</v>
      </c>
      <c r="G197" s="1" t="s">
        <v>525</v>
      </c>
      <c r="H197" s="1">
        <v>25</v>
      </c>
      <c r="I197" s="1" t="s">
        <v>22</v>
      </c>
      <c r="J197" s="21">
        <f>1666*25</f>
        <v>41650</v>
      </c>
      <c r="K197" s="21">
        <v>70000</v>
      </c>
      <c r="L197" s="21">
        <f t="shared" si="4"/>
        <v>28350</v>
      </c>
      <c r="M197" s="1" t="s">
        <v>27</v>
      </c>
      <c r="N197" s="1" t="s">
        <v>24</v>
      </c>
    </row>
    <row r="198" spans="1:14" x14ac:dyDescent="0.35">
      <c r="A198" s="17">
        <v>45856</v>
      </c>
      <c r="B198" s="1" t="s">
        <v>9</v>
      </c>
      <c r="C198" s="26" t="str">
        <f>VLOOKUP(F198,Clientes!$B$2:$C$179,2,0)</f>
        <v>Chia</v>
      </c>
      <c r="D198" s="1" t="s">
        <v>619</v>
      </c>
      <c r="E198" s="15">
        <f>VLOOKUP(F198,Referencia!$A$15:$B$193,2,0)</f>
        <v>8</v>
      </c>
      <c r="F198" s="1" t="s">
        <v>476</v>
      </c>
      <c r="G198" s="1" t="s">
        <v>525</v>
      </c>
      <c r="H198" s="1">
        <v>25</v>
      </c>
      <c r="I198" s="1" t="s">
        <v>22</v>
      </c>
      <c r="J198" s="21">
        <f>1666*25</f>
        <v>41650</v>
      </c>
      <c r="K198" s="21">
        <v>70000</v>
      </c>
      <c r="L198" s="21">
        <f t="shared" si="4"/>
        <v>28350</v>
      </c>
      <c r="M198" s="1" t="s">
        <v>23</v>
      </c>
      <c r="N198" s="1" t="s">
        <v>24</v>
      </c>
    </row>
    <row r="199" spans="1:14" x14ac:dyDescent="0.35">
      <c r="A199" s="17">
        <v>45856</v>
      </c>
      <c r="B199" s="1" t="s">
        <v>9</v>
      </c>
      <c r="C199" s="26" t="str">
        <f>VLOOKUP(F199,Clientes!$B$2:$C$179,2,0)</f>
        <v>Chia</v>
      </c>
      <c r="D199" s="1" t="s">
        <v>619</v>
      </c>
      <c r="E199" s="15">
        <f>VLOOKUP(F199,Referencia!$A$15:$B$193,2,0)</f>
        <v>8</v>
      </c>
      <c r="F199" s="1" t="s">
        <v>476</v>
      </c>
      <c r="G199" s="1" t="s">
        <v>60</v>
      </c>
      <c r="H199" s="1">
        <v>4</v>
      </c>
      <c r="I199" s="1" t="s">
        <v>59</v>
      </c>
      <c r="J199" s="21">
        <v>20000</v>
      </c>
      <c r="K199" s="21">
        <v>30000</v>
      </c>
      <c r="L199" s="21">
        <f t="shared" si="4"/>
        <v>10000</v>
      </c>
      <c r="M199" s="1" t="s">
        <v>23</v>
      </c>
      <c r="N199" s="1" t="s">
        <v>24</v>
      </c>
    </row>
    <row r="200" spans="1:14" x14ac:dyDescent="0.35">
      <c r="A200" s="17">
        <v>45856</v>
      </c>
      <c r="B200" s="1" t="s">
        <v>9</v>
      </c>
      <c r="C200" s="26" t="str">
        <f>VLOOKUP(F200,Clientes!$B$2:$C$179,2,0)</f>
        <v>Chia</v>
      </c>
      <c r="D200" s="1" t="s">
        <v>619</v>
      </c>
      <c r="E200" s="15">
        <f>VLOOKUP(F200,Referencia!$A$15:$B$193,2,0)</f>
        <v>64</v>
      </c>
      <c r="F200" s="1" t="s">
        <v>90</v>
      </c>
      <c r="G200" s="1" t="s">
        <v>436</v>
      </c>
      <c r="H200" s="1">
        <v>1</v>
      </c>
      <c r="I200" s="1" t="s">
        <v>40</v>
      </c>
      <c r="J200" s="21">
        <v>48000</v>
      </c>
      <c r="K200" s="21">
        <v>90000</v>
      </c>
      <c r="L200" s="21">
        <f t="shared" si="4"/>
        <v>42000</v>
      </c>
      <c r="M200" s="1" t="s">
        <v>27</v>
      </c>
      <c r="N200" s="1" t="s">
        <v>24</v>
      </c>
    </row>
    <row r="201" spans="1:14" x14ac:dyDescent="0.35">
      <c r="A201" s="17">
        <v>45856</v>
      </c>
      <c r="B201" s="1" t="s">
        <v>9</v>
      </c>
      <c r="C201" s="26" t="str">
        <f>VLOOKUP(F201,Clientes!$B$2:$C$179,2,0)</f>
        <v>Chia</v>
      </c>
      <c r="D201" s="1" t="s">
        <v>619</v>
      </c>
      <c r="E201" s="15">
        <f>VLOOKUP(F201,Referencia!$A$15:$B$193,2,0)</f>
        <v>64</v>
      </c>
      <c r="F201" s="1" t="s">
        <v>90</v>
      </c>
      <c r="G201" s="1" t="s">
        <v>632</v>
      </c>
      <c r="H201" s="1">
        <v>1</v>
      </c>
      <c r="I201" s="1" t="s">
        <v>40</v>
      </c>
      <c r="J201" s="21">
        <v>32000</v>
      </c>
      <c r="K201" s="21">
        <v>90000</v>
      </c>
      <c r="L201" s="21">
        <f t="shared" si="4"/>
        <v>58000</v>
      </c>
      <c r="M201" s="1" t="s">
        <v>27</v>
      </c>
      <c r="N201" s="1" t="s">
        <v>24</v>
      </c>
    </row>
    <row r="202" spans="1:14" x14ac:dyDescent="0.35">
      <c r="A202" s="17">
        <v>45856</v>
      </c>
      <c r="B202" s="1" t="s">
        <v>9</v>
      </c>
      <c r="C202" s="26" t="str">
        <f>VLOOKUP(F202,Clientes!$B$2:$C$179,2,0)</f>
        <v>Chia</v>
      </c>
      <c r="D202" s="1" t="s">
        <v>619</v>
      </c>
      <c r="E202" s="15">
        <f>VLOOKUP(F202,Referencia!$A$15:$B$193,2,0)</f>
        <v>64</v>
      </c>
      <c r="F202" s="1" t="s">
        <v>90</v>
      </c>
      <c r="G202" t="s">
        <v>526</v>
      </c>
      <c r="H202" s="1">
        <v>1</v>
      </c>
      <c r="I202" s="1" t="s">
        <v>43</v>
      </c>
      <c r="J202" s="21">
        <v>12500</v>
      </c>
      <c r="K202" s="21">
        <v>0</v>
      </c>
      <c r="L202" s="21">
        <f t="shared" si="4"/>
        <v>-12500</v>
      </c>
      <c r="M202" s="1" t="s">
        <v>27</v>
      </c>
      <c r="N202" s="1" t="s">
        <v>24</v>
      </c>
    </row>
    <row r="203" spans="1:14" x14ac:dyDescent="0.35">
      <c r="A203" s="17">
        <v>45856</v>
      </c>
      <c r="B203" s="1" t="s">
        <v>9</v>
      </c>
      <c r="C203" s="26" t="str">
        <f>VLOOKUP(F203,Clientes!$B$2:$C$179,2,0)</f>
        <v>Chia</v>
      </c>
      <c r="D203" s="1" t="s">
        <v>619</v>
      </c>
      <c r="E203" s="15">
        <f>VLOOKUP(F203,Referencia!$A$15:$B$193,2,0)</f>
        <v>64</v>
      </c>
      <c r="F203" s="1" t="s">
        <v>90</v>
      </c>
      <c r="G203" s="1" t="s">
        <v>527</v>
      </c>
      <c r="H203" s="1">
        <v>1</v>
      </c>
      <c r="I203" s="1" t="s">
        <v>40</v>
      </c>
      <c r="J203" s="21">
        <v>30000</v>
      </c>
      <c r="K203" s="21">
        <v>50000</v>
      </c>
      <c r="L203" s="21">
        <f t="shared" si="4"/>
        <v>20000</v>
      </c>
      <c r="M203" s="1" t="s">
        <v>27</v>
      </c>
      <c r="N203" s="1" t="s">
        <v>24</v>
      </c>
    </row>
    <row r="204" spans="1:14" x14ac:dyDescent="0.35">
      <c r="A204" s="17">
        <v>45856</v>
      </c>
      <c r="B204" s="1" t="s">
        <v>9</v>
      </c>
      <c r="C204" s="26" t="str">
        <f>VLOOKUP(F204,Clientes!$B$2:$C$179,2,0)</f>
        <v>Chia</v>
      </c>
      <c r="D204" s="1" t="s">
        <v>619</v>
      </c>
      <c r="E204" s="15">
        <f>VLOOKUP(F204,Referencia!$A$15:$B$193,2,0)</f>
        <v>64</v>
      </c>
      <c r="F204" s="1" t="s">
        <v>90</v>
      </c>
      <c r="G204" s="1" t="s">
        <v>80</v>
      </c>
      <c r="H204" s="1">
        <v>1</v>
      </c>
      <c r="I204" s="1" t="s">
        <v>40</v>
      </c>
      <c r="J204" s="21">
        <v>100000</v>
      </c>
      <c r="K204" s="21">
        <v>220000</v>
      </c>
      <c r="L204" s="21">
        <f t="shared" si="4"/>
        <v>120000</v>
      </c>
      <c r="M204" s="1" t="s">
        <v>27</v>
      </c>
      <c r="N204" s="1" t="s">
        <v>24</v>
      </c>
    </row>
    <row r="205" spans="1:14" x14ac:dyDescent="0.35">
      <c r="A205" s="17">
        <v>45856</v>
      </c>
      <c r="B205" s="1" t="s">
        <v>9</v>
      </c>
      <c r="C205" s="26" t="str">
        <f>VLOOKUP(F205,Clientes!$B$2:$C$179,2,0)</f>
        <v>Chia</v>
      </c>
      <c r="D205" s="1" t="s">
        <v>619</v>
      </c>
      <c r="E205" s="15">
        <f>VLOOKUP(F205,Referencia!$A$15:$B$193,2,0)</f>
        <v>64</v>
      </c>
      <c r="F205" s="1" t="s">
        <v>90</v>
      </c>
      <c r="G205" s="1" t="s">
        <v>528</v>
      </c>
      <c r="H205" s="1">
        <v>1</v>
      </c>
      <c r="I205" s="1" t="s">
        <v>43</v>
      </c>
      <c r="J205" s="21">
        <v>32700</v>
      </c>
      <c r="K205" s="21">
        <v>75000</v>
      </c>
      <c r="L205" s="21">
        <f t="shared" si="4"/>
        <v>42300</v>
      </c>
      <c r="M205" s="1" t="s">
        <v>27</v>
      </c>
      <c r="N205" s="1" t="s">
        <v>24</v>
      </c>
    </row>
    <row r="206" spans="1:14" x14ac:dyDescent="0.35">
      <c r="A206" s="17">
        <v>45856</v>
      </c>
      <c r="B206" s="1" t="s">
        <v>9</v>
      </c>
      <c r="C206" s="26" t="str">
        <f>VLOOKUP(F206,Clientes!$B$2:$C$179,2,0)</f>
        <v>Cota</v>
      </c>
      <c r="D206" s="1" t="s">
        <v>619</v>
      </c>
      <c r="E206" s="15">
        <f>VLOOKUP(F206,Referencia!$A$15:$B$193,2,0)</f>
        <v>11</v>
      </c>
      <c r="F206" s="1" t="s">
        <v>529</v>
      </c>
      <c r="G206" s="1" t="s">
        <v>513</v>
      </c>
      <c r="H206" s="1">
        <v>1</v>
      </c>
      <c r="I206" s="1" t="s">
        <v>40</v>
      </c>
      <c r="J206" s="21">
        <v>32000</v>
      </c>
      <c r="K206" s="21">
        <v>90000</v>
      </c>
      <c r="L206" s="21">
        <f t="shared" si="4"/>
        <v>58000</v>
      </c>
      <c r="M206" s="1" t="s">
        <v>27</v>
      </c>
      <c r="N206" s="1" t="s">
        <v>24</v>
      </c>
    </row>
    <row r="207" spans="1:14" x14ac:dyDescent="0.35">
      <c r="A207" s="17">
        <v>45856</v>
      </c>
      <c r="B207" s="1" t="s">
        <v>9</v>
      </c>
      <c r="C207" s="26" t="str">
        <f>VLOOKUP(F207,Clientes!$B$2:$C$179,2,0)</f>
        <v>Cota</v>
      </c>
      <c r="D207" s="1" t="s">
        <v>619</v>
      </c>
      <c r="E207" s="15">
        <f>VLOOKUP(F207,Referencia!$A$15:$B$193,2,0)</f>
        <v>11</v>
      </c>
      <c r="F207" s="1" t="s">
        <v>529</v>
      </c>
      <c r="G207" s="1" t="s">
        <v>632</v>
      </c>
      <c r="H207" s="1">
        <v>1</v>
      </c>
      <c r="I207" s="1" t="s">
        <v>40</v>
      </c>
      <c r="J207" s="21">
        <v>38000</v>
      </c>
      <c r="K207" s="21">
        <v>75000</v>
      </c>
      <c r="L207" s="21">
        <f t="shared" si="4"/>
        <v>37000</v>
      </c>
      <c r="M207" s="1" t="s">
        <v>27</v>
      </c>
      <c r="N207" s="1" t="s">
        <v>24</v>
      </c>
    </row>
    <row r="208" spans="1:14" x14ac:dyDescent="0.35">
      <c r="A208" s="17">
        <v>45856</v>
      </c>
      <c r="B208" s="1" t="s">
        <v>9</v>
      </c>
      <c r="C208" s="26" t="str">
        <f>VLOOKUP(F208,Clientes!$B$2:$C$179,2,0)</f>
        <v>Cota</v>
      </c>
      <c r="D208" s="1" t="s">
        <v>619</v>
      </c>
      <c r="E208" s="15">
        <f>VLOOKUP(F208,Referencia!$A$15:$B$193,2,0)</f>
        <v>11</v>
      </c>
      <c r="F208" s="1" t="s">
        <v>529</v>
      </c>
      <c r="G208" s="1" t="s">
        <v>530</v>
      </c>
      <c r="H208" s="1">
        <v>1</v>
      </c>
      <c r="I208" s="1" t="s">
        <v>40</v>
      </c>
      <c r="J208" s="21">
        <v>34000</v>
      </c>
      <c r="K208" s="21">
        <v>58000</v>
      </c>
      <c r="L208" s="21">
        <f t="shared" si="4"/>
        <v>24000</v>
      </c>
      <c r="M208" s="1" t="s">
        <v>27</v>
      </c>
      <c r="N208" s="1" t="s">
        <v>24</v>
      </c>
    </row>
    <row r="209" spans="1:14" x14ac:dyDescent="0.35">
      <c r="A209" s="17">
        <v>45856</v>
      </c>
      <c r="B209" s="1" t="s">
        <v>9</v>
      </c>
      <c r="C209" s="26" t="str">
        <f>VLOOKUP(F209,Clientes!$B$2:$C$179,2,0)</f>
        <v>Cota</v>
      </c>
      <c r="D209" s="1" t="s">
        <v>619</v>
      </c>
      <c r="E209" s="15">
        <f>VLOOKUP(F209,Referencia!$A$15:$B$193,2,0)</f>
        <v>11</v>
      </c>
      <c r="F209" s="1" t="s">
        <v>529</v>
      </c>
      <c r="G209" s="1" t="s">
        <v>531</v>
      </c>
      <c r="H209" s="1">
        <v>1</v>
      </c>
      <c r="I209" s="1" t="s">
        <v>59</v>
      </c>
      <c r="J209" s="21">
        <v>100000</v>
      </c>
      <c r="K209" s="21">
        <v>190000</v>
      </c>
      <c r="L209" s="21">
        <f t="shared" si="4"/>
        <v>90000</v>
      </c>
      <c r="M209" s="1" t="s">
        <v>27</v>
      </c>
      <c r="N209" s="1" t="s">
        <v>24</v>
      </c>
    </row>
    <row r="210" spans="1:14" x14ac:dyDescent="0.35">
      <c r="A210" s="17">
        <v>45856</v>
      </c>
      <c r="B210" s="1" t="s">
        <v>9</v>
      </c>
      <c r="C210" s="26" t="str">
        <f>VLOOKUP(F210,Clientes!$B$2:$C$179,2,0)</f>
        <v>Cota</v>
      </c>
      <c r="D210" s="1" t="s">
        <v>619</v>
      </c>
      <c r="E210" s="15">
        <f>VLOOKUP(F210,Referencia!$A$15:$B$193,2,0)</f>
        <v>25</v>
      </c>
      <c r="F210" s="1" t="s">
        <v>160</v>
      </c>
      <c r="G210" s="1" t="s">
        <v>91</v>
      </c>
      <c r="H210" s="1">
        <v>1</v>
      </c>
      <c r="I210" s="1" t="s">
        <v>40</v>
      </c>
      <c r="J210" s="21">
        <v>45000</v>
      </c>
      <c r="K210" s="21">
        <v>90000</v>
      </c>
      <c r="L210" s="21">
        <f t="shared" si="4"/>
        <v>45000</v>
      </c>
      <c r="M210" s="1" t="s">
        <v>27</v>
      </c>
      <c r="N210" s="1" t="s">
        <v>24</v>
      </c>
    </row>
    <row r="211" spans="1:14" x14ac:dyDescent="0.35">
      <c r="A211" s="17">
        <v>45856</v>
      </c>
      <c r="B211" s="1" t="s">
        <v>9</v>
      </c>
      <c r="C211" s="26" t="str">
        <f>VLOOKUP(F211,Clientes!$B$2:$C$179,2,0)</f>
        <v>Cota</v>
      </c>
      <c r="D211" s="1" t="s">
        <v>619</v>
      </c>
      <c r="E211" s="15">
        <f>VLOOKUP(F211,Referencia!$A$15:$B$193,2,0)</f>
        <v>25</v>
      </c>
      <c r="F211" s="1" t="s">
        <v>160</v>
      </c>
      <c r="G211" s="1" t="s">
        <v>532</v>
      </c>
      <c r="H211" s="1">
        <v>1</v>
      </c>
      <c r="I211" s="1" t="s">
        <v>40</v>
      </c>
      <c r="J211" s="21">
        <v>16000</v>
      </c>
      <c r="K211" s="21">
        <v>30000</v>
      </c>
      <c r="L211" s="21">
        <f t="shared" si="4"/>
        <v>14000</v>
      </c>
      <c r="M211" s="1" t="s">
        <v>27</v>
      </c>
      <c r="N211" s="1" t="s">
        <v>24</v>
      </c>
    </row>
    <row r="212" spans="1:14" x14ac:dyDescent="0.35">
      <c r="A212" s="17">
        <v>45856</v>
      </c>
      <c r="B212" s="1" t="s">
        <v>9</v>
      </c>
      <c r="C212" s="26" t="str">
        <f>VLOOKUP(F212,Clientes!$B$2:$C$179,2,0)</f>
        <v>Cota</v>
      </c>
      <c r="D212" s="1" t="s">
        <v>619</v>
      </c>
      <c r="E212" s="15">
        <f>VLOOKUP(F212,Referencia!$A$15:$B$193,2,0)</f>
        <v>25</v>
      </c>
      <c r="F212" s="1" t="s">
        <v>160</v>
      </c>
      <c r="G212" s="1" t="s">
        <v>533</v>
      </c>
      <c r="H212" s="1">
        <v>1</v>
      </c>
      <c r="I212" s="1" t="s">
        <v>40</v>
      </c>
      <c r="J212" s="21">
        <v>20000</v>
      </c>
      <c r="K212" s="21">
        <v>40000</v>
      </c>
      <c r="L212" s="21">
        <f t="shared" si="4"/>
        <v>20000</v>
      </c>
      <c r="M212" s="1" t="s">
        <v>27</v>
      </c>
      <c r="N212" s="1" t="s">
        <v>24</v>
      </c>
    </row>
    <row r="213" spans="1:14" x14ac:dyDescent="0.35">
      <c r="A213" s="17">
        <v>45856</v>
      </c>
      <c r="B213" s="1" t="s">
        <v>9</v>
      </c>
      <c r="C213" s="26" t="str">
        <f>VLOOKUP(F213,Clientes!$B$2:$C$179,2,0)</f>
        <v>Cota</v>
      </c>
      <c r="D213" s="1" t="s">
        <v>619</v>
      </c>
      <c r="E213" s="15">
        <f>VLOOKUP(F213,Referencia!$A$15:$B$193,2,0)</f>
        <v>25</v>
      </c>
      <c r="F213" s="1" t="s">
        <v>160</v>
      </c>
      <c r="G213" s="1" t="s">
        <v>483</v>
      </c>
      <c r="H213" s="1">
        <v>1</v>
      </c>
      <c r="I213" s="1" t="s">
        <v>22</v>
      </c>
      <c r="J213" s="21">
        <v>20800</v>
      </c>
      <c r="K213" s="21">
        <v>50000</v>
      </c>
      <c r="L213" s="21">
        <f t="shared" si="4"/>
        <v>29200</v>
      </c>
      <c r="M213" s="1" t="s">
        <v>27</v>
      </c>
      <c r="N213" s="1" t="s">
        <v>24</v>
      </c>
    </row>
    <row r="214" spans="1:14" x14ac:dyDescent="0.35">
      <c r="A214" s="17">
        <v>45856</v>
      </c>
      <c r="B214" s="1" t="s">
        <v>9</v>
      </c>
      <c r="C214" s="26" t="str">
        <f>VLOOKUP(F214,Clientes!$B$2:$C$179,2,0)</f>
        <v>Chia</v>
      </c>
      <c r="D214" s="1" t="s">
        <v>619</v>
      </c>
      <c r="E214" s="15">
        <f>VLOOKUP(F214,Referencia!$A$15:$B$193,2,0)</f>
        <v>12</v>
      </c>
      <c r="F214" s="1" t="s">
        <v>141</v>
      </c>
      <c r="G214" s="1" t="s">
        <v>534</v>
      </c>
      <c r="H214" s="1">
        <v>1</v>
      </c>
      <c r="I214" s="1" t="s">
        <v>43</v>
      </c>
      <c r="J214" s="21">
        <v>53780</v>
      </c>
      <c r="K214" s="21">
        <v>100000</v>
      </c>
      <c r="L214" s="21">
        <f t="shared" si="4"/>
        <v>46220</v>
      </c>
      <c r="M214" s="1" t="s">
        <v>27</v>
      </c>
      <c r="N214" s="1" t="s">
        <v>24</v>
      </c>
    </row>
    <row r="215" spans="1:14" x14ac:dyDescent="0.35">
      <c r="A215" s="17">
        <v>45861</v>
      </c>
      <c r="B215" s="1" t="s">
        <v>615</v>
      </c>
      <c r="C215" s="26" t="str">
        <f>VLOOKUP(F215,Clientes!$B$2:$C$179,2,0)</f>
        <v>Tabio</v>
      </c>
      <c r="D215" s="1" t="s">
        <v>619</v>
      </c>
      <c r="E215" s="15">
        <f>VLOOKUP(F215,Referencia!$A$15:$B$193,2,0)</f>
        <v>18</v>
      </c>
      <c r="F215" s="1" t="s">
        <v>535</v>
      </c>
      <c r="G215" s="1" t="s">
        <v>536</v>
      </c>
      <c r="H215" s="1">
        <v>1</v>
      </c>
      <c r="I215" s="1" t="s">
        <v>26</v>
      </c>
      <c r="J215" s="21">
        <v>20111</v>
      </c>
      <c r="K215" s="21">
        <v>38000</v>
      </c>
      <c r="L215" s="21">
        <f t="shared" si="4"/>
        <v>17889</v>
      </c>
      <c r="M215" s="1" t="s">
        <v>27</v>
      </c>
      <c r="N215" s="1" t="s">
        <v>24</v>
      </c>
    </row>
    <row r="216" spans="1:14" x14ac:dyDescent="0.35">
      <c r="A216" s="17">
        <v>45861</v>
      </c>
      <c r="B216" s="1" t="s">
        <v>615</v>
      </c>
      <c r="C216" s="26" t="str">
        <f>VLOOKUP(F216,Clientes!$B$2:$C$179,2,0)</f>
        <v>Tenjo</v>
      </c>
      <c r="D216" s="1" t="s">
        <v>619</v>
      </c>
      <c r="E216" s="15">
        <f>VLOOKUP(F216,Referencia!$A$15:$B$193,2,0)</f>
        <v>6</v>
      </c>
      <c r="F216" s="1" t="s">
        <v>126</v>
      </c>
      <c r="G216" s="1" t="s">
        <v>537</v>
      </c>
      <c r="H216" s="1">
        <v>1</v>
      </c>
      <c r="I216" s="1" t="s">
        <v>59</v>
      </c>
      <c r="J216" s="21">
        <v>90000</v>
      </c>
      <c r="K216" s="21">
        <v>170000</v>
      </c>
      <c r="L216" s="21">
        <f t="shared" si="4"/>
        <v>80000</v>
      </c>
      <c r="M216" s="1" t="s">
        <v>27</v>
      </c>
      <c r="N216" s="1" t="s">
        <v>24</v>
      </c>
    </row>
    <row r="217" spans="1:14" x14ac:dyDescent="0.35">
      <c r="A217" s="17">
        <v>45861</v>
      </c>
      <c r="B217" s="1" t="s">
        <v>615</v>
      </c>
      <c r="C217" s="26" t="str">
        <f>VLOOKUP(F217,Clientes!$B$2:$C$179,2,0)</f>
        <v>Tenjo</v>
      </c>
      <c r="D217" s="1" t="s">
        <v>619</v>
      </c>
      <c r="E217" s="15">
        <f>VLOOKUP(F217,Referencia!$A$15:$B$193,2,0)</f>
        <v>6</v>
      </c>
      <c r="F217" s="1" t="s">
        <v>126</v>
      </c>
      <c r="G217" s="1" t="s">
        <v>532</v>
      </c>
      <c r="H217" s="1">
        <v>1</v>
      </c>
      <c r="I217" s="1" t="s">
        <v>40</v>
      </c>
      <c r="J217" s="21">
        <v>16000</v>
      </c>
      <c r="K217" s="21">
        <v>30000</v>
      </c>
      <c r="L217" s="21">
        <f t="shared" si="4"/>
        <v>14000</v>
      </c>
      <c r="M217" s="1" t="s">
        <v>27</v>
      </c>
      <c r="N217" s="1" t="s">
        <v>24</v>
      </c>
    </row>
    <row r="218" spans="1:14" x14ac:dyDescent="0.35">
      <c r="A218" s="17">
        <v>45861</v>
      </c>
      <c r="B218" s="1" t="s">
        <v>615</v>
      </c>
      <c r="C218" s="26" t="str">
        <f>VLOOKUP(F218,Clientes!$B$2:$C$179,2,0)</f>
        <v>Tenjo</v>
      </c>
      <c r="D218" s="1" t="s">
        <v>619</v>
      </c>
      <c r="E218" s="15">
        <f>VLOOKUP(F218,Referencia!$A$15:$B$193,2,0)</f>
        <v>6</v>
      </c>
      <c r="F218" s="1" t="s">
        <v>126</v>
      </c>
      <c r="G218" s="1" t="s">
        <v>533</v>
      </c>
      <c r="H218" s="1">
        <v>1</v>
      </c>
      <c r="I218" s="1" t="s">
        <v>40</v>
      </c>
      <c r="J218" s="21">
        <v>20000</v>
      </c>
      <c r="K218" s="21">
        <v>40000</v>
      </c>
      <c r="L218" s="21">
        <f t="shared" si="4"/>
        <v>20000</v>
      </c>
      <c r="M218" s="1" t="s">
        <v>27</v>
      </c>
      <c r="N218" s="1" t="s">
        <v>24</v>
      </c>
    </row>
    <row r="219" spans="1:14" x14ac:dyDescent="0.35">
      <c r="A219" s="17">
        <v>45861</v>
      </c>
      <c r="B219" s="1" t="s">
        <v>615</v>
      </c>
      <c r="C219" s="26" t="str">
        <f>VLOOKUP(F219,Clientes!$B$2:$C$179,2,0)</f>
        <v>Tabio</v>
      </c>
      <c r="D219" s="1" t="s">
        <v>619</v>
      </c>
      <c r="E219" s="15">
        <f>VLOOKUP(F219,Referencia!$A$15:$B$193,2,0)</f>
        <v>180</v>
      </c>
      <c r="F219" s="1" t="s">
        <v>463</v>
      </c>
      <c r="G219" s="1" t="s">
        <v>538</v>
      </c>
      <c r="H219" s="1">
        <v>1</v>
      </c>
      <c r="I219" s="1" t="s">
        <v>40</v>
      </c>
      <c r="J219" s="21">
        <v>17000</v>
      </c>
      <c r="K219" s="21">
        <v>35000</v>
      </c>
      <c r="L219" s="21">
        <f t="shared" si="4"/>
        <v>18000</v>
      </c>
      <c r="M219" s="1" t="s">
        <v>27</v>
      </c>
      <c r="N219" s="1" t="s">
        <v>24</v>
      </c>
    </row>
    <row r="220" spans="1:14" x14ac:dyDescent="0.35">
      <c r="A220" s="17">
        <v>45861</v>
      </c>
      <c r="B220" s="1" t="s">
        <v>615</v>
      </c>
      <c r="C220" s="26" t="str">
        <f>VLOOKUP(F220,Clientes!$B$2:$C$179,2,0)</f>
        <v>Tabio</v>
      </c>
      <c r="D220" s="1" t="s">
        <v>619</v>
      </c>
      <c r="E220" s="15">
        <f>VLOOKUP(F220,Referencia!$A$15:$B$193,2,0)</f>
        <v>180</v>
      </c>
      <c r="F220" s="1" t="s">
        <v>463</v>
      </c>
      <c r="G220" s="1" t="s">
        <v>539</v>
      </c>
      <c r="H220" s="1">
        <v>1</v>
      </c>
      <c r="I220" s="1" t="s">
        <v>43</v>
      </c>
      <c r="J220" s="21">
        <v>37800</v>
      </c>
      <c r="K220" s="21">
        <v>75000</v>
      </c>
      <c r="L220" s="21">
        <f t="shared" si="4"/>
        <v>37200</v>
      </c>
      <c r="M220" s="1" t="s">
        <v>27</v>
      </c>
      <c r="N220" s="1" t="s">
        <v>24</v>
      </c>
    </row>
    <row r="221" spans="1:14" x14ac:dyDescent="0.35">
      <c r="A221" s="17">
        <v>45861</v>
      </c>
      <c r="B221" s="1" t="s">
        <v>615</v>
      </c>
      <c r="C221" s="26" t="str">
        <f>VLOOKUP(B221,Referencia!$B$2:$C$12,2,0)</f>
        <v>Tabio</v>
      </c>
      <c r="D221" s="13" t="s">
        <v>617</v>
      </c>
      <c r="E221" s="15" t="str">
        <f>VLOOKUP(F221,Referencia!$A$15:$B$193,2,0)</f>
        <v>R1</v>
      </c>
      <c r="F221" s="1" t="s">
        <v>477</v>
      </c>
      <c r="G221" s="1" t="s">
        <v>628</v>
      </c>
      <c r="H221" s="1">
        <v>1</v>
      </c>
      <c r="I221" s="1" t="s">
        <v>31</v>
      </c>
      <c r="J221" s="21">
        <v>50000</v>
      </c>
      <c r="K221" s="21">
        <v>100000</v>
      </c>
      <c r="L221" s="21">
        <f t="shared" si="4"/>
        <v>50000</v>
      </c>
      <c r="M221" s="1" t="s">
        <v>23</v>
      </c>
      <c r="N221" s="1" t="s">
        <v>24</v>
      </c>
    </row>
    <row r="222" spans="1:14" x14ac:dyDescent="0.35">
      <c r="A222" s="17">
        <v>45861</v>
      </c>
      <c r="B222" s="1" t="s">
        <v>415</v>
      </c>
      <c r="C222" s="26" t="str">
        <f>VLOOKUP(F222,Clientes!$B$2:$C$179,2,0)</f>
        <v>Funza</v>
      </c>
      <c r="D222" s="1" t="s">
        <v>619</v>
      </c>
      <c r="E222" s="15">
        <f>VLOOKUP(F222,Referencia!$A$15:$B$193,2,0)</f>
        <v>67</v>
      </c>
      <c r="F222" s="1" t="s">
        <v>217</v>
      </c>
      <c r="G222" s="1" t="s">
        <v>634</v>
      </c>
      <c r="H222" s="1">
        <v>1</v>
      </c>
      <c r="I222" s="1" t="s">
        <v>59</v>
      </c>
      <c r="J222" s="21">
        <v>110000</v>
      </c>
      <c r="K222" s="21">
        <v>190000</v>
      </c>
      <c r="L222" s="21">
        <f t="shared" si="4"/>
        <v>80000</v>
      </c>
      <c r="M222" s="1" t="s">
        <v>23</v>
      </c>
      <c r="N222" s="1" t="s">
        <v>24</v>
      </c>
    </row>
    <row r="223" spans="1:14" x14ac:dyDescent="0.35">
      <c r="A223" s="17">
        <v>45861</v>
      </c>
      <c r="B223" s="1" t="s">
        <v>415</v>
      </c>
      <c r="C223" s="26" t="str">
        <f>VLOOKUP(F223,Clientes!$B$2:$C$179,2,0)</f>
        <v>Funza</v>
      </c>
      <c r="D223" s="1" t="s">
        <v>619</v>
      </c>
      <c r="E223" s="15">
        <f>VLOOKUP(F223,Referencia!$A$15:$B$193,2,0)</f>
        <v>67</v>
      </c>
      <c r="F223" s="1" t="s">
        <v>217</v>
      </c>
      <c r="G223" s="1" t="s">
        <v>427</v>
      </c>
      <c r="H223" s="1">
        <v>1</v>
      </c>
      <c r="I223" s="1" t="s">
        <v>40</v>
      </c>
      <c r="J223" s="21">
        <v>45000</v>
      </c>
      <c r="K223" s="21">
        <v>90000</v>
      </c>
      <c r="L223" s="21">
        <f t="shared" si="4"/>
        <v>45000</v>
      </c>
      <c r="M223" s="1" t="s">
        <v>23</v>
      </c>
      <c r="N223" s="1" t="s">
        <v>24</v>
      </c>
    </row>
    <row r="224" spans="1:14" x14ac:dyDescent="0.35">
      <c r="A224" s="17">
        <v>45861</v>
      </c>
      <c r="B224" s="1" t="s">
        <v>415</v>
      </c>
      <c r="C224" s="26" t="str">
        <f>VLOOKUP(F224,Clientes!$B$2:$C$179,2,0)</f>
        <v>Funza</v>
      </c>
      <c r="D224" s="1" t="s">
        <v>619</v>
      </c>
      <c r="E224" s="15">
        <f>VLOOKUP(F224,Referencia!$A$15:$B$193,2,0)</f>
        <v>67</v>
      </c>
      <c r="F224" s="1" t="s">
        <v>217</v>
      </c>
      <c r="G224" s="1" t="s">
        <v>540</v>
      </c>
      <c r="H224" s="1">
        <v>1</v>
      </c>
      <c r="I224" s="1" t="s">
        <v>59</v>
      </c>
      <c r="J224" s="21">
        <v>190000</v>
      </c>
      <c r="K224" s="21">
        <v>320000</v>
      </c>
      <c r="L224" s="21">
        <f t="shared" si="4"/>
        <v>130000</v>
      </c>
      <c r="M224" s="1" t="s">
        <v>23</v>
      </c>
      <c r="N224" s="1" t="s">
        <v>24</v>
      </c>
    </row>
    <row r="225" spans="1:14" x14ac:dyDescent="0.35">
      <c r="A225" s="17">
        <v>45861</v>
      </c>
      <c r="B225" s="1" t="s">
        <v>415</v>
      </c>
      <c r="C225" s="26" t="str">
        <f>VLOOKUP(B225,Referencia!$B$2:$C$12,2,0)</f>
        <v>Funza</v>
      </c>
      <c r="D225" s="13" t="s">
        <v>617</v>
      </c>
      <c r="E225" s="15" t="str">
        <f>VLOOKUP(F225,Referencia!$A$15:$B$193,2,0)</f>
        <v>R1</v>
      </c>
      <c r="F225" s="1" t="s">
        <v>477</v>
      </c>
      <c r="G225" s="1" t="s">
        <v>541</v>
      </c>
      <c r="H225" s="1">
        <v>1</v>
      </c>
      <c r="I225" s="1" t="s">
        <v>22</v>
      </c>
      <c r="J225" s="21">
        <v>14050</v>
      </c>
      <c r="K225" s="21">
        <v>20000</v>
      </c>
      <c r="L225" s="21">
        <f t="shared" si="4"/>
        <v>5950</v>
      </c>
      <c r="M225" s="1" t="s">
        <v>23</v>
      </c>
      <c r="N225" s="1" t="s">
        <v>24</v>
      </c>
    </row>
    <row r="226" spans="1:14" x14ac:dyDescent="0.35">
      <c r="A226" s="17">
        <v>45861</v>
      </c>
      <c r="B226" s="1" t="s">
        <v>415</v>
      </c>
      <c r="C226" s="26" t="str">
        <f>VLOOKUP(B226,Referencia!$B$2:$C$12,2,0)</f>
        <v>Funza</v>
      </c>
      <c r="D226" s="13" t="s">
        <v>617</v>
      </c>
      <c r="E226" s="15" t="str">
        <f>VLOOKUP(F226,Referencia!$A$15:$B$193,2,0)</f>
        <v>R1</v>
      </c>
      <c r="F226" s="1" t="s">
        <v>477</v>
      </c>
      <c r="G226" s="1" t="s">
        <v>508</v>
      </c>
      <c r="H226" s="1">
        <v>1</v>
      </c>
      <c r="I226" s="1" t="s">
        <v>32</v>
      </c>
      <c r="J226" s="21">
        <v>11340</v>
      </c>
      <c r="K226" s="21">
        <v>18000</v>
      </c>
      <c r="L226" s="21">
        <f t="shared" si="4"/>
        <v>6660</v>
      </c>
      <c r="M226" s="1" t="s">
        <v>23</v>
      </c>
      <c r="N226" s="1" t="s">
        <v>24</v>
      </c>
    </row>
    <row r="227" spans="1:14" x14ac:dyDescent="0.35">
      <c r="A227" s="17">
        <v>45861</v>
      </c>
      <c r="B227" s="1" t="s">
        <v>415</v>
      </c>
      <c r="C227" s="26" t="str">
        <f>VLOOKUP(B227,Referencia!$B$2:$C$12,2,0)</f>
        <v>Funza</v>
      </c>
      <c r="D227" s="13" t="s">
        <v>617</v>
      </c>
      <c r="E227" s="15" t="str">
        <f>VLOOKUP(F227,Referencia!$A$15:$B$193,2,0)</f>
        <v>R1</v>
      </c>
      <c r="F227" s="1" t="s">
        <v>477</v>
      </c>
      <c r="G227" s="1" t="s">
        <v>542</v>
      </c>
      <c r="H227" s="1">
        <v>1</v>
      </c>
      <c r="I227" s="1" t="s">
        <v>32</v>
      </c>
      <c r="J227" s="21">
        <v>10890</v>
      </c>
      <c r="K227" s="21">
        <v>22000</v>
      </c>
      <c r="L227" s="21">
        <f t="shared" si="4"/>
        <v>11110</v>
      </c>
      <c r="M227" s="1" t="s">
        <v>23</v>
      </c>
      <c r="N227" s="1" t="s">
        <v>24</v>
      </c>
    </row>
    <row r="228" spans="1:14" x14ac:dyDescent="0.35">
      <c r="A228" s="17">
        <v>45862</v>
      </c>
      <c r="B228" s="1" t="s">
        <v>8</v>
      </c>
      <c r="C228" s="26" t="str">
        <f>VLOOKUP(F228,Clientes!$B$2:$C$179,2,0)</f>
        <v>Sopó</v>
      </c>
      <c r="D228" s="1" t="s">
        <v>619</v>
      </c>
      <c r="E228" s="15">
        <f>VLOOKUP(F228,Referencia!$A$15:$B$193,2,0)</f>
        <v>4</v>
      </c>
      <c r="F228" s="1" t="s">
        <v>118</v>
      </c>
      <c r="G228" s="1" t="s">
        <v>543</v>
      </c>
      <c r="H228" s="1">
        <v>1</v>
      </c>
      <c r="I228" s="1" t="s">
        <v>26</v>
      </c>
      <c r="J228" s="21">
        <v>237500</v>
      </c>
      <c r="K228" s="21">
        <v>420000</v>
      </c>
      <c r="L228" s="21">
        <f t="shared" si="4"/>
        <v>182500</v>
      </c>
      <c r="M228" s="1" t="s">
        <v>27</v>
      </c>
      <c r="N228" s="1" t="s">
        <v>24</v>
      </c>
    </row>
    <row r="229" spans="1:14" x14ac:dyDescent="0.35">
      <c r="A229" s="17">
        <v>45862</v>
      </c>
      <c r="B229" s="1" t="s">
        <v>8</v>
      </c>
      <c r="C229" s="26" t="str">
        <f>VLOOKUP(F229,Clientes!$B$2:$C$179,2,0)</f>
        <v>Sopó</v>
      </c>
      <c r="D229" s="1" t="s">
        <v>619</v>
      </c>
      <c r="E229" s="15">
        <f>VLOOKUP(F229,Referencia!$A$15:$B$193,2,0)</f>
        <v>4</v>
      </c>
      <c r="F229" s="1" t="s">
        <v>118</v>
      </c>
      <c r="G229" s="1" t="s">
        <v>544</v>
      </c>
      <c r="H229" s="1">
        <v>1</v>
      </c>
      <c r="I229" s="1" t="s">
        <v>40</v>
      </c>
      <c r="J229" s="21">
        <v>2000</v>
      </c>
      <c r="K229" s="21">
        <v>10000</v>
      </c>
      <c r="L229" s="21">
        <f t="shared" si="4"/>
        <v>8000</v>
      </c>
      <c r="M229" s="1" t="s">
        <v>27</v>
      </c>
      <c r="N229" s="1" t="s">
        <v>24</v>
      </c>
    </row>
    <row r="230" spans="1:14" x14ac:dyDescent="0.35">
      <c r="A230" s="17">
        <v>45862</v>
      </c>
      <c r="B230" s="1" t="s">
        <v>8</v>
      </c>
      <c r="C230" s="26" t="str">
        <f>VLOOKUP(F230,Clientes!$B$2:$C$179,2,0)</f>
        <v>Sopó</v>
      </c>
      <c r="D230" s="1" t="s">
        <v>619</v>
      </c>
      <c r="E230" s="15">
        <f>VLOOKUP(F230,Referencia!$A$15:$B$193,2,0)</f>
        <v>4</v>
      </c>
      <c r="F230" s="1" t="s">
        <v>118</v>
      </c>
      <c r="G230" s="1" t="s">
        <v>545</v>
      </c>
      <c r="H230" s="1">
        <v>1</v>
      </c>
      <c r="I230" s="1" t="s">
        <v>40</v>
      </c>
      <c r="J230" s="21">
        <v>18000</v>
      </c>
      <c r="K230" s="21">
        <v>25000</v>
      </c>
      <c r="L230" s="21">
        <f t="shared" si="4"/>
        <v>7000</v>
      </c>
      <c r="M230" s="1" t="s">
        <v>27</v>
      </c>
      <c r="N230" s="1" t="s">
        <v>24</v>
      </c>
    </row>
    <row r="231" spans="1:14" x14ac:dyDescent="0.35">
      <c r="A231" s="17">
        <v>45862</v>
      </c>
      <c r="B231" s="1" t="s">
        <v>8</v>
      </c>
      <c r="C231" s="26" t="str">
        <f>VLOOKUP(F231,Clientes!$B$2:$C$179,2,0)</f>
        <v>Sopó</v>
      </c>
      <c r="D231" s="1" t="s">
        <v>619</v>
      </c>
      <c r="E231" s="15">
        <f>VLOOKUP(F231,Referencia!$A$15:$B$193,2,0)</f>
        <v>4</v>
      </c>
      <c r="F231" s="1" t="s">
        <v>118</v>
      </c>
      <c r="G231" s="1" t="s">
        <v>546</v>
      </c>
      <c r="H231" s="1">
        <v>1</v>
      </c>
      <c r="I231" s="1" t="s">
        <v>26</v>
      </c>
      <c r="J231" s="21">
        <v>11050</v>
      </c>
      <c r="K231" s="21">
        <v>20000</v>
      </c>
      <c r="L231" s="21">
        <f t="shared" si="4"/>
        <v>8950</v>
      </c>
      <c r="M231" s="1" t="s">
        <v>27</v>
      </c>
      <c r="N231" s="1" t="s">
        <v>24</v>
      </c>
    </row>
    <row r="232" spans="1:14" x14ac:dyDescent="0.35">
      <c r="A232" s="17">
        <v>45862</v>
      </c>
      <c r="B232" s="1" t="s">
        <v>8</v>
      </c>
      <c r="C232" s="26" t="str">
        <f>VLOOKUP(F232,Clientes!$B$2:$C$179,2,0)</f>
        <v>Sopó</v>
      </c>
      <c r="D232" s="1" t="s">
        <v>619</v>
      </c>
      <c r="E232" s="15">
        <f>VLOOKUP(F232,Referencia!$A$15:$B$193,2,0)</f>
        <v>4</v>
      </c>
      <c r="F232" s="1" t="s">
        <v>118</v>
      </c>
      <c r="G232" s="1" t="s">
        <v>547</v>
      </c>
      <c r="H232" s="1">
        <v>1</v>
      </c>
      <c r="I232" s="5" t="s">
        <v>430</v>
      </c>
      <c r="J232" s="21">
        <v>5000</v>
      </c>
      <c r="K232" s="21">
        <v>10000</v>
      </c>
      <c r="L232" s="21">
        <f t="shared" si="4"/>
        <v>5000</v>
      </c>
      <c r="M232" s="1" t="s">
        <v>27</v>
      </c>
      <c r="N232" s="1" t="s">
        <v>24</v>
      </c>
    </row>
    <row r="233" spans="1:14" x14ac:dyDescent="0.35">
      <c r="A233" s="17">
        <v>45862</v>
      </c>
      <c r="B233" s="1" t="s">
        <v>8</v>
      </c>
      <c r="C233" s="26" t="str">
        <f>VLOOKUP(F233,Clientes!$B$2:$C$179,2,0)</f>
        <v>Sopó</v>
      </c>
      <c r="D233" s="1" t="s">
        <v>619</v>
      </c>
      <c r="E233" s="15">
        <f>VLOOKUP(F233,Referencia!$A$15:$B$193,2,0)</f>
        <v>4</v>
      </c>
      <c r="F233" s="1" t="s">
        <v>118</v>
      </c>
      <c r="G233" s="1" t="s">
        <v>548</v>
      </c>
      <c r="H233" s="1">
        <v>1</v>
      </c>
      <c r="I233" s="5" t="s">
        <v>430</v>
      </c>
      <c r="J233" s="21">
        <v>6500</v>
      </c>
      <c r="K233" s="21">
        <v>11111</v>
      </c>
      <c r="L233" s="21">
        <f t="shared" si="4"/>
        <v>4611</v>
      </c>
      <c r="M233" s="1" t="s">
        <v>27</v>
      </c>
      <c r="N233" s="1" t="s">
        <v>24</v>
      </c>
    </row>
    <row r="234" spans="1:14" x14ac:dyDescent="0.35">
      <c r="A234" s="17">
        <v>45862</v>
      </c>
      <c r="B234" s="1" t="s">
        <v>8</v>
      </c>
      <c r="C234" s="26" t="str">
        <f>VLOOKUP(F234,Clientes!$B$2:$C$179,2,0)</f>
        <v>Sopó</v>
      </c>
      <c r="D234" s="1" t="s">
        <v>619</v>
      </c>
      <c r="E234" s="15">
        <f>VLOOKUP(F234,Referencia!$A$15:$B$193,2,0)</f>
        <v>4</v>
      </c>
      <c r="F234" s="1" t="s">
        <v>118</v>
      </c>
      <c r="G234" s="1" t="s">
        <v>549</v>
      </c>
      <c r="H234" s="1">
        <v>1</v>
      </c>
      <c r="I234" s="1" t="s">
        <v>59</v>
      </c>
      <c r="J234" s="21">
        <v>32000</v>
      </c>
      <c r="K234" s="21">
        <v>90000</v>
      </c>
      <c r="L234" s="21">
        <f t="shared" si="4"/>
        <v>58000</v>
      </c>
      <c r="M234" s="1" t="s">
        <v>27</v>
      </c>
      <c r="N234" s="1" t="s">
        <v>24</v>
      </c>
    </row>
    <row r="235" spans="1:14" x14ac:dyDescent="0.35">
      <c r="A235" s="17">
        <v>45862</v>
      </c>
      <c r="B235" s="1" t="s">
        <v>8</v>
      </c>
      <c r="C235" s="26" t="str">
        <f>VLOOKUP(F235,Clientes!$B$2:$C$179,2,0)</f>
        <v>Sopó</v>
      </c>
      <c r="D235" s="1" t="s">
        <v>619</v>
      </c>
      <c r="E235" s="15">
        <f>VLOOKUP(F235,Referencia!$A$15:$B$193,2,0)</f>
        <v>4</v>
      </c>
      <c r="F235" s="1" t="s">
        <v>118</v>
      </c>
      <c r="G235" s="1" t="s">
        <v>550</v>
      </c>
      <c r="H235" s="1">
        <v>1</v>
      </c>
      <c r="I235" s="1" t="s">
        <v>22</v>
      </c>
      <c r="J235" s="21">
        <v>4641</v>
      </c>
      <c r="K235" s="21">
        <v>8000</v>
      </c>
      <c r="L235" s="21">
        <f t="shared" si="4"/>
        <v>3359</v>
      </c>
      <c r="M235" s="1" t="s">
        <v>27</v>
      </c>
      <c r="N235" s="1" t="s">
        <v>24</v>
      </c>
    </row>
    <row r="236" spans="1:14" x14ac:dyDescent="0.35">
      <c r="A236" s="17">
        <v>45862</v>
      </c>
      <c r="B236" s="1" t="s">
        <v>8</v>
      </c>
      <c r="C236" s="26" t="str">
        <f>VLOOKUP(F236,Clientes!$B$2:$C$179,2,0)</f>
        <v>Sopó</v>
      </c>
      <c r="D236" s="1" t="s">
        <v>619</v>
      </c>
      <c r="E236" s="15">
        <f>VLOOKUP(F236,Referencia!$A$15:$B$193,2,0)</f>
        <v>4</v>
      </c>
      <c r="F236" s="1" t="s">
        <v>118</v>
      </c>
      <c r="G236" s="1" t="s">
        <v>70</v>
      </c>
      <c r="H236" s="1">
        <v>1</v>
      </c>
      <c r="I236" s="1" t="s">
        <v>22</v>
      </c>
      <c r="J236" s="21">
        <v>4165</v>
      </c>
      <c r="K236" s="21">
        <v>7000</v>
      </c>
      <c r="L236" s="21">
        <f t="shared" si="4"/>
        <v>2835</v>
      </c>
      <c r="M236" s="1" t="s">
        <v>27</v>
      </c>
      <c r="N236" s="1" t="s">
        <v>24</v>
      </c>
    </row>
    <row r="237" spans="1:14" x14ac:dyDescent="0.35">
      <c r="A237" s="17">
        <v>45862</v>
      </c>
      <c r="B237" s="1" t="s">
        <v>8</v>
      </c>
      <c r="C237" s="26" t="str">
        <f>VLOOKUP(F237,Clientes!$B$2:$C$179,2,0)</f>
        <v>Sopó</v>
      </c>
      <c r="D237" s="1" t="s">
        <v>619</v>
      </c>
      <c r="E237" s="15">
        <f>VLOOKUP(F237,Referencia!$A$15:$B$193,2,0)</f>
        <v>4</v>
      </c>
      <c r="F237" s="1" t="s">
        <v>118</v>
      </c>
      <c r="G237" s="1" t="s">
        <v>69</v>
      </c>
      <c r="H237" s="1">
        <v>1</v>
      </c>
      <c r="I237" s="1" t="s">
        <v>40</v>
      </c>
      <c r="J237" s="21">
        <v>4700</v>
      </c>
      <c r="K237" s="21">
        <v>8000</v>
      </c>
      <c r="L237" s="21">
        <f t="shared" si="4"/>
        <v>3300</v>
      </c>
      <c r="M237" s="1" t="s">
        <v>27</v>
      </c>
      <c r="N237" s="1" t="s">
        <v>24</v>
      </c>
    </row>
    <row r="238" spans="1:14" x14ac:dyDescent="0.35">
      <c r="A238" s="17">
        <v>45862</v>
      </c>
      <c r="B238" s="1" t="s">
        <v>8</v>
      </c>
      <c r="C238" s="26" t="str">
        <f>VLOOKUP(F238,Clientes!$B$2:$C$179,2,0)</f>
        <v>Tocancipá</v>
      </c>
      <c r="D238" s="1" t="s">
        <v>619</v>
      </c>
      <c r="E238" s="15">
        <f>VLOOKUP(F238,Referencia!$A$15:$B$193,2,0)</f>
        <v>179</v>
      </c>
      <c r="F238" s="1" t="s">
        <v>518</v>
      </c>
      <c r="G238" s="1" t="s">
        <v>551</v>
      </c>
      <c r="H238" s="1">
        <v>1</v>
      </c>
      <c r="I238" s="1" t="s">
        <v>40</v>
      </c>
      <c r="J238" s="21">
        <v>90000</v>
      </c>
      <c r="K238" s="21">
        <v>180000</v>
      </c>
      <c r="L238" s="21">
        <f t="shared" si="4"/>
        <v>90000</v>
      </c>
      <c r="M238" s="1" t="s">
        <v>27</v>
      </c>
      <c r="N238" s="1" t="s">
        <v>24</v>
      </c>
    </row>
    <row r="239" spans="1:14" x14ac:dyDescent="0.35">
      <c r="A239" s="17">
        <v>45862</v>
      </c>
      <c r="B239" s="1" t="s">
        <v>8</v>
      </c>
      <c r="C239" s="26" t="str">
        <f>VLOOKUP(B239,Referencia!$B$2:$C$12,2,0)</f>
        <v>Sopó</v>
      </c>
      <c r="D239" s="13" t="s">
        <v>617</v>
      </c>
      <c r="E239" s="15" t="str">
        <f>VLOOKUP(F239,Referencia!$A$15:$B$193,2,0)</f>
        <v>R1</v>
      </c>
      <c r="F239" s="1" t="s">
        <v>477</v>
      </c>
      <c r="G239" s="1" t="s">
        <v>552</v>
      </c>
      <c r="H239" s="1">
        <v>1</v>
      </c>
      <c r="I239" s="1" t="s">
        <v>22</v>
      </c>
      <c r="J239" s="21">
        <v>3451</v>
      </c>
      <c r="K239" s="21">
        <v>7000</v>
      </c>
      <c r="L239" s="21">
        <f t="shared" si="4"/>
        <v>3549</v>
      </c>
      <c r="M239" s="1" t="s">
        <v>23</v>
      </c>
      <c r="N239" s="1" t="s">
        <v>24</v>
      </c>
    </row>
    <row r="240" spans="1:14" x14ac:dyDescent="0.35">
      <c r="A240" s="17">
        <v>45862</v>
      </c>
      <c r="B240" s="1" t="s">
        <v>8</v>
      </c>
      <c r="C240" s="26" t="str">
        <f>VLOOKUP(F240,Clientes!$B$2:$C$179,2,0)</f>
        <v>Tocancipá</v>
      </c>
      <c r="D240" s="1" t="s">
        <v>619</v>
      </c>
      <c r="E240" s="15">
        <f>VLOOKUP(F240,Referencia!$A$15:$B$193,2,0)</f>
        <v>29</v>
      </c>
      <c r="F240" s="1" t="s">
        <v>441</v>
      </c>
      <c r="G240" s="1" t="s">
        <v>483</v>
      </c>
      <c r="H240" s="1">
        <v>1</v>
      </c>
      <c r="I240" s="1" t="s">
        <v>22</v>
      </c>
      <c r="J240" s="21">
        <v>20800</v>
      </c>
      <c r="K240" s="21">
        <v>45000</v>
      </c>
      <c r="L240" s="21">
        <f t="shared" si="4"/>
        <v>24200</v>
      </c>
      <c r="M240" s="1" t="s">
        <v>23</v>
      </c>
      <c r="N240" s="1" t="s">
        <v>24</v>
      </c>
    </row>
    <row r="241" spans="1:14" x14ac:dyDescent="0.35">
      <c r="A241" s="17">
        <v>45862</v>
      </c>
      <c r="B241" s="1" t="s">
        <v>8</v>
      </c>
      <c r="C241" s="26" t="str">
        <f>VLOOKUP(F241,Clientes!$B$2:$C$179,2,0)</f>
        <v>Tocancipá</v>
      </c>
      <c r="D241" s="1" t="s">
        <v>619</v>
      </c>
      <c r="E241" s="15">
        <f>VLOOKUP(F241,Referencia!$A$15:$B$193,2,0)</f>
        <v>29</v>
      </c>
      <c r="F241" s="1" t="s">
        <v>441</v>
      </c>
      <c r="G241" s="1" t="s">
        <v>542</v>
      </c>
      <c r="H241" s="1">
        <v>1</v>
      </c>
      <c r="I241" s="1" t="s">
        <v>32</v>
      </c>
      <c r="J241" s="21">
        <v>10890</v>
      </c>
      <c r="K241" s="21">
        <v>22000</v>
      </c>
      <c r="L241" s="21">
        <f t="shared" si="4"/>
        <v>11110</v>
      </c>
      <c r="M241" s="1" t="s">
        <v>27</v>
      </c>
      <c r="N241" s="1" t="s">
        <v>24</v>
      </c>
    </row>
    <row r="242" spans="1:14" x14ac:dyDescent="0.35">
      <c r="A242" s="17">
        <v>45862</v>
      </c>
      <c r="B242" s="1" t="s">
        <v>8</v>
      </c>
      <c r="C242" s="26" t="str">
        <f>VLOOKUP(F242,Clientes!$B$2:$C$179,2,0)</f>
        <v>Tocancipá</v>
      </c>
      <c r="D242" s="1" t="s">
        <v>619</v>
      </c>
      <c r="E242" s="15">
        <f>VLOOKUP(F242,Referencia!$A$15:$B$193,2,0)</f>
        <v>29</v>
      </c>
      <c r="F242" s="1" t="s">
        <v>441</v>
      </c>
      <c r="G242" s="1" t="s">
        <v>508</v>
      </c>
      <c r="H242" s="1">
        <v>1</v>
      </c>
      <c r="I242" s="1" t="s">
        <v>32</v>
      </c>
      <c r="J242" s="21">
        <v>11340</v>
      </c>
      <c r="K242" s="21">
        <v>18000</v>
      </c>
      <c r="L242" s="21">
        <f t="shared" si="4"/>
        <v>6660</v>
      </c>
      <c r="M242" s="1" t="s">
        <v>27</v>
      </c>
      <c r="N242" s="1" t="s">
        <v>24</v>
      </c>
    </row>
    <row r="243" spans="1:14" x14ac:dyDescent="0.35">
      <c r="A243" s="17">
        <v>45862</v>
      </c>
      <c r="B243" s="1" t="s">
        <v>9</v>
      </c>
      <c r="C243" s="26" t="str">
        <f>VLOOKUP(F243,Clientes!$B$2:$C$179,2,0)</f>
        <v>Chia</v>
      </c>
      <c r="D243" s="1" t="s">
        <v>619</v>
      </c>
      <c r="E243" s="15">
        <f>VLOOKUP(F243,Referencia!$A$15:$B$193,2,0)</f>
        <v>5</v>
      </c>
      <c r="F243" s="1" t="s">
        <v>121</v>
      </c>
      <c r="G243" s="1" t="s">
        <v>553</v>
      </c>
      <c r="H243" s="1">
        <v>1</v>
      </c>
      <c r="I243" s="1" t="s">
        <v>22</v>
      </c>
      <c r="J243" s="21">
        <v>36076</v>
      </c>
      <c r="K243" s="21">
        <v>60000</v>
      </c>
      <c r="L243" s="21">
        <f t="shared" si="4"/>
        <v>23924</v>
      </c>
      <c r="M243" s="1" t="s">
        <v>27</v>
      </c>
      <c r="N243" s="1" t="s">
        <v>24</v>
      </c>
    </row>
    <row r="244" spans="1:14" x14ac:dyDescent="0.35">
      <c r="A244" s="17">
        <v>45863</v>
      </c>
      <c r="B244" s="1" t="s">
        <v>9</v>
      </c>
      <c r="C244" s="26" t="str">
        <f>VLOOKUP(F244,Clientes!$B$2:$C$179,2,0)</f>
        <v>Chia</v>
      </c>
      <c r="D244" s="1" t="s">
        <v>619</v>
      </c>
      <c r="E244" s="15">
        <f>VLOOKUP(F244,Referencia!$A$15:$B$193,2,0)</f>
        <v>8</v>
      </c>
      <c r="F244" s="1" t="s">
        <v>511</v>
      </c>
      <c r="G244" s="1" t="s">
        <v>554</v>
      </c>
      <c r="H244" s="1">
        <v>1</v>
      </c>
      <c r="I244" s="1" t="s">
        <v>35</v>
      </c>
      <c r="J244" s="21">
        <v>202000</v>
      </c>
      <c r="K244" s="21">
        <v>260000</v>
      </c>
      <c r="L244" s="21">
        <f t="shared" si="4"/>
        <v>58000</v>
      </c>
      <c r="M244" s="1" t="s">
        <v>27</v>
      </c>
      <c r="N244" s="1" t="s">
        <v>24</v>
      </c>
    </row>
    <row r="245" spans="1:14" x14ac:dyDescent="0.35">
      <c r="A245" s="17">
        <v>45863</v>
      </c>
      <c r="B245" s="1" t="s">
        <v>9</v>
      </c>
      <c r="C245" s="26" t="str">
        <f>VLOOKUP(F245,Clientes!$B$2:$C$179,2,0)</f>
        <v>Chia</v>
      </c>
      <c r="D245" s="1" t="s">
        <v>619</v>
      </c>
      <c r="E245" s="15">
        <f>VLOOKUP(F245,Referencia!$A$15:$B$193,2,0)</f>
        <v>15</v>
      </c>
      <c r="F245" s="1" t="s">
        <v>96</v>
      </c>
      <c r="G245" s="1" t="s">
        <v>554</v>
      </c>
      <c r="H245" s="1">
        <v>1</v>
      </c>
      <c r="I245" s="1" t="s">
        <v>35</v>
      </c>
      <c r="J245" s="21">
        <v>202000</v>
      </c>
      <c r="K245" s="21">
        <v>260000</v>
      </c>
      <c r="L245" s="21">
        <f t="shared" ref="L245:L272" si="5">K245-J245</f>
        <v>58000</v>
      </c>
      <c r="M245" s="1" t="s">
        <v>27</v>
      </c>
      <c r="N245" s="1" t="s">
        <v>24</v>
      </c>
    </row>
    <row r="246" spans="1:14" x14ac:dyDescent="0.35">
      <c r="A246" s="17">
        <v>45863</v>
      </c>
      <c r="B246" s="1" t="s">
        <v>9</v>
      </c>
      <c r="C246" s="26" t="str">
        <f>VLOOKUP(B246,Referencia!$B$2:$C$12,2,0)</f>
        <v>Chia</v>
      </c>
      <c r="D246" s="1" t="s">
        <v>619</v>
      </c>
      <c r="E246" s="15" t="str">
        <f>VLOOKUP(F246,Referencia!$A$15:$B$193,2,0)</f>
        <v>R1</v>
      </c>
      <c r="F246" s="1" t="s">
        <v>477</v>
      </c>
      <c r="G246" s="1" t="s">
        <v>627</v>
      </c>
      <c r="H246" s="1">
        <v>2</v>
      </c>
      <c r="I246" s="1" t="s">
        <v>31</v>
      </c>
      <c r="J246" s="21">
        <f>16000*2</f>
        <v>32000</v>
      </c>
      <c r="K246" s="21">
        <v>70000</v>
      </c>
      <c r="L246" s="21">
        <f t="shared" si="5"/>
        <v>38000</v>
      </c>
      <c r="M246" s="1" t="s">
        <v>27</v>
      </c>
      <c r="N246" s="1" t="s">
        <v>24</v>
      </c>
    </row>
    <row r="247" spans="1:14" x14ac:dyDescent="0.35">
      <c r="A247" s="17">
        <v>45863</v>
      </c>
      <c r="B247" s="1" t="s">
        <v>9</v>
      </c>
      <c r="C247" s="26" t="str">
        <f>VLOOKUP(B247,Referencia!$B$2:$C$12,2,0)</f>
        <v>Chia</v>
      </c>
      <c r="D247" s="13" t="s">
        <v>617</v>
      </c>
      <c r="E247" s="15" t="str">
        <f>VLOOKUP(F247,Referencia!$A$15:$B$193,2,0)</f>
        <v>R1</v>
      </c>
      <c r="F247" s="6" t="s">
        <v>477</v>
      </c>
      <c r="G247" s="1" t="s">
        <v>70</v>
      </c>
      <c r="H247" s="1">
        <v>1</v>
      </c>
      <c r="I247" s="1" t="s">
        <v>22</v>
      </c>
      <c r="J247" s="21">
        <v>4150</v>
      </c>
      <c r="K247" s="21">
        <v>8000</v>
      </c>
      <c r="L247" s="21">
        <f t="shared" si="5"/>
        <v>3850</v>
      </c>
      <c r="M247" s="1" t="s">
        <v>23</v>
      </c>
      <c r="N247" s="1" t="s">
        <v>24</v>
      </c>
    </row>
    <row r="248" spans="1:14" x14ac:dyDescent="0.35">
      <c r="A248" s="17">
        <v>45863</v>
      </c>
      <c r="B248" s="1" t="s">
        <v>9</v>
      </c>
      <c r="C248" s="26" t="str">
        <f>VLOOKUP(F248,Clientes!$B$2:$C$179,2,0)</f>
        <v>Chia</v>
      </c>
      <c r="D248" s="1" t="s">
        <v>619</v>
      </c>
      <c r="E248" s="15">
        <f>VLOOKUP(F248,Referencia!$A$15:$B$193,2,0)</f>
        <v>16</v>
      </c>
      <c r="F248" s="1" t="s">
        <v>79</v>
      </c>
      <c r="G248" s="1" t="s">
        <v>513</v>
      </c>
      <c r="H248" s="1">
        <v>1</v>
      </c>
      <c r="I248" s="1" t="s">
        <v>59</v>
      </c>
      <c r="J248" s="21">
        <v>32000</v>
      </c>
      <c r="K248" s="21">
        <v>90000</v>
      </c>
      <c r="L248" s="21">
        <f t="shared" si="5"/>
        <v>58000</v>
      </c>
      <c r="M248" s="1" t="s">
        <v>27</v>
      </c>
      <c r="N248" s="1" t="s">
        <v>24</v>
      </c>
    </row>
    <row r="249" spans="1:14" x14ac:dyDescent="0.35">
      <c r="A249" s="17">
        <v>45863</v>
      </c>
      <c r="B249" s="1" t="s">
        <v>415</v>
      </c>
      <c r="C249" s="26" t="str">
        <f>VLOOKUP(F249,Clientes!$B$2:$C$179,2,0)</f>
        <v>Funza</v>
      </c>
      <c r="D249" s="1" t="s">
        <v>619</v>
      </c>
      <c r="E249" s="15">
        <f>VLOOKUP(F249,Referencia!$A$15:$B$193,2,0)</f>
        <v>19</v>
      </c>
      <c r="F249" s="1" t="s">
        <v>154</v>
      </c>
      <c r="G249" s="1" t="s">
        <v>555</v>
      </c>
      <c r="H249" s="1">
        <v>1</v>
      </c>
      <c r="I249" s="1" t="s">
        <v>22</v>
      </c>
      <c r="J249" s="21">
        <v>21300</v>
      </c>
      <c r="K249" s="21">
        <v>35000</v>
      </c>
      <c r="L249" s="21">
        <f t="shared" si="5"/>
        <v>13700</v>
      </c>
      <c r="M249" s="1" t="s">
        <v>27</v>
      </c>
      <c r="N249" s="1" t="s">
        <v>24</v>
      </c>
    </row>
    <row r="250" spans="1:14" x14ac:dyDescent="0.35">
      <c r="A250" s="17">
        <v>45863</v>
      </c>
      <c r="B250" s="1" t="s">
        <v>415</v>
      </c>
      <c r="C250" s="26" t="str">
        <f>VLOOKUP(F250,Clientes!$B$2:$C$179,2,0)</f>
        <v>Funza</v>
      </c>
      <c r="D250" s="1" t="s">
        <v>619</v>
      </c>
      <c r="E250" s="15">
        <f>VLOOKUP(F250,Referencia!$A$15:$B$193,2,0)</f>
        <v>19</v>
      </c>
      <c r="F250" s="1" t="s">
        <v>154</v>
      </c>
      <c r="G250" s="1" t="s">
        <v>556</v>
      </c>
      <c r="H250" s="1">
        <v>1</v>
      </c>
      <c r="I250" s="1" t="s">
        <v>22</v>
      </c>
      <c r="J250" s="21">
        <v>10000</v>
      </c>
      <c r="K250" s="21">
        <v>20000</v>
      </c>
      <c r="L250" s="21">
        <f t="shared" si="5"/>
        <v>10000</v>
      </c>
      <c r="M250" s="1" t="s">
        <v>27</v>
      </c>
      <c r="N250" s="1" t="s">
        <v>24</v>
      </c>
    </row>
    <row r="251" spans="1:14" x14ac:dyDescent="0.35">
      <c r="A251" s="17">
        <v>45863</v>
      </c>
      <c r="B251" s="1" t="s">
        <v>415</v>
      </c>
      <c r="C251" s="26" t="str">
        <f>VLOOKUP(F251,Clientes!$B$2:$C$179,2,0)</f>
        <v>Funza</v>
      </c>
      <c r="D251" s="1" t="s">
        <v>619</v>
      </c>
      <c r="E251" s="15">
        <f>VLOOKUP(F251,Referencia!$A$15:$B$193,2,0)</f>
        <v>19</v>
      </c>
      <c r="F251" s="1" t="s">
        <v>154</v>
      </c>
      <c r="G251" s="1" t="s">
        <v>579</v>
      </c>
      <c r="H251" s="1">
        <v>1</v>
      </c>
      <c r="I251" s="1" t="s">
        <v>22</v>
      </c>
      <c r="J251" s="21">
        <v>33260</v>
      </c>
      <c r="K251" s="21">
        <v>60000</v>
      </c>
      <c r="L251" s="21">
        <f t="shared" si="5"/>
        <v>26740</v>
      </c>
      <c r="M251" s="1" t="s">
        <v>27</v>
      </c>
      <c r="N251" s="1" t="s">
        <v>24</v>
      </c>
    </row>
    <row r="252" spans="1:14" x14ac:dyDescent="0.35">
      <c r="A252" s="17">
        <v>45863</v>
      </c>
      <c r="B252" s="1" t="s">
        <v>415</v>
      </c>
      <c r="C252" s="26" t="str">
        <f>VLOOKUP(F252,Clientes!$B$2:$C$179,2,0)</f>
        <v>Funza</v>
      </c>
      <c r="D252" s="1" t="s">
        <v>619</v>
      </c>
      <c r="E252" s="15">
        <f>VLOOKUP(F252,Referencia!$A$15:$B$193,2,0)</f>
        <v>19</v>
      </c>
      <c r="F252" s="1" t="s">
        <v>154</v>
      </c>
      <c r="G252" s="1" t="s">
        <v>557</v>
      </c>
      <c r="H252" s="1">
        <v>1</v>
      </c>
      <c r="I252" s="1" t="s">
        <v>22</v>
      </c>
      <c r="J252" s="21">
        <v>33000</v>
      </c>
      <c r="K252" s="21">
        <v>75000</v>
      </c>
      <c r="L252" s="21">
        <f t="shared" si="5"/>
        <v>42000</v>
      </c>
      <c r="M252" s="1" t="s">
        <v>27</v>
      </c>
      <c r="N252" s="1" t="s">
        <v>24</v>
      </c>
    </row>
    <row r="253" spans="1:14" x14ac:dyDescent="0.35">
      <c r="A253" s="17">
        <v>45868</v>
      </c>
      <c r="B253" s="1" t="s">
        <v>615</v>
      </c>
      <c r="C253" s="26" t="str">
        <f>VLOOKUP(F253,Clientes!$B$2:$C$179,2,0)</f>
        <v>Tenjo</v>
      </c>
      <c r="D253" s="1" t="s">
        <v>619</v>
      </c>
      <c r="E253" s="15">
        <f>VLOOKUP(F253,Referencia!$A$15:$B$193,2,0)</f>
        <v>178</v>
      </c>
      <c r="F253" s="1" t="s">
        <v>424</v>
      </c>
      <c r="G253" s="1" t="s">
        <v>558</v>
      </c>
      <c r="H253" s="1">
        <v>1</v>
      </c>
      <c r="I253" s="1" t="s">
        <v>26</v>
      </c>
      <c r="J253" s="21">
        <v>53800</v>
      </c>
      <c r="K253" s="21">
        <v>75000</v>
      </c>
      <c r="L253" s="21">
        <f t="shared" si="5"/>
        <v>21200</v>
      </c>
      <c r="M253" s="1" t="s">
        <v>23</v>
      </c>
      <c r="N253" s="1" t="s">
        <v>24</v>
      </c>
    </row>
    <row r="254" spans="1:14" x14ac:dyDescent="0.35">
      <c r="A254" s="17">
        <v>45868</v>
      </c>
      <c r="B254" s="1" t="s">
        <v>615</v>
      </c>
      <c r="C254" s="26" t="str">
        <f>VLOOKUP(F254,Clientes!$B$2:$C$179,2,0)</f>
        <v>Tenjo</v>
      </c>
      <c r="D254" s="1" t="s">
        <v>619</v>
      </c>
      <c r="E254" s="15">
        <f>VLOOKUP(F254,Referencia!$A$15:$B$193,2,0)</f>
        <v>37</v>
      </c>
      <c r="F254" s="1" t="s">
        <v>61</v>
      </c>
      <c r="G254" s="1" t="s">
        <v>505</v>
      </c>
      <c r="H254" s="1">
        <v>1</v>
      </c>
      <c r="I254" s="1" t="s">
        <v>22</v>
      </c>
      <c r="J254" s="21">
        <v>29600</v>
      </c>
      <c r="K254" s="21">
        <v>65000</v>
      </c>
      <c r="L254" s="21">
        <f t="shared" si="5"/>
        <v>35400</v>
      </c>
      <c r="M254" s="1" t="s">
        <v>23</v>
      </c>
      <c r="N254" s="1" t="s">
        <v>24</v>
      </c>
    </row>
    <row r="255" spans="1:14" x14ac:dyDescent="0.35">
      <c r="A255" s="17">
        <v>45868</v>
      </c>
      <c r="B255" s="1" t="s">
        <v>615</v>
      </c>
      <c r="C255" s="26" t="str">
        <f>VLOOKUP(F255,Clientes!$B$2:$C$179,2,0)</f>
        <v>Tabio</v>
      </c>
      <c r="D255" s="1" t="s">
        <v>619</v>
      </c>
      <c r="E255" s="15">
        <f>VLOOKUP(F255,Referencia!$A$15:$B$193,2,0)</f>
        <v>23</v>
      </c>
      <c r="F255" s="1" t="s">
        <v>480</v>
      </c>
      <c r="G255" s="1" t="s">
        <v>627</v>
      </c>
      <c r="H255" s="1">
        <v>1</v>
      </c>
      <c r="I255" s="5" t="s">
        <v>31</v>
      </c>
      <c r="J255" s="21">
        <v>20000</v>
      </c>
      <c r="K255" s="21">
        <v>35000</v>
      </c>
      <c r="L255" s="21">
        <f t="shared" si="5"/>
        <v>15000</v>
      </c>
      <c r="M255" s="1" t="s">
        <v>23</v>
      </c>
      <c r="N255" s="1" t="s">
        <v>24</v>
      </c>
    </row>
    <row r="256" spans="1:14" x14ac:dyDescent="0.35">
      <c r="A256" s="17">
        <v>45868</v>
      </c>
      <c r="B256" s="1" t="s">
        <v>615</v>
      </c>
      <c r="C256" s="26" t="str">
        <f>VLOOKUP(F256,Clientes!$B$2:$C$179,2,0)</f>
        <v>Tabio</v>
      </c>
      <c r="D256" s="1" t="s">
        <v>619</v>
      </c>
      <c r="E256" s="15">
        <f>VLOOKUP(F256,Referencia!$A$15:$B$193,2,0)</f>
        <v>7</v>
      </c>
      <c r="F256" s="1" t="s">
        <v>453</v>
      </c>
      <c r="G256" s="1" t="s">
        <v>559</v>
      </c>
      <c r="H256" s="1">
        <v>1</v>
      </c>
      <c r="I256" s="5" t="s">
        <v>74</v>
      </c>
      <c r="J256" s="21">
        <v>350000</v>
      </c>
      <c r="K256" s="21">
        <v>750000</v>
      </c>
      <c r="L256" s="21">
        <f t="shared" si="5"/>
        <v>400000</v>
      </c>
      <c r="M256" s="1" t="s">
        <v>27</v>
      </c>
      <c r="N256" s="1" t="s">
        <v>24</v>
      </c>
    </row>
    <row r="257" spans="1:14" x14ac:dyDescent="0.35">
      <c r="A257" s="17">
        <v>45869</v>
      </c>
      <c r="B257" s="6" t="s">
        <v>415</v>
      </c>
      <c r="C257" s="26" t="str">
        <f>VLOOKUP(F257,Clientes!$B$2:$C$179,2,0)</f>
        <v>Funza</v>
      </c>
      <c r="D257" s="1" t="s">
        <v>619</v>
      </c>
      <c r="E257" s="15">
        <f>VLOOKUP(F257,Referencia!$A$15:$B$193,2,0)</f>
        <v>3</v>
      </c>
      <c r="F257" s="1" t="s">
        <v>422</v>
      </c>
      <c r="G257" s="1" t="s">
        <v>560</v>
      </c>
      <c r="H257" s="1">
        <v>1</v>
      </c>
      <c r="I257" s="1" t="s">
        <v>26</v>
      </c>
      <c r="J257" s="21">
        <v>183050</v>
      </c>
      <c r="K257" s="21">
        <v>320000</v>
      </c>
      <c r="L257" s="21">
        <f t="shared" si="5"/>
        <v>136950</v>
      </c>
      <c r="M257" s="1" t="s">
        <v>27</v>
      </c>
      <c r="N257" s="1" t="s">
        <v>24</v>
      </c>
    </row>
    <row r="258" spans="1:14" x14ac:dyDescent="0.35">
      <c r="A258" s="17">
        <v>45869</v>
      </c>
      <c r="B258" s="1" t="s">
        <v>8</v>
      </c>
      <c r="C258" s="26" t="str">
        <f>VLOOKUP(F258,Clientes!$B$2:$C$179,2,0)</f>
        <v>Briceño</v>
      </c>
      <c r="D258" s="1" t="s">
        <v>619</v>
      </c>
      <c r="E258" s="15">
        <f>VLOOKUP(F258,Referencia!$A$15:$B$193,2,0)</f>
        <v>78</v>
      </c>
      <c r="F258" s="1" t="s">
        <v>471</v>
      </c>
      <c r="G258" s="1" t="s">
        <v>81</v>
      </c>
      <c r="H258" s="1">
        <v>1</v>
      </c>
      <c r="I258" s="1" t="s">
        <v>40</v>
      </c>
      <c r="J258" s="21">
        <v>135000</v>
      </c>
      <c r="K258" s="21">
        <v>220000</v>
      </c>
      <c r="L258" s="21">
        <f t="shared" si="5"/>
        <v>85000</v>
      </c>
      <c r="M258" s="1" t="s">
        <v>27</v>
      </c>
      <c r="N258" s="1" t="s">
        <v>24</v>
      </c>
    </row>
    <row r="259" spans="1:14" x14ac:dyDescent="0.35">
      <c r="A259" s="17">
        <v>45869</v>
      </c>
      <c r="B259" s="1" t="s">
        <v>8</v>
      </c>
      <c r="C259" s="26" t="str">
        <f>VLOOKUP(F259,Clientes!$B$2:$C$179,2,0)</f>
        <v>Tocancipá</v>
      </c>
      <c r="D259" s="1" t="s">
        <v>619</v>
      </c>
      <c r="E259" s="15">
        <f>VLOOKUP(F259,Referencia!$A$15:$B$193,2,0)</f>
        <v>29</v>
      </c>
      <c r="F259" s="1" t="s">
        <v>441</v>
      </c>
      <c r="G259" s="1" t="s">
        <v>542</v>
      </c>
      <c r="H259" s="1">
        <v>1</v>
      </c>
      <c r="I259" s="1" t="s">
        <v>32</v>
      </c>
      <c r="J259" s="21">
        <v>10890</v>
      </c>
      <c r="K259" s="21">
        <v>22000</v>
      </c>
      <c r="L259" s="21">
        <f t="shared" si="5"/>
        <v>11110</v>
      </c>
      <c r="M259" s="1" t="s">
        <v>27</v>
      </c>
      <c r="N259" s="1" t="s">
        <v>24</v>
      </c>
    </row>
    <row r="260" spans="1:14" x14ac:dyDescent="0.35">
      <c r="A260" s="17">
        <v>45869</v>
      </c>
      <c r="B260" s="1" t="s">
        <v>8</v>
      </c>
      <c r="C260" s="26" t="str">
        <f>VLOOKUP(F260,Clientes!$B$2:$C$179,2,0)</f>
        <v>Tocancipá</v>
      </c>
      <c r="D260" s="1" t="s">
        <v>619</v>
      </c>
      <c r="E260" s="15">
        <f>VLOOKUP(F260,Referencia!$A$15:$B$193,2,0)</f>
        <v>49</v>
      </c>
      <c r="F260" s="1" t="s">
        <v>77</v>
      </c>
      <c r="G260" s="1" t="s">
        <v>434</v>
      </c>
      <c r="H260" s="1">
        <v>1</v>
      </c>
      <c r="I260" s="5" t="s">
        <v>74</v>
      </c>
      <c r="J260" s="21">
        <v>35000</v>
      </c>
      <c r="K260" s="21">
        <v>60000</v>
      </c>
      <c r="L260" s="21">
        <f t="shared" si="5"/>
        <v>25000</v>
      </c>
      <c r="M260" s="1" t="s">
        <v>23</v>
      </c>
      <c r="N260" s="1" t="s">
        <v>24</v>
      </c>
    </row>
    <row r="261" spans="1:14" x14ac:dyDescent="0.35">
      <c r="A261" s="17">
        <v>45869</v>
      </c>
      <c r="B261" s="1" t="s">
        <v>9</v>
      </c>
      <c r="C261" s="26" t="str">
        <f>VLOOKUP(F261,Clientes!$B$2:$C$179,2,0)</f>
        <v>Cajicá</v>
      </c>
      <c r="D261" s="1" t="s">
        <v>619</v>
      </c>
      <c r="E261" s="15">
        <f>VLOOKUP(F261,Referencia!$A$15:$B$193,2,0)</f>
        <v>20</v>
      </c>
      <c r="F261" s="1" t="s">
        <v>520</v>
      </c>
      <c r="G261" s="1" t="s">
        <v>561</v>
      </c>
      <c r="H261" s="1">
        <v>1</v>
      </c>
      <c r="I261" s="1" t="s">
        <v>43</v>
      </c>
      <c r="J261" s="21">
        <v>1200063</v>
      </c>
      <c r="K261" s="21">
        <v>1800000</v>
      </c>
      <c r="L261" s="21">
        <f t="shared" si="5"/>
        <v>599937</v>
      </c>
      <c r="M261" s="1" t="s">
        <v>27</v>
      </c>
      <c r="N261" s="1" t="s">
        <v>24</v>
      </c>
    </row>
    <row r="262" spans="1:14" x14ac:dyDescent="0.35">
      <c r="A262" s="17">
        <v>45869</v>
      </c>
      <c r="B262" s="1" t="s">
        <v>9</v>
      </c>
      <c r="C262" s="26" t="str">
        <f>VLOOKUP(F262,Clientes!$B$2:$C$179,2,0)</f>
        <v>Cajicá</v>
      </c>
      <c r="D262" s="1" t="s">
        <v>619</v>
      </c>
      <c r="E262" s="15">
        <f>VLOOKUP(F262,Referencia!$A$15:$B$193,2,0)</f>
        <v>20</v>
      </c>
      <c r="F262" s="1" t="s">
        <v>520</v>
      </c>
      <c r="G262" s="1" t="s">
        <v>580</v>
      </c>
      <c r="H262" s="1">
        <v>1</v>
      </c>
      <c r="I262" s="1" t="s">
        <v>26</v>
      </c>
      <c r="J262" s="21">
        <v>72600</v>
      </c>
      <c r="K262" s="21">
        <v>0</v>
      </c>
      <c r="L262" s="21">
        <f t="shared" si="5"/>
        <v>-72600</v>
      </c>
      <c r="M262" s="1" t="s">
        <v>27</v>
      </c>
      <c r="N262" s="1" t="s">
        <v>24</v>
      </c>
    </row>
    <row r="263" spans="1:14" x14ac:dyDescent="0.35">
      <c r="A263" s="17">
        <v>45869</v>
      </c>
      <c r="B263" s="1" t="s">
        <v>9</v>
      </c>
      <c r="C263" s="26" t="str">
        <f>VLOOKUP(F263,Clientes!$B$2:$C$179,2,0)</f>
        <v>Cajicá</v>
      </c>
      <c r="D263" s="1" t="s">
        <v>619</v>
      </c>
      <c r="E263" s="15">
        <f>VLOOKUP(F263,Referencia!$A$15:$B$193,2,0)</f>
        <v>20</v>
      </c>
      <c r="F263" s="1" t="s">
        <v>520</v>
      </c>
      <c r="G263" s="1" t="s">
        <v>65</v>
      </c>
      <c r="H263" s="1">
        <v>1</v>
      </c>
      <c r="I263" s="1" t="s">
        <v>40</v>
      </c>
      <c r="J263" s="21">
        <v>18000</v>
      </c>
      <c r="K263" s="21">
        <v>50000</v>
      </c>
      <c r="L263" s="21">
        <f t="shared" si="5"/>
        <v>32000</v>
      </c>
      <c r="M263" s="1" t="s">
        <v>27</v>
      </c>
      <c r="N263" s="1" t="s">
        <v>24</v>
      </c>
    </row>
    <row r="264" spans="1:14" x14ac:dyDescent="0.35">
      <c r="A264" s="17">
        <v>45869</v>
      </c>
      <c r="B264" s="1" t="s">
        <v>9</v>
      </c>
      <c r="C264" s="26" t="str">
        <f>VLOOKUP(F264,Clientes!$B$2:$C$179,2,0)</f>
        <v>Cajicá</v>
      </c>
      <c r="D264" s="1" t="s">
        <v>619</v>
      </c>
      <c r="E264" s="15">
        <f>VLOOKUP(F264,Referencia!$A$15:$B$193,2,0)</f>
        <v>20</v>
      </c>
      <c r="F264" s="1" t="s">
        <v>520</v>
      </c>
      <c r="G264" s="1" t="s">
        <v>434</v>
      </c>
      <c r="H264" s="1">
        <v>1</v>
      </c>
      <c r="I264" s="5" t="s">
        <v>74</v>
      </c>
      <c r="J264" s="21">
        <v>35000</v>
      </c>
      <c r="K264" s="21">
        <v>50000</v>
      </c>
      <c r="L264" s="21">
        <f t="shared" si="5"/>
        <v>15000</v>
      </c>
      <c r="M264" s="1" t="s">
        <v>27</v>
      </c>
      <c r="N264" s="1" t="s">
        <v>24</v>
      </c>
    </row>
    <row r="265" spans="1:14" x14ac:dyDescent="0.35">
      <c r="A265" s="17">
        <v>45869</v>
      </c>
      <c r="B265" s="1" t="s">
        <v>9</v>
      </c>
      <c r="C265" s="26" t="str">
        <f>VLOOKUP(B265,Referencia!$B$2:$C$12,2,0)</f>
        <v>Chia</v>
      </c>
      <c r="D265" s="13" t="s">
        <v>617</v>
      </c>
      <c r="E265" s="15" t="str">
        <f>VLOOKUP(F265,Referencia!$A$15:$B$193,2,0)</f>
        <v>R1</v>
      </c>
      <c r="F265" s="1" t="s">
        <v>477</v>
      </c>
      <c r="G265" s="1" t="s">
        <v>562</v>
      </c>
      <c r="H265" s="1">
        <v>1</v>
      </c>
      <c r="I265" s="1" t="s">
        <v>43</v>
      </c>
      <c r="J265" s="21">
        <v>20500</v>
      </c>
      <c r="K265" s="21">
        <v>35000</v>
      </c>
      <c r="L265" s="21">
        <f t="shared" si="5"/>
        <v>14500</v>
      </c>
      <c r="M265" s="1" t="s">
        <v>27</v>
      </c>
      <c r="N265" s="1" t="s">
        <v>24</v>
      </c>
    </row>
    <row r="266" spans="1:14" x14ac:dyDescent="0.35">
      <c r="A266" s="17">
        <v>45869</v>
      </c>
      <c r="B266" s="1" t="s">
        <v>9</v>
      </c>
      <c r="C266" s="26" t="str">
        <f>VLOOKUP(B266,Referencia!$B$2:$C$12,2,0)</f>
        <v>Chia</v>
      </c>
      <c r="D266" s="13" t="s">
        <v>617</v>
      </c>
      <c r="E266" s="15" t="str">
        <f>VLOOKUP(F266,Referencia!$A$15:$B$193,2,0)</f>
        <v>R1</v>
      </c>
      <c r="F266" s="1" t="s">
        <v>477</v>
      </c>
      <c r="G266" s="1" t="s">
        <v>530</v>
      </c>
      <c r="H266" s="1">
        <v>1</v>
      </c>
      <c r="I266" s="1" t="s">
        <v>40</v>
      </c>
      <c r="J266" s="21">
        <v>34000</v>
      </c>
      <c r="K266" s="21">
        <v>55000</v>
      </c>
      <c r="L266" s="21">
        <f t="shared" si="5"/>
        <v>21000</v>
      </c>
      <c r="M266" s="1" t="s">
        <v>27</v>
      </c>
      <c r="N266" s="1" t="s">
        <v>24</v>
      </c>
    </row>
    <row r="267" spans="1:14" x14ac:dyDescent="0.35">
      <c r="A267" s="17">
        <v>45869</v>
      </c>
      <c r="B267" s="1" t="s">
        <v>9</v>
      </c>
      <c r="C267" s="26" t="str">
        <f>VLOOKUP(B267,Referencia!$B$2:$C$12,2,0)</f>
        <v>Chia</v>
      </c>
      <c r="D267" s="13" t="s">
        <v>617</v>
      </c>
      <c r="E267" s="15" t="str">
        <f>VLOOKUP(F267,Referencia!$A$15:$B$193,2,0)</f>
        <v>R1</v>
      </c>
      <c r="F267" s="1" t="s">
        <v>477</v>
      </c>
      <c r="G267" s="1" t="s">
        <v>629</v>
      </c>
      <c r="H267" s="1">
        <v>1</v>
      </c>
      <c r="I267" s="1" t="s">
        <v>59</v>
      </c>
      <c r="J267" s="21">
        <v>60000</v>
      </c>
      <c r="K267" s="21">
        <v>110000</v>
      </c>
      <c r="L267" s="21">
        <f t="shared" si="5"/>
        <v>50000</v>
      </c>
      <c r="M267" s="1" t="s">
        <v>27</v>
      </c>
      <c r="N267" s="1" t="s">
        <v>24</v>
      </c>
    </row>
    <row r="268" spans="1:14" x14ac:dyDescent="0.35">
      <c r="A268" s="17">
        <v>45870</v>
      </c>
      <c r="B268" s="1" t="s">
        <v>9</v>
      </c>
      <c r="C268" s="26" t="str">
        <f>VLOOKUP(F268,Clientes!$B$2:$C$179,2,0)</f>
        <v>Chia</v>
      </c>
      <c r="D268" s="1" t="s">
        <v>619</v>
      </c>
      <c r="E268" s="15">
        <f>VLOOKUP(F268,Referencia!$A$15:$B$193,2,0)</f>
        <v>16</v>
      </c>
      <c r="F268" s="1" t="s">
        <v>79</v>
      </c>
      <c r="G268" s="1" t="s">
        <v>563</v>
      </c>
      <c r="H268" s="1">
        <v>1</v>
      </c>
      <c r="I268" s="5" t="s">
        <v>74</v>
      </c>
      <c r="J268" s="21">
        <v>100000</v>
      </c>
      <c r="K268" s="21">
        <v>190000</v>
      </c>
      <c r="L268" s="21">
        <f t="shared" si="5"/>
        <v>90000</v>
      </c>
      <c r="M268" s="1" t="s">
        <v>27</v>
      </c>
      <c r="N268" s="1" t="s">
        <v>24</v>
      </c>
    </row>
    <row r="269" spans="1:14" x14ac:dyDescent="0.35">
      <c r="A269" s="17">
        <v>45870</v>
      </c>
      <c r="B269" s="1" t="s">
        <v>9</v>
      </c>
      <c r="C269" s="26" t="str">
        <f>VLOOKUP(F269,Clientes!$B$2:$C$179,2,0)</f>
        <v>Chia</v>
      </c>
      <c r="D269" s="1" t="s">
        <v>619</v>
      </c>
      <c r="E269" s="15">
        <f>VLOOKUP(F269,Referencia!$A$15:$B$193,2,0)</f>
        <v>16</v>
      </c>
      <c r="F269" s="1" t="s">
        <v>79</v>
      </c>
      <c r="G269" s="1" t="s">
        <v>564</v>
      </c>
      <c r="H269" s="1">
        <v>1</v>
      </c>
      <c r="I269" s="1" t="s">
        <v>35</v>
      </c>
      <c r="J269" s="21"/>
      <c r="K269" s="21">
        <v>170000</v>
      </c>
      <c r="L269" s="21">
        <f t="shared" si="5"/>
        <v>170000</v>
      </c>
      <c r="M269" s="1" t="s">
        <v>27</v>
      </c>
      <c r="N269" s="1" t="s">
        <v>24</v>
      </c>
    </row>
    <row r="270" spans="1:14" x14ac:dyDescent="0.35">
      <c r="A270" s="17">
        <v>45870</v>
      </c>
      <c r="B270" s="1" t="s">
        <v>9</v>
      </c>
      <c r="C270" s="26" t="str">
        <f>VLOOKUP(F270,Clientes!$B$2:$C$179,2,0)</f>
        <v>Chia</v>
      </c>
      <c r="D270" s="1" t="s">
        <v>619</v>
      </c>
      <c r="E270" s="15">
        <f>VLOOKUP(F270,Referencia!$A$15:$B$193,2,0)</f>
        <v>16</v>
      </c>
      <c r="F270" s="1" t="s">
        <v>79</v>
      </c>
      <c r="G270" s="1" t="s">
        <v>30</v>
      </c>
      <c r="H270" s="1">
        <v>1</v>
      </c>
      <c r="I270" s="1" t="s">
        <v>22</v>
      </c>
      <c r="J270" s="21">
        <v>15605</v>
      </c>
      <c r="K270" s="21">
        <v>25000</v>
      </c>
      <c r="L270" s="21">
        <f t="shared" si="5"/>
        <v>9395</v>
      </c>
      <c r="M270" s="1" t="s">
        <v>27</v>
      </c>
      <c r="N270" s="1" t="s">
        <v>24</v>
      </c>
    </row>
    <row r="271" spans="1:14" x14ac:dyDescent="0.35">
      <c r="A271" s="17">
        <v>45870</v>
      </c>
      <c r="B271" s="1" t="s">
        <v>9</v>
      </c>
      <c r="C271" s="26" t="str">
        <f>VLOOKUP(F271,Clientes!$B$2:$C$179,2,0)</f>
        <v>Chia</v>
      </c>
      <c r="D271" s="1" t="s">
        <v>619</v>
      </c>
      <c r="E271" s="15">
        <f>VLOOKUP(F271,Referencia!$A$15:$B$193,2,0)</f>
        <v>16</v>
      </c>
      <c r="F271" s="1" t="s">
        <v>79</v>
      </c>
      <c r="G271" s="1" t="s">
        <v>565</v>
      </c>
      <c r="H271" s="1">
        <v>1</v>
      </c>
      <c r="I271" s="1" t="s">
        <v>22</v>
      </c>
      <c r="J271" s="21">
        <v>35600</v>
      </c>
      <c r="K271" s="21">
        <v>60000</v>
      </c>
      <c r="L271" s="21">
        <f t="shared" si="5"/>
        <v>24400</v>
      </c>
      <c r="M271" s="1" t="s">
        <v>27</v>
      </c>
      <c r="N271" s="1" t="s">
        <v>24</v>
      </c>
    </row>
    <row r="272" spans="1:14" x14ac:dyDescent="0.35">
      <c r="A272" s="17">
        <v>45870</v>
      </c>
      <c r="B272" s="1" t="s">
        <v>9</v>
      </c>
      <c r="C272" s="26" t="str">
        <f>VLOOKUP(F272,Clientes!$B$2:$C$179,2,0)</f>
        <v>Chia</v>
      </c>
      <c r="D272" s="1" t="s">
        <v>619</v>
      </c>
      <c r="E272" s="15">
        <f>VLOOKUP(F272,Referencia!$A$15:$B$193,2,0)</f>
        <v>16</v>
      </c>
      <c r="F272" s="1" t="s">
        <v>79</v>
      </c>
      <c r="G272" s="1" t="s">
        <v>420</v>
      </c>
      <c r="H272" s="1">
        <v>1</v>
      </c>
      <c r="I272" s="1" t="s">
        <v>59</v>
      </c>
      <c r="J272" s="21">
        <v>125000</v>
      </c>
      <c r="K272" s="21">
        <v>260000</v>
      </c>
      <c r="L272" s="21">
        <f t="shared" si="5"/>
        <v>135000</v>
      </c>
      <c r="M272" s="1" t="s">
        <v>27</v>
      </c>
      <c r="N272" s="1" t="s">
        <v>24</v>
      </c>
    </row>
    <row r="273" spans="1:14" x14ac:dyDescent="0.35">
      <c r="A273" s="17">
        <v>45870</v>
      </c>
      <c r="B273" s="1" t="s">
        <v>9</v>
      </c>
      <c r="C273" s="26" t="str">
        <f>VLOOKUP(F273,Clientes!$B$2:$C$179,2,0)</f>
        <v>Chia</v>
      </c>
      <c r="D273" s="1" t="s">
        <v>619</v>
      </c>
      <c r="E273" s="15">
        <f>VLOOKUP(F273,Referencia!$A$15:$B$193,2,0)</f>
        <v>34</v>
      </c>
      <c r="F273" s="1" t="s">
        <v>172</v>
      </c>
      <c r="G273" s="1" t="s">
        <v>532</v>
      </c>
      <c r="H273" s="1">
        <v>1</v>
      </c>
      <c r="I273" s="1" t="s">
        <v>40</v>
      </c>
      <c r="J273" s="21">
        <v>16000</v>
      </c>
      <c r="K273" s="21">
        <v>30000</v>
      </c>
      <c r="L273" s="21">
        <f t="shared" ref="L273:L336" si="6">K273-J273</f>
        <v>14000</v>
      </c>
      <c r="M273" s="1" t="s">
        <v>27</v>
      </c>
      <c r="N273" s="1" t="s">
        <v>24</v>
      </c>
    </row>
    <row r="274" spans="1:14" x14ac:dyDescent="0.35">
      <c r="A274" s="17">
        <v>45870</v>
      </c>
      <c r="B274" s="1" t="s">
        <v>9</v>
      </c>
      <c r="C274" s="26" t="str">
        <f>VLOOKUP(F274,Clientes!$B$2:$C$179,2,0)</f>
        <v>Chia</v>
      </c>
      <c r="D274" s="1" t="s">
        <v>619</v>
      </c>
      <c r="E274" s="15">
        <f>VLOOKUP(F274,Referencia!$A$15:$B$193,2,0)</f>
        <v>34</v>
      </c>
      <c r="F274" s="1" t="s">
        <v>172</v>
      </c>
      <c r="G274" s="1" t="s">
        <v>533</v>
      </c>
      <c r="H274" s="1">
        <v>1</v>
      </c>
      <c r="I274" s="1" t="s">
        <v>40</v>
      </c>
      <c r="J274" s="21">
        <v>20000</v>
      </c>
      <c r="K274" s="21">
        <v>40000</v>
      </c>
      <c r="L274" s="21">
        <f t="shared" si="6"/>
        <v>20000</v>
      </c>
      <c r="M274" s="1" t="s">
        <v>27</v>
      </c>
      <c r="N274" s="1" t="s">
        <v>24</v>
      </c>
    </row>
    <row r="275" spans="1:14" x14ac:dyDescent="0.35">
      <c r="A275" s="17">
        <v>45870</v>
      </c>
      <c r="B275" s="1" t="s">
        <v>9</v>
      </c>
      <c r="C275" s="26" t="str">
        <f>VLOOKUP(F275,Clientes!$B$2:$C$179,2,0)</f>
        <v>Chia</v>
      </c>
      <c r="D275" s="1" t="s">
        <v>619</v>
      </c>
      <c r="E275" s="15">
        <f>VLOOKUP(F275,Referencia!$A$15:$B$193,2,0)</f>
        <v>34</v>
      </c>
      <c r="F275" s="1" t="s">
        <v>172</v>
      </c>
      <c r="G275" s="1" t="s">
        <v>48</v>
      </c>
      <c r="H275" s="1">
        <v>1</v>
      </c>
      <c r="I275" s="1" t="s">
        <v>40</v>
      </c>
      <c r="J275" s="21">
        <v>18000</v>
      </c>
      <c r="K275" s="21">
        <v>30000</v>
      </c>
      <c r="L275" s="21">
        <f t="shared" si="6"/>
        <v>12000</v>
      </c>
      <c r="M275" s="1" t="s">
        <v>27</v>
      </c>
      <c r="N275" s="1" t="s">
        <v>24</v>
      </c>
    </row>
    <row r="276" spans="1:14" x14ac:dyDescent="0.35">
      <c r="A276" s="17">
        <v>45870</v>
      </c>
      <c r="B276" s="1" t="s">
        <v>9</v>
      </c>
      <c r="C276" s="26" t="str">
        <f>VLOOKUP(F276,Clientes!$B$2:$C$179,2,0)</f>
        <v>Chia</v>
      </c>
      <c r="D276" s="1" t="s">
        <v>619</v>
      </c>
      <c r="E276" s="15">
        <f>VLOOKUP(F276,Referencia!$A$15:$B$193,2,0)</f>
        <v>10</v>
      </c>
      <c r="F276" s="1" t="s">
        <v>622</v>
      </c>
      <c r="G276" s="1" t="s">
        <v>566</v>
      </c>
      <c r="H276" s="1">
        <v>1</v>
      </c>
      <c r="I276" s="1" t="s">
        <v>40</v>
      </c>
      <c r="J276" s="21">
        <v>48000</v>
      </c>
      <c r="K276" s="21">
        <v>90000</v>
      </c>
      <c r="L276" s="21">
        <f t="shared" si="6"/>
        <v>42000</v>
      </c>
      <c r="M276" s="1" t="s">
        <v>27</v>
      </c>
      <c r="N276" s="1" t="s">
        <v>24</v>
      </c>
    </row>
    <row r="277" spans="1:14" x14ac:dyDescent="0.35">
      <c r="A277" s="17">
        <v>45870</v>
      </c>
      <c r="B277" s="1" t="s">
        <v>9</v>
      </c>
      <c r="C277" s="26" t="str">
        <f>VLOOKUP(F277,Clientes!$B$2:$C$179,2,0)</f>
        <v>Chia</v>
      </c>
      <c r="D277" s="1" t="s">
        <v>619</v>
      </c>
      <c r="E277" s="15">
        <f>VLOOKUP(F277,Referencia!$A$15:$B$193,2,0)</f>
        <v>10</v>
      </c>
      <c r="F277" s="1" t="s">
        <v>622</v>
      </c>
      <c r="G277" s="1" t="s">
        <v>567</v>
      </c>
      <c r="H277" s="1">
        <v>1</v>
      </c>
      <c r="I277" s="1" t="s">
        <v>35</v>
      </c>
      <c r="J277" s="21"/>
      <c r="K277" s="21">
        <v>260000</v>
      </c>
      <c r="L277" s="21">
        <f t="shared" si="6"/>
        <v>260000</v>
      </c>
      <c r="M277" s="1" t="s">
        <v>27</v>
      </c>
      <c r="N277" s="1" t="s">
        <v>24</v>
      </c>
    </row>
    <row r="278" spans="1:14" x14ac:dyDescent="0.35">
      <c r="A278" s="17">
        <v>45870</v>
      </c>
      <c r="B278" s="1" t="s">
        <v>9</v>
      </c>
      <c r="C278" s="26" t="str">
        <f>VLOOKUP(F278,Clientes!$B$2:$C$179,2,0)</f>
        <v>Chia</v>
      </c>
      <c r="D278" s="1" t="s">
        <v>619</v>
      </c>
      <c r="E278" s="15">
        <f>VLOOKUP(F278,Referencia!$A$15:$B$193,2,0)</f>
        <v>9</v>
      </c>
      <c r="F278" s="1" t="s">
        <v>50</v>
      </c>
      <c r="G278" s="1" t="s">
        <v>568</v>
      </c>
      <c r="H278" s="1">
        <v>1</v>
      </c>
      <c r="I278" s="1" t="s">
        <v>59</v>
      </c>
      <c r="J278" s="21">
        <v>125000</v>
      </c>
      <c r="K278" s="21">
        <v>260000</v>
      </c>
      <c r="L278" s="21">
        <f t="shared" si="6"/>
        <v>135000</v>
      </c>
      <c r="M278" s="1" t="s">
        <v>27</v>
      </c>
      <c r="N278" s="1" t="s">
        <v>24</v>
      </c>
    </row>
    <row r="279" spans="1:14" x14ac:dyDescent="0.35">
      <c r="A279" s="17">
        <v>45870</v>
      </c>
      <c r="B279" s="1" t="s">
        <v>9</v>
      </c>
      <c r="C279" s="26" t="str">
        <f>VLOOKUP(F279,Clientes!$B$2:$C$179,2,0)</f>
        <v>Chia</v>
      </c>
      <c r="D279" s="1" t="s">
        <v>619</v>
      </c>
      <c r="E279" s="15">
        <f>VLOOKUP(F279,Referencia!$A$15:$B$193,2,0)</f>
        <v>9</v>
      </c>
      <c r="F279" s="1" t="s">
        <v>50</v>
      </c>
      <c r="G279" s="1" t="s">
        <v>569</v>
      </c>
      <c r="H279" s="1">
        <v>1</v>
      </c>
      <c r="I279" s="1" t="s">
        <v>59</v>
      </c>
      <c r="J279" s="21">
        <v>120000</v>
      </c>
      <c r="K279" s="21">
        <v>240000</v>
      </c>
      <c r="L279" s="21">
        <f t="shared" si="6"/>
        <v>120000</v>
      </c>
      <c r="M279" s="1" t="s">
        <v>27</v>
      </c>
      <c r="N279" s="1" t="s">
        <v>24</v>
      </c>
    </row>
    <row r="280" spans="1:14" x14ac:dyDescent="0.35">
      <c r="A280" s="17">
        <v>45870</v>
      </c>
      <c r="B280" s="1" t="s">
        <v>9</v>
      </c>
      <c r="C280" s="26" t="str">
        <f>VLOOKUP(F280,Clientes!$B$2:$C$179,2,0)</f>
        <v>Cota</v>
      </c>
      <c r="D280" s="1" t="s">
        <v>619</v>
      </c>
      <c r="E280" s="15">
        <f>VLOOKUP(F280,Referencia!$A$15:$B$193,2,0)</f>
        <v>14</v>
      </c>
      <c r="F280" s="1" t="s">
        <v>147</v>
      </c>
      <c r="G280" s="1" t="s">
        <v>495</v>
      </c>
      <c r="H280" s="1">
        <v>1</v>
      </c>
      <c r="I280" s="1" t="s">
        <v>59</v>
      </c>
      <c r="J280" s="21">
        <v>40000</v>
      </c>
      <c r="K280" s="21">
        <v>80000</v>
      </c>
      <c r="L280" s="21">
        <f t="shared" si="6"/>
        <v>40000</v>
      </c>
      <c r="M280" s="1" t="s">
        <v>27</v>
      </c>
      <c r="N280" s="1" t="s">
        <v>24</v>
      </c>
    </row>
    <row r="281" spans="1:14" x14ac:dyDescent="0.35">
      <c r="A281" s="17">
        <v>45870</v>
      </c>
      <c r="B281" s="1" t="s">
        <v>415</v>
      </c>
      <c r="C281" s="26" t="str">
        <f>VLOOKUP(F281,Clientes!$B$2:$C$179,2,0)</f>
        <v>Funza</v>
      </c>
      <c r="D281" s="1" t="s">
        <v>619</v>
      </c>
      <c r="E281" s="15">
        <f>VLOOKUP(F281,Referencia!$A$15:$B$193,2,0)</f>
        <v>21</v>
      </c>
      <c r="F281" s="1" t="s">
        <v>52</v>
      </c>
      <c r="G281" s="1" t="s">
        <v>570</v>
      </c>
      <c r="H281" s="1">
        <v>1</v>
      </c>
      <c r="I281" s="1" t="s">
        <v>22</v>
      </c>
      <c r="J281" s="21">
        <v>71500</v>
      </c>
      <c r="K281" s="21">
        <v>120000</v>
      </c>
      <c r="L281" s="21">
        <f t="shared" si="6"/>
        <v>48500</v>
      </c>
      <c r="M281" s="1" t="s">
        <v>27</v>
      </c>
      <c r="N281" s="1" t="s">
        <v>24</v>
      </c>
    </row>
    <row r="282" spans="1:14" x14ac:dyDescent="0.35">
      <c r="A282" s="17">
        <v>45870</v>
      </c>
      <c r="B282" s="1" t="s">
        <v>415</v>
      </c>
      <c r="C282" s="26" t="str">
        <f>VLOOKUP(F282,Clientes!$B$2:$C$179,2,0)</f>
        <v>Funza</v>
      </c>
      <c r="D282" s="1" t="s">
        <v>619</v>
      </c>
      <c r="E282" s="15">
        <f>VLOOKUP(F282,Referencia!$A$15:$B$193,2,0)</f>
        <v>21</v>
      </c>
      <c r="F282" s="1" t="s">
        <v>52</v>
      </c>
      <c r="G282" s="1" t="s">
        <v>629</v>
      </c>
      <c r="H282" s="1">
        <v>1</v>
      </c>
      <c r="I282" s="1" t="s">
        <v>59</v>
      </c>
      <c r="J282" s="21">
        <v>60000</v>
      </c>
      <c r="K282" s="21">
        <v>120000</v>
      </c>
      <c r="L282" s="21">
        <f t="shared" si="6"/>
        <v>60000</v>
      </c>
      <c r="M282" s="1" t="s">
        <v>27</v>
      </c>
      <c r="N282" s="1" t="s">
        <v>24</v>
      </c>
    </row>
    <row r="283" spans="1:14" x14ac:dyDescent="0.35">
      <c r="A283" s="17">
        <v>45875</v>
      </c>
      <c r="B283" s="1" t="s">
        <v>615</v>
      </c>
      <c r="C283" s="26" t="str">
        <f>VLOOKUP(F283,Clientes!$B$2:$C$179,2,0)</f>
        <v>Tabio</v>
      </c>
      <c r="D283" s="1" t="s">
        <v>619</v>
      </c>
      <c r="E283" s="15">
        <f>VLOOKUP(F283,Referencia!$A$15:$B$193,2,0)</f>
        <v>28</v>
      </c>
      <c r="F283" s="1" t="s">
        <v>164</v>
      </c>
      <c r="G283" s="1" t="s">
        <v>482</v>
      </c>
      <c r="H283" s="1">
        <v>1</v>
      </c>
      <c r="I283" s="1" t="s">
        <v>40</v>
      </c>
      <c r="J283" s="21">
        <v>65000</v>
      </c>
      <c r="K283" s="21">
        <v>110000</v>
      </c>
      <c r="L283" s="21">
        <f t="shared" si="6"/>
        <v>45000</v>
      </c>
      <c r="M283" s="1" t="s">
        <v>23</v>
      </c>
      <c r="N283" s="1" t="s">
        <v>24</v>
      </c>
    </row>
    <row r="284" spans="1:14" x14ac:dyDescent="0.35">
      <c r="A284" s="17">
        <v>45875</v>
      </c>
      <c r="B284" s="1" t="s">
        <v>615</v>
      </c>
      <c r="C284" s="26" t="str">
        <f>VLOOKUP(F284,Clientes!$B$2:$C$179,2,0)</f>
        <v>Tabio</v>
      </c>
      <c r="D284" s="1" t="s">
        <v>619</v>
      </c>
      <c r="E284" s="15">
        <f>VLOOKUP(F284,Referencia!$A$15:$B$193,2,0)</f>
        <v>28</v>
      </c>
      <c r="F284" s="1" t="s">
        <v>164</v>
      </c>
      <c r="G284" s="1" t="s">
        <v>455</v>
      </c>
      <c r="H284" s="1">
        <v>1</v>
      </c>
      <c r="I284" s="1"/>
      <c r="J284" s="21"/>
      <c r="K284" s="21">
        <v>108000</v>
      </c>
      <c r="L284" s="21">
        <f t="shared" si="6"/>
        <v>108000</v>
      </c>
      <c r="M284" s="1" t="s">
        <v>27</v>
      </c>
      <c r="N284" s="1" t="s">
        <v>24</v>
      </c>
    </row>
    <row r="285" spans="1:14" x14ac:dyDescent="0.35">
      <c r="A285" s="17">
        <v>45875</v>
      </c>
      <c r="B285" s="1" t="s">
        <v>615</v>
      </c>
      <c r="C285" s="26" t="str">
        <f>VLOOKUP(F285,Clientes!$B$2:$C$179,2,0)</f>
        <v>Tabio</v>
      </c>
      <c r="D285" s="1" t="s">
        <v>619</v>
      </c>
      <c r="E285" s="15">
        <f>VLOOKUP(F285,Referencia!$A$15:$B$193,2,0)</f>
        <v>28</v>
      </c>
      <c r="F285" s="1" t="s">
        <v>164</v>
      </c>
      <c r="G285" s="1" t="s">
        <v>60</v>
      </c>
      <c r="H285" s="1">
        <v>1</v>
      </c>
      <c r="I285" s="1" t="s">
        <v>59</v>
      </c>
      <c r="J285" s="21">
        <v>5000</v>
      </c>
      <c r="K285" s="21">
        <v>10000</v>
      </c>
      <c r="L285" s="21">
        <f t="shared" si="6"/>
        <v>5000</v>
      </c>
      <c r="M285" s="1" t="s">
        <v>27</v>
      </c>
      <c r="N285" s="1" t="s">
        <v>24</v>
      </c>
    </row>
    <row r="286" spans="1:14" x14ac:dyDescent="0.35">
      <c r="A286" s="17">
        <v>45875</v>
      </c>
      <c r="B286" s="1" t="s">
        <v>615</v>
      </c>
      <c r="C286" s="26" t="str">
        <f>VLOOKUP(F286,Clientes!$B$2:$C$179,2,0)</f>
        <v>Tabio</v>
      </c>
      <c r="D286" s="1" t="s">
        <v>619</v>
      </c>
      <c r="E286" s="15">
        <f>VLOOKUP(F286,Referencia!$A$15:$B$193,2,0)</f>
        <v>28</v>
      </c>
      <c r="F286" s="1" t="s">
        <v>164</v>
      </c>
      <c r="G286" s="1" t="s">
        <v>627</v>
      </c>
      <c r="H286" s="1">
        <v>1</v>
      </c>
      <c r="I286" s="5" t="s">
        <v>31</v>
      </c>
      <c r="J286" s="21">
        <v>20000</v>
      </c>
      <c r="K286" s="21">
        <v>30000</v>
      </c>
      <c r="L286" s="21">
        <f t="shared" si="6"/>
        <v>10000</v>
      </c>
      <c r="M286" s="1" t="s">
        <v>27</v>
      </c>
      <c r="N286" s="1" t="s">
        <v>24</v>
      </c>
    </row>
    <row r="287" spans="1:14" x14ac:dyDescent="0.35">
      <c r="A287" s="17">
        <v>45875</v>
      </c>
      <c r="B287" s="1" t="s">
        <v>615</v>
      </c>
      <c r="C287" s="26" t="str">
        <f>VLOOKUP(F287,Clientes!$B$2:$C$179,2,0)</f>
        <v>Tenjo</v>
      </c>
      <c r="D287" s="1" t="s">
        <v>619</v>
      </c>
      <c r="E287" s="15">
        <f>VLOOKUP(F287,Referencia!$A$15:$B$193,2,0)</f>
        <v>44</v>
      </c>
      <c r="F287" s="1" t="s">
        <v>459</v>
      </c>
      <c r="G287" s="1" t="s">
        <v>627</v>
      </c>
      <c r="H287" s="1">
        <v>1</v>
      </c>
      <c r="I287" s="5" t="s">
        <v>31</v>
      </c>
      <c r="J287" s="21">
        <v>20000</v>
      </c>
      <c r="K287" s="21">
        <v>30000</v>
      </c>
      <c r="L287" s="21">
        <f t="shared" si="6"/>
        <v>10000</v>
      </c>
      <c r="M287" s="1" t="s">
        <v>27</v>
      </c>
      <c r="N287" s="1" t="s">
        <v>24</v>
      </c>
    </row>
    <row r="288" spans="1:14" x14ac:dyDescent="0.35">
      <c r="A288" s="17">
        <v>45875</v>
      </c>
      <c r="B288" s="1" t="s">
        <v>615</v>
      </c>
      <c r="C288" s="26" t="str">
        <f>VLOOKUP(F288,Clientes!$B$2:$C$179,2,0)</f>
        <v>Tenjo</v>
      </c>
      <c r="D288" s="1" t="s">
        <v>619</v>
      </c>
      <c r="E288" s="15">
        <f>VLOOKUP(F288,Referencia!$A$15:$B$193,2,0)</f>
        <v>44</v>
      </c>
      <c r="F288" s="1" t="s">
        <v>459</v>
      </c>
      <c r="G288" s="1" t="s">
        <v>571</v>
      </c>
      <c r="H288" s="1">
        <v>1</v>
      </c>
      <c r="I288" s="1" t="s">
        <v>22</v>
      </c>
      <c r="J288" s="21"/>
      <c r="K288" s="21">
        <v>110000</v>
      </c>
      <c r="L288" s="21">
        <f t="shared" si="6"/>
        <v>110000</v>
      </c>
      <c r="M288" s="1" t="s">
        <v>27</v>
      </c>
      <c r="N288" s="1" t="s">
        <v>24</v>
      </c>
    </row>
    <row r="289" spans="1:14" x14ac:dyDescent="0.35">
      <c r="A289" s="17">
        <v>45878</v>
      </c>
      <c r="B289" s="1" t="s">
        <v>9</v>
      </c>
      <c r="C289" s="26" t="str">
        <f>VLOOKUP(F289,Clientes!$B$2:$C$179,2,0)</f>
        <v>Chia</v>
      </c>
      <c r="D289" s="1" t="s">
        <v>619</v>
      </c>
      <c r="E289" s="15">
        <f>VLOOKUP(F289,Referencia!$A$15:$B$193,2,0)</f>
        <v>8</v>
      </c>
      <c r="F289" s="6" t="s">
        <v>476</v>
      </c>
      <c r="G289" s="1" t="s">
        <v>572</v>
      </c>
      <c r="H289" s="1">
        <v>3</v>
      </c>
      <c r="I289" s="5" t="s">
        <v>442</v>
      </c>
      <c r="J289" s="21">
        <v>90000</v>
      </c>
      <c r="K289" s="21">
        <v>150000</v>
      </c>
      <c r="L289" s="21">
        <f t="shared" si="6"/>
        <v>60000</v>
      </c>
      <c r="M289" s="1" t="s">
        <v>27</v>
      </c>
      <c r="N289" s="1" t="s">
        <v>24</v>
      </c>
    </row>
    <row r="290" spans="1:14" x14ac:dyDescent="0.35">
      <c r="A290" s="17">
        <v>45878</v>
      </c>
      <c r="B290" s="1" t="s">
        <v>9</v>
      </c>
      <c r="C290" s="26" t="str">
        <f>VLOOKUP(F290,Clientes!$B$2:$C$179,2,0)</f>
        <v>Chia</v>
      </c>
      <c r="D290" s="1" t="s">
        <v>619</v>
      </c>
      <c r="E290" s="15">
        <f>VLOOKUP(F290,Referencia!$A$15:$B$193,2,0)</f>
        <v>34</v>
      </c>
      <c r="F290" s="1" t="s">
        <v>172</v>
      </c>
      <c r="G290" s="1" t="s">
        <v>573</v>
      </c>
      <c r="H290" s="1">
        <v>1</v>
      </c>
      <c r="I290" s="1" t="s">
        <v>59</v>
      </c>
      <c r="J290" s="21">
        <v>140000</v>
      </c>
      <c r="K290" s="21">
        <v>280000</v>
      </c>
      <c r="L290" s="21">
        <f t="shared" si="6"/>
        <v>140000</v>
      </c>
      <c r="M290" s="1" t="s">
        <v>27</v>
      </c>
      <c r="N290" s="1" t="s">
        <v>24</v>
      </c>
    </row>
    <row r="291" spans="1:14" x14ac:dyDescent="0.35">
      <c r="A291" s="17">
        <v>45878</v>
      </c>
      <c r="B291" s="1" t="s">
        <v>9</v>
      </c>
      <c r="C291" s="26" t="str">
        <f>VLOOKUP(F291,Clientes!$B$2:$C$179,2,0)</f>
        <v>Chia</v>
      </c>
      <c r="D291" s="1" t="s">
        <v>619</v>
      </c>
      <c r="E291" s="15">
        <f>VLOOKUP(F291,Referencia!$A$15:$B$193,2,0)</f>
        <v>34</v>
      </c>
      <c r="F291" s="1" t="s">
        <v>172</v>
      </c>
      <c r="G291" s="1" t="s">
        <v>545</v>
      </c>
      <c r="H291" s="1">
        <v>1</v>
      </c>
      <c r="I291" s="1" t="s">
        <v>40</v>
      </c>
      <c r="J291" s="21">
        <v>14000</v>
      </c>
      <c r="K291" s="21">
        <v>20000</v>
      </c>
      <c r="L291" s="21">
        <f t="shared" si="6"/>
        <v>6000</v>
      </c>
      <c r="M291" s="1" t="s">
        <v>27</v>
      </c>
      <c r="N291" s="1" t="s">
        <v>24</v>
      </c>
    </row>
    <row r="292" spans="1:14" x14ac:dyDescent="0.35">
      <c r="A292" s="17">
        <v>45878</v>
      </c>
      <c r="B292" s="1" t="s">
        <v>9</v>
      </c>
      <c r="C292" s="26" t="str">
        <f>VLOOKUP(F292,Clientes!$B$2:$C$179,2,0)</f>
        <v>Chia</v>
      </c>
      <c r="D292" s="1" t="s">
        <v>619</v>
      </c>
      <c r="E292" s="15">
        <f>VLOOKUP(F292,Referencia!$A$15:$B$193,2,0)</f>
        <v>5</v>
      </c>
      <c r="F292" s="1" t="s">
        <v>121</v>
      </c>
      <c r="G292" s="1" t="s">
        <v>420</v>
      </c>
      <c r="H292" s="1">
        <v>1</v>
      </c>
      <c r="I292" s="1" t="s">
        <v>59</v>
      </c>
      <c r="J292" s="21">
        <v>125000</v>
      </c>
      <c r="K292" s="21">
        <v>260000</v>
      </c>
      <c r="L292" s="21">
        <f t="shared" si="6"/>
        <v>135000</v>
      </c>
      <c r="M292" s="1" t="s">
        <v>27</v>
      </c>
      <c r="N292" s="1" t="s">
        <v>24</v>
      </c>
    </row>
    <row r="293" spans="1:14" x14ac:dyDescent="0.35">
      <c r="A293" s="17">
        <v>45878</v>
      </c>
      <c r="B293" s="1" t="s">
        <v>9</v>
      </c>
      <c r="C293" s="26" t="str">
        <f>VLOOKUP(F293,Clientes!$B$2:$C$179,2,0)</f>
        <v>Sopó</v>
      </c>
      <c r="D293" s="1" t="s">
        <v>619</v>
      </c>
      <c r="E293" s="15">
        <f>VLOOKUP(F293,Referencia!$A$15:$B$193,2,0)</f>
        <v>2</v>
      </c>
      <c r="F293" s="1" t="s">
        <v>112</v>
      </c>
      <c r="G293" s="1" t="s">
        <v>574</v>
      </c>
      <c r="H293" s="1">
        <v>1</v>
      </c>
      <c r="I293" s="1" t="s">
        <v>40</v>
      </c>
      <c r="J293" s="21">
        <v>130000</v>
      </c>
      <c r="K293" s="21">
        <v>260000</v>
      </c>
      <c r="L293" s="21">
        <f t="shared" si="6"/>
        <v>130000</v>
      </c>
      <c r="M293" s="1" t="s">
        <v>27</v>
      </c>
      <c r="N293" s="1" t="s">
        <v>24</v>
      </c>
    </row>
    <row r="294" spans="1:14" x14ac:dyDescent="0.35">
      <c r="A294" s="17">
        <v>45878</v>
      </c>
      <c r="B294" s="1" t="s">
        <v>9</v>
      </c>
      <c r="C294" s="26" t="str">
        <f>VLOOKUP(F294,Clientes!$B$2:$C$179,2,0)</f>
        <v>Sopó</v>
      </c>
      <c r="D294" s="1" t="s">
        <v>619</v>
      </c>
      <c r="E294" s="15">
        <f>VLOOKUP(F294,Referencia!$A$15:$B$193,2,0)</f>
        <v>2</v>
      </c>
      <c r="F294" s="1" t="s">
        <v>112</v>
      </c>
      <c r="G294" s="1" t="s">
        <v>628</v>
      </c>
      <c r="H294" s="1">
        <v>1</v>
      </c>
      <c r="I294" s="5" t="s">
        <v>31</v>
      </c>
      <c r="J294" s="21">
        <v>50000</v>
      </c>
      <c r="K294" s="21">
        <v>100000</v>
      </c>
      <c r="L294" s="21">
        <f t="shared" si="6"/>
        <v>50000</v>
      </c>
      <c r="M294" s="1" t="s">
        <v>27</v>
      </c>
      <c r="N294" s="1" t="s">
        <v>24</v>
      </c>
    </row>
    <row r="295" spans="1:14" x14ac:dyDescent="0.35">
      <c r="A295" s="17">
        <v>45878</v>
      </c>
      <c r="B295" s="1" t="s">
        <v>9</v>
      </c>
      <c r="C295" s="26" t="str">
        <f>VLOOKUP(F295,Clientes!$B$2:$C$179,2,0)</f>
        <v>Sopó</v>
      </c>
      <c r="D295" s="1" t="s">
        <v>619</v>
      </c>
      <c r="E295" s="15">
        <f>VLOOKUP(F295,Referencia!$A$15:$B$193,2,0)</f>
        <v>2</v>
      </c>
      <c r="F295" s="1" t="s">
        <v>112</v>
      </c>
      <c r="G295" s="1" t="s">
        <v>91</v>
      </c>
      <c r="H295" s="1">
        <v>1</v>
      </c>
      <c r="I295" s="1" t="s">
        <v>40</v>
      </c>
      <c r="J295" s="21">
        <v>45000</v>
      </c>
      <c r="K295" s="21">
        <v>90000</v>
      </c>
      <c r="L295" s="21">
        <f t="shared" si="6"/>
        <v>45000</v>
      </c>
      <c r="M295" s="1" t="s">
        <v>27</v>
      </c>
      <c r="N295" s="1" t="s">
        <v>24</v>
      </c>
    </row>
    <row r="296" spans="1:14" x14ac:dyDescent="0.35">
      <c r="A296" s="17">
        <v>45878</v>
      </c>
      <c r="B296" s="1" t="s">
        <v>9</v>
      </c>
      <c r="C296" s="26" t="str">
        <f>VLOOKUP(F296,Clientes!$B$2:$C$179,2,0)</f>
        <v>Sopó</v>
      </c>
      <c r="D296" s="1" t="s">
        <v>619</v>
      </c>
      <c r="E296" s="15">
        <f>VLOOKUP(F296,Referencia!$A$15:$B$193,2,0)</f>
        <v>2</v>
      </c>
      <c r="F296" s="1" t="s">
        <v>112</v>
      </c>
      <c r="G296" s="1" t="s">
        <v>575</v>
      </c>
      <c r="H296" s="1">
        <v>1</v>
      </c>
      <c r="I296" s="1" t="s">
        <v>40</v>
      </c>
      <c r="J296" s="21">
        <v>40000</v>
      </c>
      <c r="K296" s="21">
        <v>80000</v>
      </c>
      <c r="L296" s="21">
        <f t="shared" si="6"/>
        <v>40000</v>
      </c>
      <c r="M296" s="1" t="s">
        <v>27</v>
      </c>
      <c r="N296" s="1" t="s">
        <v>24</v>
      </c>
    </row>
    <row r="297" spans="1:14" x14ac:dyDescent="0.35">
      <c r="A297" s="17">
        <v>45878</v>
      </c>
      <c r="B297" s="1" t="s">
        <v>9</v>
      </c>
      <c r="C297" s="26" t="str">
        <f>VLOOKUP(F297,Clientes!$B$2:$C$179,2,0)</f>
        <v>Sopó</v>
      </c>
      <c r="D297" s="1" t="s">
        <v>619</v>
      </c>
      <c r="E297" s="15">
        <f>VLOOKUP(F297,Referencia!$A$15:$B$193,2,0)</f>
        <v>2</v>
      </c>
      <c r="F297" s="1" t="s">
        <v>112</v>
      </c>
      <c r="G297" s="1" t="s">
        <v>576</v>
      </c>
      <c r="H297" s="1">
        <v>1</v>
      </c>
      <c r="I297" s="1"/>
      <c r="J297" s="21"/>
      <c r="K297" s="21">
        <v>70000</v>
      </c>
      <c r="L297" s="21">
        <f t="shared" si="6"/>
        <v>70000</v>
      </c>
      <c r="M297" s="1" t="s">
        <v>27</v>
      </c>
      <c r="N297" s="1" t="s">
        <v>24</v>
      </c>
    </row>
    <row r="298" spans="1:14" x14ac:dyDescent="0.35">
      <c r="A298" s="17">
        <v>45878</v>
      </c>
      <c r="B298" s="1" t="s">
        <v>9</v>
      </c>
      <c r="C298" s="26" t="str">
        <f>VLOOKUP(F298,Clientes!$B$2:$C$179,2,0)</f>
        <v>Chia</v>
      </c>
      <c r="D298" s="1" t="s">
        <v>619</v>
      </c>
      <c r="E298" s="15">
        <f>VLOOKUP(F298,Referencia!$A$15:$B$193,2,0)</f>
        <v>10</v>
      </c>
      <c r="F298" s="1" t="s">
        <v>622</v>
      </c>
      <c r="G298" s="1" t="s">
        <v>577</v>
      </c>
      <c r="H298" s="1">
        <v>1</v>
      </c>
      <c r="I298" s="1" t="s">
        <v>59</v>
      </c>
      <c r="J298" s="21">
        <v>180000</v>
      </c>
      <c r="K298" s="21">
        <v>360000</v>
      </c>
      <c r="L298" s="21">
        <f t="shared" si="6"/>
        <v>180000</v>
      </c>
      <c r="M298" s="1" t="s">
        <v>27</v>
      </c>
      <c r="N298" s="1" t="s">
        <v>24</v>
      </c>
    </row>
    <row r="299" spans="1:14" x14ac:dyDescent="0.35">
      <c r="A299" s="17">
        <v>45882</v>
      </c>
      <c r="B299" s="1" t="s">
        <v>615</v>
      </c>
      <c r="C299" s="26" t="str">
        <f>VLOOKUP(F299,Clientes!$B$2:$C$179,2,0)</f>
        <v>Tabio</v>
      </c>
      <c r="D299" s="1" t="s">
        <v>619</v>
      </c>
      <c r="E299" s="15">
        <f>VLOOKUP(F299,Referencia!$A$15:$B$193,2,0)</f>
        <v>38</v>
      </c>
      <c r="F299" s="1" t="s">
        <v>179</v>
      </c>
      <c r="G299" s="1" t="s">
        <v>44</v>
      </c>
      <c r="H299" s="1">
        <v>1</v>
      </c>
      <c r="I299" s="1" t="s">
        <v>40</v>
      </c>
      <c r="J299" s="21">
        <v>20000</v>
      </c>
      <c r="K299" s="21">
        <v>0</v>
      </c>
      <c r="L299" s="21">
        <f t="shared" si="6"/>
        <v>-20000</v>
      </c>
      <c r="M299" s="1" t="s">
        <v>27</v>
      </c>
      <c r="N299" s="1" t="s">
        <v>24</v>
      </c>
    </row>
    <row r="300" spans="1:14" x14ac:dyDescent="0.35">
      <c r="A300" s="17">
        <v>45882</v>
      </c>
      <c r="B300" s="1" t="s">
        <v>615</v>
      </c>
      <c r="C300" s="26" t="str">
        <f>VLOOKUP(F300,Clientes!$B$2:$C$179,2,0)</f>
        <v>Tabio</v>
      </c>
      <c r="D300" s="1" t="s">
        <v>619</v>
      </c>
      <c r="E300" s="15">
        <f>VLOOKUP(F300,Referencia!$A$15:$B$193,2,0)</f>
        <v>38</v>
      </c>
      <c r="F300" s="1" t="s">
        <v>179</v>
      </c>
      <c r="G300" s="1" t="s">
        <v>581</v>
      </c>
      <c r="H300" s="1">
        <v>1</v>
      </c>
      <c r="I300" s="1" t="s">
        <v>40</v>
      </c>
      <c r="J300" s="23">
        <v>10000</v>
      </c>
      <c r="K300" s="22">
        <v>20000</v>
      </c>
      <c r="L300" s="21">
        <f t="shared" si="6"/>
        <v>10000</v>
      </c>
      <c r="M300" s="1" t="s">
        <v>27</v>
      </c>
      <c r="N300" s="1" t="s">
        <v>24</v>
      </c>
    </row>
    <row r="301" spans="1:14" x14ac:dyDescent="0.35">
      <c r="A301" s="17">
        <v>45882</v>
      </c>
      <c r="B301" s="1" t="s">
        <v>615</v>
      </c>
      <c r="C301" s="26" t="str">
        <f>VLOOKUP(F301,Clientes!$B$2:$C$179,2,0)</f>
        <v>Tabio</v>
      </c>
      <c r="D301" s="1" t="s">
        <v>619</v>
      </c>
      <c r="E301" s="15">
        <f>VLOOKUP(F301,Referencia!$A$15:$B$193,2,0)</f>
        <v>38</v>
      </c>
      <c r="F301" s="1" t="s">
        <v>179</v>
      </c>
      <c r="G301" s="1" t="s">
        <v>582</v>
      </c>
      <c r="H301" s="1">
        <v>1</v>
      </c>
      <c r="I301" s="1" t="s">
        <v>40</v>
      </c>
      <c r="J301" s="21">
        <v>38000</v>
      </c>
      <c r="K301" s="21">
        <v>75000</v>
      </c>
      <c r="L301" s="21">
        <f t="shared" si="6"/>
        <v>37000</v>
      </c>
      <c r="M301" s="1" t="s">
        <v>27</v>
      </c>
      <c r="N301" s="1" t="s">
        <v>24</v>
      </c>
    </row>
    <row r="302" spans="1:14" x14ac:dyDescent="0.35">
      <c r="A302" s="17">
        <v>45882</v>
      </c>
      <c r="B302" s="1" t="s">
        <v>615</v>
      </c>
      <c r="C302" s="26" t="str">
        <f>VLOOKUP(F302,Clientes!$B$2:$C$179,2,0)</f>
        <v>Tabio</v>
      </c>
      <c r="D302" s="1" t="s">
        <v>619</v>
      </c>
      <c r="E302" s="15">
        <f>VLOOKUP(F302,Referencia!$A$15:$B$193,2,0)</f>
        <v>38</v>
      </c>
      <c r="F302" s="1" t="s">
        <v>179</v>
      </c>
      <c r="G302" s="1" t="s">
        <v>583</v>
      </c>
      <c r="H302" s="1">
        <v>1</v>
      </c>
      <c r="I302" s="1" t="s">
        <v>35</v>
      </c>
      <c r="J302" s="21"/>
      <c r="K302" s="21">
        <v>480000</v>
      </c>
      <c r="L302" s="21">
        <f t="shared" si="6"/>
        <v>480000</v>
      </c>
      <c r="M302" s="1" t="s">
        <v>27</v>
      </c>
      <c r="N302" s="1" t="s">
        <v>24</v>
      </c>
    </row>
    <row r="303" spans="1:14" x14ac:dyDescent="0.35">
      <c r="A303" s="17">
        <v>45882</v>
      </c>
      <c r="B303" s="1" t="s">
        <v>615</v>
      </c>
      <c r="C303" s="26" t="str">
        <f>VLOOKUP(F303,Clientes!$B$2:$C$179,2,0)</f>
        <v>Tabio</v>
      </c>
      <c r="D303" s="1" t="s">
        <v>619</v>
      </c>
      <c r="E303" s="15">
        <f>VLOOKUP(F303,Referencia!$A$15:$B$193,2,0)</f>
        <v>38</v>
      </c>
      <c r="F303" s="1" t="s">
        <v>179</v>
      </c>
      <c r="G303" s="1" t="s">
        <v>584</v>
      </c>
      <c r="H303" s="1">
        <v>1</v>
      </c>
      <c r="I303" s="1" t="s">
        <v>40</v>
      </c>
      <c r="J303" s="21">
        <v>125000</v>
      </c>
      <c r="K303" s="21">
        <v>190000</v>
      </c>
      <c r="L303" s="21">
        <f t="shared" si="6"/>
        <v>65000</v>
      </c>
      <c r="M303" s="1" t="s">
        <v>27</v>
      </c>
      <c r="N303" s="1" t="s">
        <v>24</v>
      </c>
    </row>
    <row r="304" spans="1:14" x14ac:dyDescent="0.35">
      <c r="A304" s="17">
        <v>45882</v>
      </c>
      <c r="B304" s="1" t="s">
        <v>615</v>
      </c>
      <c r="C304" s="26" t="str">
        <f>VLOOKUP(F304,Clientes!$B$2:$C$179,2,0)</f>
        <v>Tabio</v>
      </c>
      <c r="D304" s="1" t="s">
        <v>619</v>
      </c>
      <c r="E304" s="15">
        <f>VLOOKUP(F304,Referencia!$A$15:$B$193,2,0)</f>
        <v>38</v>
      </c>
      <c r="F304" s="1" t="s">
        <v>179</v>
      </c>
      <c r="G304" s="1" t="s">
        <v>585</v>
      </c>
      <c r="H304" s="1">
        <v>1</v>
      </c>
      <c r="I304" s="1" t="s">
        <v>43</v>
      </c>
      <c r="J304" s="21">
        <v>20380</v>
      </c>
      <c r="K304" s="21">
        <v>38000</v>
      </c>
      <c r="L304" s="21">
        <f t="shared" si="6"/>
        <v>17620</v>
      </c>
      <c r="M304" s="1" t="s">
        <v>27</v>
      </c>
      <c r="N304" s="1" t="s">
        <v>24</v>
      </c>
    </row>
    <row r="305" spans="1:14" x14ac:dyDescent="0.35">
      <c r="A305" s="17">
        <v>45882</v>
      </c>
      <c r="B305" s="1" t="s">
        <v>615</v>
      </c>
      <c r="C305" s="26" t="str">
        <f>VLOOKUP(F305,Clientes!$B$2:$C$179,2,0)</f>
        <v>Tabio</v>
      </c>
      <c r="D305" s="1" t="s">
        <v>619</v>
      </c>
      <c r="E305" s="15">
        <f>VLOOKUP(F305,Referencia!$A$15:$B$193,2,0)</f>
        <v>38</v>
      </c>
      <c r="F305" s="1" t="s">
        <v>179</v>
      </c>
      <c r="G305" s="1" t="s">
        <v>586</v>
      </c>
      <c r="H305" s="1">
        <v>2</v>
      </c>
      <c r="I305" s="5" t="s">
        <v>442</v>
      </c>
      <c r="J305" s="21">
        <v>60000</v>
      </c>
      <c r="K305" s="21">
        <v>120000</v>
      </c>
      <c r="L305" s="21">
        <f t="shared" si="6"/>
        <v>60000</v>
      </c>
      <c r="M305" s="1" t="s">
        <v>27</v>
      </c>
      <c r="N305" s="1" t="s">
        <v>24</v>
      </c>
    </row>
    <row r="306" spans="1:14" x14ac:dyDescent="0.35">
      <c r="A306" s="17">
        <v>45882</v>
      </c>
      <c r="B306" s="1" t="s">
        <v>615</v>
      </c>
      <c r="C306" s="26" t="str">
        <f>VLOOKUP(F306,Clientes!$B$2:$C$179,2,0)</f>
        <v>Tabio</v>
      </c>
      <c r="D306" s="1" t="s">
        <v>619</v>
      </c>
      <c r="E306" s="15">
        <f>VLOOKUP(F306,Referencia!$A$15:$B$193,2,0)</f>
        <v>38</v>
      </c>
      <c r="F306" s="1" t="s">
        <v>179</v>
      </c>
      <c r="G306" s="1" t="s">
        <v>587</v>
      </c>
      <c r="H306" s="1">
        <v>1</v>
      </c>
      <c r="I306" s="1" t="s">
        <v>26</v>
      </c>
      <c r="J306" s="21"/>
      <c r="K306" s="21">
        <v>35000</v>
      </c>
      <c r="L306" s="21">
        <f t="shared" si="6"/>
        <v>35000</v>
      </c>
      <c r="M306" s="1" t="s">
        <v>27</v>
      </c>
      <c r="N306" s="1" t="s">
        <v>24</v>
      </c>
    </row>
    <row r="307" spans="1:14" x14ac:dyDescent="0.35">
      <c r="A307" s="17">
        <v>45882</v>
      </c>
      <c r="B307" s="1" t="s">
        <v>615</v>
      </c>
      <c r="C307" s="26" t="str">
        <f>VLOOKUP(F307,Clientes!$B$2:$C$179,2,0)</f>
        <v>Tabio</v>
      </c>
      <c r="D307" s="1" t="s">
        <v>619</v>
      </c>
      <c r="E307" s="15">
        <f>VLOOKUP(F307,Referencia!$A$15:$B$193,2,0)</f>
        <v>38</v>
      </c>
      <c r="F307" s="1" t="s">
        <v>179</v>
      </c>
      <c r="G307" s="1" t="s">
        <v>434</v>
      </c>
      <c r="H307" s="1">
        <v>1</v>
      </c>
      <c r="I307" s="5" t="s">
        <v>74</v>
      </c>
      <c r="J307" s="21">
        <v>35000</v>
      </c>
      <c r="K307" s="21">
        <v>55000</v>
      </c>
      <c r="L307" s="21">
        <f t="shared" si="6"/>
        <v>20000</v>
      </c>
      <c r="M307" s="1" t="s">
        <v>27</v>
      </c>
      <c r="N307" s="1" t="s">
        <v>24</v>
      </c>
    </row>
    <row r="308" spans="1:14" x14ac:dyDescent="0.35">
      <c r="A308" s="17">
        <v>45882</v>
      </c>
      <c r="B308" s="1" t="s">
        <v>615</v>
      </c>
      <c r="C308" s="26" t="str">
        <f>VLOOKUP(F308,Clientes!$B$2:$C$179,2,0)</f>
        <v>Tabio</v>
      </c>
      <c r="D308" s="1" t="s">
        <v>619</v>
      </c>
      <c r="E308" s="15">
        <f>VLOOKUP(F308,Referencia!$A$15:$B$193,2,0)</f>
        <v>38</v>
      </c>
      <c r="F308" s="1" t="s">
        <v>179</v>
      </c>
      <c r="G308" s="1" t="s">
        <v>588</v>
      </c>
      <c r="H308" s="1">
        <v>1</v>
      </c>
      <c r="I308" s="1" t="s">
        <v>59</v>
      </c>
      <c r="J308" s="21">
        <v>40000</v>
      </c>
      <c r="K308" s="21">
        <v>80000</v>
      </c>
      <c r="L308" s="21">
        <f t="shared" si="6"/>
        <v>40000</v>
      </c>
      <c r="M308" s="1" t="s">
        <v>27</v>
      </c>
      <c r="N308" s="1" t="s">
        <v>24</v>
      </c>
    </row>
    <row r="309" spans="1:14" x14ac:dyDescent="0.35">
      <c r="A309" s="17">
        <v>45882</v>
      </c>
      <c r="B309" s="1" t="s">
        <v>615</v>
      </c>
      <c r="C309" s="26" t="str">
        <f>VLOOKUP(F309,Clientes!$B$2:$C$179,2,0)</f>
        <v>Tabio</v>
      </c>
      <c r="D309" s="1" t="s">
        <v>619</v>
      </c>
      <c r="E309" s="15">
        <f>VLOOKUP(F309,Referencia!$A$15:$B$193,2,0)</f>
        <v>7</v>
      </c>
      <c r="F309" s="1" t="s">
        <v>453</v>
      </c>
      <c r="G309" s="1" t="s">
        <v>589</v>
      </c>
      <c r="H309" s="1">
        <v>1</v>
      </c>
      <c r="I309" s="1" t="s">
        <v>22</v>
      </c>
      <c r="J309" s="21">
        <v>50000</v>
      </c>
      <c r="K309" s="21">
        <v>90000</v>
      </c>
      <c r="L309" s="21">
        <f t="shared" si="6"/>
        <v>40000</v>
      </c>
      <c r="M309" s="1" t="s">
        <v>27</v>
      </c>
      <c r="N309" s="1" t="s">
        <v>24</v>
      </c>
    </row>
    <row r="310" spans="1:14" x14ac:dyDescent="0.35">
      <c r="A310" s="17">
        <v>45882</v>
      </c>
      <c r="B310" s="1" t="s">
        <v>615</v>
      </c>
      <c r="C310" s="26" t="str">
        <f>VLOOKUP(F310,Clientes!$B$2:$C$179,2,0)</f>
        <v>Tenjo</v>
      </c>
      <c r="D310" s="1" t="s">
        <v>619</v>
      </c>
      <c r="E310" s="15">
        <f>VLOOKUP(F310,Referencia!$A$15:$B$193,2,0)</f>
        <v>44</v>
      </c>
      <c r="F310" s="1" t="s">
        <v>459</v>
      </c>
      <c r="G310" s="1" t="s">
        <v>590</v>
      </c>
      <c r="H310" s="1">
        <v>1</v>
      </c>
      <c r="I310" s="1" t="s">
        <v>22</v>
      </c>
      <c r="J310" s="21">
        <v>49080</v>
      </c>
      <c r="K310" s="21">
        <v>90000</v>
      </c>
      <c r="L310" s="21">
        <f t="shared" si="6"/>
        <v>40920</v>
      </c>
      <c r="M310" s="1" t="s">
        <v>27</v>
      </c>
      <c r="N310" s="1" t="s">
        <v>24</v>
      </c>
    </row>
    <row r="311" spans="1:14" x14ac:dyDescent="0.35">
      <c r="A311" s="17">
        <v>45882</v>
      </c>
      <c r="B311" s="1" t="s">
        <v>615</v>
      </c>
      <c r="C311" s="26" t="str">
        <f>VLOOKUP(B311,Referencia!$B$2:$C$12,2,0)</f>
        <v>Tabio</v>
      </c>
      <c r="D311" s="13" t="s">
        <v>617</v>
      </c>
      <c r="E311" s="15" t="str">
        <f>VLOOKUP(F311,Referencia!$A$15:$B$193,2,0)</f>
        <v>R1</v>
      </c>
      <c r="F311" s="1" t="s">
        <v>477</v>
      </c>
      <c r="G311" s="1" t="s">
        <v>591</v>
      </c>
      <c r="H311" s="1">
        <v>1</v>
      </c>
      <c r="I311" s="1" t="s">
        <v>59</v>
      </c>
      <c r="J311" s="21">
        <v>105000</v>
      </c>
      <c r="K311" s="21">
        <v>240000</v>
      </c>
      <c r="L311" s="21">
        <f t="shared" si="6"/>
        <v>135000</v>
      </c>
      <c r="M311" s="1" t="s">
        <v>27</v>
      </c>
      <c r="N311" s="1" t="s">
        <v>24</v>
      </c>
    </row>
    <row r="312" spans="1:14" x14ac:dyDescent="0.35">
      <c r="A312" s="17">
        <v>45882</v>
      </c>
      <c r="B312" s="1" t="s">
        <v>9</v>
      </c>
      <c r="C312" s="26" t="str">
        <f>VLOOKUP(F312,Clientes!$B$2:$C$179,2,0)</f>
        <v>Chia</v>
      </c>
      <c r="D312" s="1" t="s">
        <v>619</v>
      </c>
      <c r="E312" s="15">
        <f>VLOOKUP(F312,Referencia!$A$15:$B$193,2,0)</f>
        <v>16</v>
      </c>
      <c r="F312" s="1" t="s">
        <v>79</v>
      </c>
      <c r="G312" s="1" t="s">
        <v>592</v>
      </c>
      <c r="H312" s="1">
        <v>1</v>
      </c>
      <c r="I312" s="1" t="s">
        <v>59</v>
      </c>
      <c r="J312" s="21">
        <v>240000</v>
      </c>
      <c r="K312" s="21">
        <v>390000</v>
      </c>
      <c r="L312" s="21">
        <f t="shared" si="6"/>
        <v>150000</v>
      </c>
      <c r="M312" s="1" t="s">
        <v>27</v>
      </c>
      <c r="N312" s="1" t="s">
        <v>24</v>
      </c>
    </row>
    <row r="313" spans="1:14" x14ac:dyDescent="0.35">
      <c r="A313" s="17">
        <v>45883</v>
      </c>
      <c r="B313" s="1" t="s">
        <v>8</v>
      </c>
      <c r="C313" s="26" t="str">
        <f>VLOOKUP(F313,Clientes!$B$2:$C$179,2,0)</f>
        <v>Briceño</v>
      </c>
      <c r="D313" s="1" t="s">
        <v>619</v>
      </c>
      <c r="E313" s="15">
        <f>VLOOKUP(F313,Referencia!$A$15:$B$193,2,0)</f>
        <v>35</v>
      </c>
      <c r="F313" s="1" t="s">
        <v>173</v>
      </c>
      <c r="G313" s="1" t="s">
        <v>593</v>
      </c>
      <c r="H313" s="1">
        <v>1</v>
      </c>
      <c r="I313" s="1" t="s">
        <v>22</v>
      </c>
      <c r="J313" s="21">
        <v>276260</v>
      </c>
      <c r="K313" s="21">
        <v>460000</v>
      </c>
      <c r="L313" s="21">
        <f t="shared" si="6"/>
        <v>183740</v>
      </c>
      <c r="M313" s="1" t="s">
        <v>27</v>
      </c>
      <c r="N313" s="1" t="s">
        <v>24</v>
      </c>
    </row>
    <row r="314" spans="1:14" x14ac:dyDescent="0.35">
      <c r="A314" s="17">
        <v>45883</v>
      </c>
      <c r="B314" s="1" t="s">
        <v>8</v>
      </c>
      <c r="C314" s="26" t="str">
        <f>VLOOKUP(F314,Clientes!$B$2:$C$179,2,0)</f>
        <v>Briceño</v>
      </c>
      <c r="D314" s="1" t="s">
        <v>619</v>
      </c>
      <c r="E314" s="15">
        <f>VLOOKUP(F314,Referencia!$A$15:$B$193,2,0)</f>
        <v>35</v>
      </c>
      <c r="F314" s="1" t="s">
        <v>173</v>
      </c>
      <c r="G314" s="1" t="s">
        <v>594</v>
      </c>
      <c r="H314" s="1">
        <v>1</v>
      </c>
      <c r="I314" s="1" t="s">
        <v>59</v>
      </c>
      <c r="J314" s="21">
        <v>30000</v>
      </c>
      <c r="K314" s="21">
        <v>70000</v>
      </c>
      <c r="L314" s="21">
        <f t="shared" si="6"/>
        <v>40000</v>
      </c>
      <c r="M314" s="1" t="s">
        <v>27</v>
      </c>
      <c r="N314" s="1" t="s">
        <v>24</v>
      </c>
    </row>
    <row r="315" spans="1:14" x14ac:dyDescent="0.35">
      <c r="A315" s="17">
        <v>45883</v>
      </c>
      <c r="B315" s="1" t="s">
        <v>8</v>
      </c>
      <c r="C315" s="26" t="str">
        <f>VLOOKUP(F315,Clientes!$B$2:$C$179,2,0)</f>
        <v>Sopó</v>
      </c>
      <c r="D315" s="1" t="s">
        <v>619</v>
      </c>
      <c r="E315" s="15">
        <f>VLOOKUP(F315,Referencia!$A$15:$B$193,2,0)</f>
        <v>2</v>
      </c>
      <c r="F315" s="1" t="s">
        <v>112</v>
      </c>
      <c r="G315" s="1" t="s">
        <v>80</v>
      </c>
      <c r="H315" s="1">
        <v>1</v>
      </c>
      <c r="I315" s="1" t="s">
        <v>40</v>
      </c>
      <c r="J315" s="21">
        <v>100000</v>
      </c>
      <c r="K315" s="21">
        <v>220000</v>
      </c>
      <c r="L315" s="21">
        <f t="shared" si="6"/>
        <v>120000</v>
      </c>
      <c r="M315" s="1" t="s">
        <v>27</v>
      </c>
      <c r="N315" s="1" t="s">
        <v>24</v>
      </c>
    </row>
    <row r="316" spans="1:14" x14ac:dyDescent="0.35">
      <c r="A316" s="17">
        <v>45883</v>
      </c>
      <c r="B316" s="1" t="s">
        <v>8</v>
      </c>
      <c r="C316" s="26" t="str">
        <f>VLOOKUP(F316,Clientes!$B$2:$C$179,2,0)</f>
        <v>Sopó</v>
      </c>
      <c r="D316" s="1" t="s">
        <v>619</v>
      </c>
      <c r="E316" s="15">
        <f>VLOOKUP(F316,Referencia!$A$15:$B$193,2,0)</f>
        <v>2</v>
      </c>
      <c r="F316" s="1" t="s">
        <v>112</v>
      </c>
      <c r="G316" s="1" t="s">
        <v>81</v>
      </c>
      <c r="H316" s="1">
        <v>1</v>
      </c>
      <c r="I316" s="1" t="s">
        <v>40</v>
      </c>
      <c r="J316" s="21">
        <v>135000</v>
      </c>
      <c r="K316" s="21">
        <v>200000</v>
      </c>
      <c r="L316" s="21">
        <f t="shared" si="6"/>
        <v>65000</v>
      </c>
      <c r="M316" s="1" t="s">
        <v>27</v>
      </c>
      <c r="N316" s="1" t="s">
        <v>24</v>
      </c>
    </row>
    <row r="317" spans="1:14" x14ac:dyDescent="0.35">
      <c r="A317" s="17">
        <v>45883</v>
      </c>
      <c r="B317" s="1" t="s">
        <v>8</v>
      </c>
      <c r="C317" s="26" t="str">
        <f>VLOOKUP(F317,Clientes!$B$2:$C$179,2,0)</f>
        <v>Sopó</v>
      </c>
      <c r="D317" s="1" t="s">
        <v>619</v>
      </c>
      <c r="E317" s="15">
        <f>VLOOKUP(F317,Referencia!$A$15:$B$193,2,0)</f>
        <v>2</v>
      </c>
      <c r="F317" s="1" t="s">
        <v>112</v>
      </c>
      <c r="G317" s="1" t="s">
        <v>595</v>
      </c>
      <c r="H317" s="1">
        <v>1</v>
      </c>
      <c r="I317" s="1" t="s">
        <v>22</v>
      </c>
      <c r="J317" s="21">
        <v>31000</v>
      </c>
      <c r="K317" s="21">
        <v>50000</v>
      </c>
      <c r="L317" s="21">
        <f t="shared" si="6"/>
        <v>19000</v>
      </c>
      <c r="M317" s="1" t="s">
        <v>27</v>
      </c>
      <c r="N317" s="1" t="s">
        <v>24</v>
      </c>
    </row>
    <row r="318" spans="1:14" x14ac:dyDescent="0.35">
      <c r="A318" s="17">
        <v>45883</v>
      </c>
      <c r="B318" s="1" t="s">
        <v>8</v>
      </c>
      <c r="C318" s="26" t="str">
        <f>VLOOKUP(F318,Clientes!$B$2:$C$179,2,0)</f>
        <v>Sopó</v>
      </c>
      <c r="D318" s="1" t="s">
        <v>619</v>
      </c>
      <c r="E318" s="15">
        <f>VLOOKUP(F318,Referencia!$A$15:$B$193,2,0)</f>
        <v>2</v>
      </c>
      <c r="F318" s="1" t="s">
        <v>112</v>
      </c>
      <c r="G318" s="1" t="s">
        <v>596</v>
      </c>
      <c r="H318" s="1">
        <v>1</v>
      </c>
      <c r="I318" s="1" t="s">
        <v>59</v>
      </c>
      <c r="J318" s="21">
        <v>45000</v>
      </c>
      <c r="K318" s="21">
        <v>90000</v>
      </c>
      <c r="L318" s="21">
        <f t="shared" si="6"/>
        <v>45000</v>
      </c>
      <c r="M318" s="1" t="s">
        <v>27</v>
      </c>
      <c r="N318" s="1" t="s">
        <v>24</v>
      </c>
    </row>
    <row r="319" spans="1:14" x14ac:dyDescent="0.35">
      <c r="A319" s="17">
        <v>45883</v>
      </c>
      <c r="B319" s="1" t="s">
        <v>8</v>
      </c>
      <c r="C319" s="26" t="str">
        <f>VLOOKUP(F319,Clientes!$B$2:$C$179,2,0)</f>
        <v>Sopó</v>
      </c>
      <c r="D319" s="1" t="s">
        <v>619</v>
      </c>
      <c r="E319" s="15">
        <f>VLOOKUP(F319,Referencia!$A$15:$B$193,2,0)</f>
        <v>2</v>
      </c>
      <c r="F319" s="1" t="s">
        <v>112</v>
      </c>
      <c r="G319" s="1" t="s">
        <v>70</v>
      </c>
      <c r="H319" s="1">
        <v>1</v>
      </c>
      <c r="I319" s="1" t="s">
        <v>22</v>
      </c>
      <c r="J319" s="21">
        <v>4165</v>
      </c>
      <c r="K319" s="21">
        <v>7500</v>
      </c>
      <c r="L319" s="21">
        <f t="shared" si="6"/>
        <v>3335</v>
      </c>
      <c r="M319" s="1" t="s">
        <v>27</v>
      </c>
      <c r="N319" s="1" t="s">
        <v>24</v>
      </c>
    </row>
    <row r="320" spans="1:14" x14ac:dyDescent="0.35">
      <c r="A320" s="17">
        <v>45883</v>
      </c>
      <c r="B320" s="1" t="s">
        <v>8</v>
      </c>
      <c r="C320" s="26" t="str">
        <f>VLOOKUP(F320,Clientes!$B$2:$C$179,2,0)</f>
        <v>Sopó</v>
      </c>
      <c r="D320" s="1" t="s">
        <v>619</v>
      </c>
      <c r="E320" s="15">
        <f>VLOOKUP(F320,Referencia!$A$15:$B$193,2,0)</f>
        <v>2</v>
      </c>
      <c r="F320" s="1" t="s">
        <v>112</v>
      </c>
      <c r="G320" s="1" t="s">
        <v>597</v>
      </c>
      <c r="H320" s="1">
        <v>1</v>
      </c>
      <c r="I320" s="1" t="s">
        <v>22</v>
      </c>
      <c r="J320" s="21">
        <v>4500</v>
      </c>
      <c r="K320" s="21">
        <v>7500</v>
      </c>
      <c r="L320" s="21">
        <f t="shared" si="6"/>
        <v>3000</v>
      </c>
      <c r="M320" s="1" t="s">
        <v>27</v>
      </c>
      <c r="N320" s="1" t="s">
        <v>24</v>
      </c>
    </row>
    <row r="321" spans="1:14" x14ac:dyDescent="0.35">
      <c r="A321" s="17">
        <v>45883</v>
      </c>
      <c r="B321" s="1" t="s">
        <v>8</v>
      </c>
      <c r="C321" s="26" t="str">
        <f>VLOOKUP(F321,Clientes!$B$2:$C$179,2,0)</f>
        <v>Tocancipá</v>
      </c>
      <c r="D321" s="1" t="s">
        <v>619</v>
      </c>
      <c r="E321" s="15">
        <f>VLOOKUP(F321,Referencia!$A$15:$B$193,2,0)</f>
        <v>179</v>
      </c>
      <c r="F321" s="1" t="s">
        <v>518</v>
      </c>
      <c r="G321" s="1" t="s">
        <v>598</v>
      </c>
      <c r="H321" s="1">
        <v>1</v>
      </c>
      <c r="I321" s="1" t="s">
        <v>40</v>
      </c>
      <c r="J321" s="21">
        <v>10000</v>
      </c>
      <c r="K321" s="21">
        <v>20000</v>
      </c>
      <c r="L321" s="21">
        <f t="shared" si="6"/>
        <v>10000</v>
      </c>
      <c r="M321" s="1" t="s">
        <v>27</v>
      </c>
      <c r="N321" s="1" t="s">
        <v>24</v>
      </c>
    </row>
    <row r="322" spans="1:14" x14ac:dyDescent="0.35">
      <c r="A322" s="17">
        <v>45883</v>
      </c>
      <c r="B322" s="1" t="s">
        <v>8</v>
      </c>
      <c r="C322" s="26" t="str">
        <f>VLOOKUP(F322,Clientes!$B$2:$C$179,2,0)</f>
        <v>Tocancipá</v>
      </c>
      <c r="D322" s="1" t="s">
        <v>619</v>
      </c>
      <c r="E322" s="15">
        <f>VLOOKUP(F322,Referencia!$A$15:$B$193,2,0)</f>
        <v>29</v>
      </c>
      <c r="F322" s="1" t="s">
        <v>441</v>
      </c>
      <c r="G322" s="1" t="s">
        <v>631</v>
      </c>
      <c r="H322" s="1">
        <v>1</v>
      </c>
      <c r="I322" s="1" t="s">
        <v>32</v>
      </c>
      <c r="J322" s="21">
        <v>10500</v>
      </c>
      <c r="K322" s="21">
        <v>18000</v>
      </c>
      <c r="L322" s="21">
        <f t="shared" si="6"/>
        <v>7500</v>
      </c>
      <c r="M322" s="1" t="s">
        <v>27</v>
      </c>
      <c r="N322" s="1" t="s">
        <v>24</v>
      </c>
    </row>
    <row r="323" spans="1:14" x14ac:dyDescent="0.35">
      <c r="A323" s="17">
        <v>45883</v>
      </c>
      <c r="B323" s="1" t="s">
        <v>8</v>
      </c>
      <c r="C323" s="26" t="str">
        <f>VLOOKUP(F323,Clientes!$B$2:$C$179,2,0)</f>
        <v>Tocancipá</v>
      </c>
      <c r="D323" s="1" t="s">
        <v>619</v>
      </c>
      <c r="E323" s="15">
        <f>VLOOKUP(F323,Referencia!$A$15:$B$193,2,0)</f>
        <v>29</v>
      </c>
      <c r="F323" s="1" t="s">
        <v>441</v>
      </c>
      <c r="G323" s="1" t="s">
        <v>455</v>
      </c>
      <c r="H323" s="1">
        <v>1</v>
      </c>
      <c r="I323" s="5" t="s">
        <v>456</v>
      </c>
      <c r="J323" s="21">
        <v>5800</v>
      </c>
      <c r="K323" s="21">
        <v>12000</v>
      </c>
      <c r="L323" s="21">
        <f t="shared" si="6"/>
        <v>6200</v>
      </c>
      <c r="M323" s="1" t="s">
        <v>27</v>
      </c>
      <c r="N323" s="1" t="s">
        <v>24</v>
      </c>
    </row>
    <row r="324" spans="1:14" x14ac:dyDescent="0.35">
      <c r="A324" s="17">
        <v>45883</v>
      </c>
      <c r="B324" s="1" t="s">
        <v>8</v>
      </c>
      <c r="C324" s="26" t="str">
        <f>VLOOKUP(F324,Clientes!$B$2:$C$179,2,0)</f>
        <v>Tocancipá</v>
      </c>
      <c r="D324" s="1" t="s">
        <v>619</v>
      </c>
      <c r="E324" s="15">
        <f>VLOOKUP(F324,Referencia!$A$15:$B$193,2,0)</f>
        <v>29</v>
      </c>
      <c r="F324" s="1" t="s">
        <v>441</v>
      </c>
      <c r="G324" s="1" t="s">
        <v>519</v>
      </c>
      <c r="H324" s="1">
        <v>1</v>
      </c>
      <c r="I324" s="1" t="s">
        <v>40</v>
      </c>
      <c r="J324" s="21">
        <v>12000</v>
      </c>
      <c r="K324" s="21">
        <v>20000</v>
      </c>
      <c r="L324" s="21">
        <f t="shared" si="6"/>
        <v>8000</v>
      </c>
      <c r="M324" s="1" t="s">
        <v>27</v>
      </c>
      <c r="N324" s="1" t="s">
        <v>24</v>
      </c>
    </row>
    <row r="325" spans="1:14" x14ac:dyDescent="0.35">
      <c r="A325" s="17">
        <v>45883</v>
      </c>
      <c r="B325" s="1" t="s">
        <v>8</v>
      </c>
      <c r="C325" s="26" t="str">
        <f>VLOOKUP(F325,Clientes!$B$2:$C$179,2,0)</f>
        <v>Tocancipá</v>
      </c>
      <c r="D325" s="1" t="s">
        <v>619</v>
      </c>
      <c r="E325" s="15">
        <f>VLOOKUP(F325,Referencia!$A$15:$B$193,2,0)</f>
        <v>49</v>
      </c>
      <c r="F325" s="1" t="s">
        <v>77</v>
      </c>
      <c r="G325" s="1" t="s">
        <v>586</v>
      </c>
      <c r="H325" s="1">
        <v>1</v>
      </c>
      <c r="I325" s="5" t="s">
        <v>442</v>
      </c>
      <c r="J325" s="21">
        <v>30000</v>
      </c>
      <c r="K325" s="21">
        <v>60000</v>
      </c>
      <c r="L325" s="21">
        <f t="shared" si="6"/>
        <v>30000</v>
      </c>
      <c r="M325" s="1" t="s">
        <v>27</v>
      </c>
      <c r="N325" s="1" t="s">
        <v>24</v>
      </c>
    </row>
    <row r="326" spans="1:14" x14ac:dyDescent="0.35">
      <c r="A326" s="17">
        <v>45883</v>
      </c>
      <c r="B326" s="1" t="s">
        <v>8</v>
      </c>
      <c r="C326" s="26" t="str">
        <f>VLOOKUP(F326,Clientes!$B$2:$C$179,2,0)</f>
        <v>Tocancipá</v>
      </c>
      <c r="D326" s="1" t="s">
        <v>619</v>
      </c>
      <c r="E326" s="15">
        <f>VLOOKUP(F326,Referencia!$A$15:$B$193,2,0)</f>
        <v>49</v>
      </c>
      <c r="F326" s="1" t="s">
        <v>77</v>
      </c>
      <c r="G326" s="1" t="s">
        <v>460</v>
      </c>
      <c r="H326" s="1">
        <v>1</v>
      </c>
      <c r="I326" s="1" t="s">
        <v>59</v>
      </c>
      <c r="J326" s="21">
        <v>100000</v>
      </c>
      <c r="K326" s="21">
        <v>190000</v>
      </c>
      <c r="L326" s="21">
        <f t="shared" si="6"/>
        <v>90000</v>
      </c>
      <c r="M326" s="1" t="s">
        <v>27</v>
      </c>
      <c r="N326" s="1" t="s">
        <v>24</v>
      </c>
    </row>
    <row r="327" spans="1:14" x14ac:dyDescent="0.35">
      <c r="A327" s="17">
        <v>45883</v>
      </c>
      <c r="B327" s="1" t="s">
        <v>8</v>
      </c>
      <c r="C327" s="26" t="str">
        <f>VLOOKUP(F327,Clientes!$B$2:$C$179,2,0)</f>
        <v>Sopó</v>
      </c>
      <c r="D327" s="1" t="s">
        <v>619</v>
      </c>
      <c r="E327" s="15">
        <f>VLOOKUP(F327,Referencia!$A$15:$B$193,2,0)</f>
        <v>1</v>
      </c>
      <c r="F327" s="1" t="s">
        <v>108</v>
      </c>
      <c r="G327" s="1" t="s">
        <v>599</v>
      </c>
      <c r="H327" s="1">
        <v>1</v>
      </c>
      <c r="I327" s="1" t="s">
        <v>26</v>
      </c>
      <c r="J327" s="21">
        <v>38000</v>
      </c>
      <c r="K327" s="21">
        <v>60000</v>
      </c>
      <c r="L327" s="21">
        <f t="shared" si="6"/>
        <v>22000</v>
      </c>
      <c r="M327" s="1" t="s">
        <v>27</v>
      </c>
      <c r="N327" s="1" t="s">
        <v>24</v>
      </c>
    </row>
    <row r="328" spans="1:14" x14ac:dyDescent="0.35">
      <c r="A328" s="17">
        <v>45883</v>
      </c>
      <c r="B328" s="1" t="s">
        <v>8</v>
      </c>
      <c r="C328" s="26" t="str">
        <f>VLOOKUP(F328,Clientes!$B$2:$C$179,2,0)</f>
        <v>Sopó</v>
      </c>
      <c r="D328" s="1" t="s">
        <v>619</v>
      </c>
      <c r="E328" s="15">
        <f>VLOOKUP(F328,Referencia!$A$15:$B$193,2,0)</f>
        <v>1</v>
      </c>
      <c r="F328" s="1" t="s">
        <v>108</v>
      </c>
      <c r="G328" s="1" t="s">
        <v>454</v>
      </c>
      <c r="H328" s="1">
        <v>1</v>
      </c>
      <c r="I328" s="1" t="s">
        <v>59</v>
      </c>
      <c r="J328" s="21">
        <v>55000</v>
      </c>
      <c r="K328" s="21">
        <v>125000</v>
      </c>
      <c r="L328" s="21">
        <f t="shared" si="6"/>
        <v>70000</v>
      </c>
      <c r="M328" s="1" t="s">
        <v>27</v>
      </c>
      <c r="N328" s="1" t="s">
        <v>24</v>
      </c>
    </row>
    <row r="329" spans="1:14" x14ac:dyDescent="0.35">
      <c r="A329" s="17">
        <v>45884</v>
      </c>
      <c r="B329" s="1" t="s">
        <v>9</v>
      </c>
      <c r="C329" s="26" t="str">
        <f>VLOOKUP(F329,Clientes!$B$2:$C$179,2,0)</f>
        <v>Chia</v>
      </c>
      <c r="D329" s="1" t="s">
        <v>619</v>
      </c>
      <c r="E329" s="15">
        <f>VLOOKUP(F329,Referencia!$A$15:$B$193,2,0)</f>
        <v>8</v>
      </c>
      <c r="F329" s="1" t="s">
        <v>511</v>
      </c>
      <c r="G329" s="1" t="s">
        <v>600</v>
      </c>
      <c r="H329" s="1">
        <v>1</v>
      </c>
      <c r="I329" s="1" t="s">
        <v>35</v>
      </c>
      <c r="J329" s="21">
        <v>146500</v>
      </c>
      <c r="K329" s="21">
        <v>280000</v>
      </c>
      <c r="L329" s="21">
        <f t="shared" si="6"/>
        <v>133500</v>
      </c>
      <c r="M329" s="1" t="s">
        <v>27</v>
      </c>
      <c r="N329" s="1" t="s">
        <v>24</v>
      </c>
    </row>
    <row r="330" spans="1:14" x14ac:dyDescent="0.35">
      <c r="A330" s="17">
        <v>45884</v>
      </c>
      <c r="B330" s="1" t="s">
        <v>9</v>
      </c>
      <c r="C330" s="26" t="str">
        <f>VLOOKUP(F330,Clientes!$B$2:$C$179,2,0)</f>
        <v>Chia</v>
      </c>
      <c r="D330" s="1" t="s">
        <v>619</v>
      </c>
      <c r="E330" s="15">
        <f>VLOOKUP(F330,Referencia!$A$15:$B$193,2,0)</f>
        <v>8</v>
      </c>
      <c r="F330" s="1" t="s">
        <v>511</v>
      </c>
      <c r="G330" s="1" t="s">
        <v>601</v>
      </c>
      <c r="H330" s="1">
        <v>1</v>
      </c>
      <c r="I330" s="1" t="s">
        <v>22</v>
      </c>
      <c r="J330" s="21"/>
      <c r="K330" s="21">
        <v>70000</v>
      </c>
      <c r="L330" s="21">
        <f t="shared" si="6"/>
        <v>70000</v>
      </c>
      <c r="M330" s="1" t="s">
        <v>27</v>
      </c>
      <c r="N330" s="1" t="s">
        <v>24</v>
      </c>
    </row>
    <row r="331" spans="1:14" x14ac:dyDescent="0.35">
      <c r="A331" s="17">
        <v>45884</v>
      </c>
      <c r="B331" s="1" t="s">
        <v>9</v>
      </c>
      <c r="C331" s="26" t="str">
        <f>VLOOKUP(F331,Clientes!$B$2:$C$179,2,0)</f>
        <v>Chia</v>
      </c>
      <c r="D331" s="1" t="s">
        <v>619</v>
      </c>
      <c r="E331" s="15">
        <f>VLOOKUP(F331,Referencia!$A$15:$B$193,2,0)</f>
        <v>8</v>
      </c>
      <c r="F331" s="1" t="s">
        <v>511</v>
      </c>
      <c r="G331" s="1" t="s">
        <v>602</v>
      </c>
      <c r="H331" s="1">
        <v>1</v>
      </c>
      <c r="I331" s="1" t="s">
        <v>22</v>
      </c>
      <c r="J331" s="21">
        <v>9000</v>
      </c>
      <c r="K331" s="21">
        <v>20000</v>
      </c>
      <c r="L331" s="21">
        <f t="shared" si="6"/>
        <v>11000</v>
      </c>
      <c r="M331" s="1" t="s">
        <v>27</v>
      </c>
      <c r="N331" s="1" t="s">
        <v>24</v>
      </c>
    </row>
    <row r="332" spans="1:14" x14ac:dyDescent="0.35">
      <c r="A332" s="17">
        <v>45884</v>
      </c>
      <c r="B332" s="1" t="s">
        <v>9</v>
      </c>
      <c r="C332" s="26" t="str">
        <f>VLOOKUP(F332,Clientes!$B$2:$C$179,2,0)</f>
        <v>Cota</v>
      </c>
      <c r="D332" s="1" t="s">
        <v>619</v>
      </c>
      <c r="E332" s="15">
        <f>VLOOKUP(F332,Referencia!$A$15:$B$193,2,0)</f>
        <v>11</v>
      </c>
      <c r="F332" s="1" t="s">
        <v>529</v>
      </c>
      <c r="G332" s="1" t="s">
        <v>538</v>
      </c>
      <c r="H332" s="1">
        <v>1</v>
      </c>
      <c r="I332" s="1" t="s">
        <v>35</v>
      </c>
      <c r="J332" s="21">
        <v>20000</v>
      </c>
      <c r="K332" s="21">
        <v>35000</v>
      </c>
      <c r="L332" s="21">
        <f t="shared" si="6"/>
        <v>15000</v>
      </c>
      <c r="M332" s="1" t="s">
        <v>27</v>
      </c>
      <c r="N332" s="1" t="s">
        <v>24</v>
      </c>
    </row>
    <row r="333" spans="1:14" x14ac:dyDescent="0.35">
      <c r="A333" s="17">
        <v>45884</v>
      </c>
      <c r="B333" s="1" t="s">
        <v>9</v>
      </c>
      <c r="C333" s="26" t="str">
        <f>VLOOKUP(F333,Clientes!$B$2:$C$179,2,0)</f>
        <v>Cota</v>
      </c>
      <c r="D333" s="1" t="s">
        <v>619</v>
      </c>
      <c r="E333" s="15">
        <f>VLOOKUP(F333,Referencia!$A$15:$B$193,2,0)</f>
        <v>11</v>
      </c>
      <c r="F333" s="1" t="s">
        <v>529</v>
      </c>
      <c r="G333" s="1" t="s">
        <v>494</v>
      </c>
      <c r="H333" s="1">
        <v>1</v>
      </c>
      <c r="I333" s="1" t="s">
        <v>22</v>
      </c>
      <c r="J333" s="21">
        <v>15605</v>
      </c>
      <c r="K333" s="21">
        <v>25000</v>
      </c>
      <c r="L333" s="21">
        <f t="shared" si="6"/>
        <v>9395</v>
      </c>
      <c r="M333" s="1" t="s">
        <v>27</v>
      </c>
      <c r="N333" s="1" t="s">
        <v>24</v>
      </c>
    </row>
    <row r="334" spans="1:14" x14ac:dyDescent="0.35">
      <c r="A334" s="17">
        <v>45884</v>
      </c>
      <c r="B334" s="1" t="s">
        <v>9</v>
      </c>
      <c r="C334" s="26" t="str">
        <f>VLOOKUP(F334,Clientes!$B$2:$C$179,2,0)</f>
        <v>Cota</v>
      </c>
      <c r="D334" s="1" t="s">
        <v>619</v>
      </c>
      <c r="E334" s="15">
        <f>VLOOKUP(F334,Referencia!$A$15:$B$193,2,0)</f>
        <v>11</v>
      </c>
      <c r="F334" s="1" t="s">
        <v>529</v>
      </c>
      <c r="G334" s="1" t="s">
        <v>603</v>
      </c>
      <c r="H334" s="1">
        <v>1</v>
      </c>
      <c r="I334" s="1" t="s">
        <v>22</v>
      </c>
      <c r="J334" s="21">
        <v>15100</v>
      </c>
      <c r="K334" s="21">
        <v>25000</v>
      </c>
      <c r="L334" s="21">
        <f t="shared" si="6"/>
        <v>9900</v>
      </c>
      <c r="M334" s="1" t="s">
        <v>27</v>
      </c>
      <c r="N334" s="1" t="s">
        <v>24</v>
      </c>
    </row>
    <row r="335" spans="1:14" x14ac:dyDescent="0.35">
      <c r="A335" s="17">
        <v>45884</v>
      </c>
      <c r="B335" s="1" t="s">
        <v>9</v>
      </c>
      <c r="C335" s="26" t="str">
        <f>VLOOKUP(F335,Clientes!$B$2:$C$179,2,0)</f>
        <v>Cota</v>
      </c>
      <c r="D335" s="1" t="s">
        <v>619</v>
      </c>
      <c r="E335" s="15">
        <f>VLOOKUP(F335,Referencia!$A$15:$B$193,2,0)</f>
        <v>11</v>
      </c>
      <c r="F335" s="1" t="s">
        <v>529</v>
      </c>
      <c r="G335" s="1" t="s">
        <v>629</v>
      </c>
      <c r="H335" s="1">
        <v>1</v>
      </c>
      <c r="I335" s="5" t="s">
        <v>59</v>
      </c>
      <c r="J335" s="21">
        <v>60000</v>
      </c>
      <c r="K335" s="21">
        <v>110000</v>
      </c>
      <c r="L335" s="21">
        <f t="shared" si="6"/>
        <v>50000</v>
      </c>
      <c r="M335" s="1" t="s">
        <v>27</v>
      </c>
      <c r="N335" s="1" t="s">
        <v>24</v>
      </c>
    </row>
    <row r="336" spans="1:14" x14ac:dyDescent="0.35">
      <c r="A336" s="17">
        <v>45884</v>
      </c>
      <c r="B336" s="1" t="s">
        <v>9</v>
      </c>
      <c r="C336" s="26" t="str">
        <f>VLOOKUP(F336,Clientes!$B$2:$C$179,2,0)</f>
        <v>Cota</v>
      </c>
      <c r="D336" s="1" t="s">
        <v>619</v>
      </c>
      <c r="E336" s="15">
        <f>VLOOKUP(F336,Referencia!$A$15:$B$193,2,0)</f>
        <v>14</v>
      </c>
      <c r="F336" s="1" t="s">
        <v>147</v>
      </c>
      <c r="G336" s="1" t="s">
        <v>604</v>
      </c>
      <c r="H336" s="1">
        <v>1</v>
      </c>
      <c r="I336" s="5" t="s">
        <v>430</v>
      </c>
      <c r="J336" s="21">
        <v>6500</v>
      </c>
      <c r="K336" s="21">
        <v>12000</v>
      </c>
      <c r="L336" s="21">
        <f t="shared" si="6"/>
        <v>5500</v>
      </c>
      <c r="M336" s="1" t="s">
        <v>27</v>
      </c>
      <c r="N336" s="1" t="s">
        <v>24</v>
      </c>
    </row>
    <row r="337" spans="1:14" x14ac:dyDescent="0.35">
      <c r="A337" s="17">
        <v>45884</v>
      </c>
      <c r="B337" s="1" t="s">
        <v>9</v>
      </c>
      <c r="C337" s="26" t="str">
        <f>VLOOKUP(F337,Clientes!$B$2:$C$179,2,0)</f>
        <v>Cota</v>
      </c>
      <c r="D337" s="1" t="s">
        <v>619</v>
      </c>
      <c r="E337" s="15">
        <f>VLOOKUP(F337,Referencia!$A$15:$B$193,2,0)</f>
        <v>14</v>
      </c>
      <c r="F337" s="1" t="s">
        <v>147</v>
      </c>
      <c r="G337" s="1" t="s">
        <v>594</v>
      </c>
      <c r="H337" s="1">
        <v>1</v>
      </c>
      <c r="I337" s="1" t="s">
        <v>40</v>
      </c>
      <c r="J337" s="21">
        <v>40000</v>
      </c>
      <c r="K337" s="21">
        <v>75000</v>
      </c>
      <c r="L337" s="21">
        <f t="shared" ref="L337:L386" si="7">K337-J337</f>
        <v>35000</v>
      </c>
      <c r="M337" s="1" t="s">
        <v>27</v>
      </c>
      <c r="N337" s="1" t="s">
        <v>24</v>
      </c>
    </row>
    <row r="338" spans="1:14" x14ac:dyDescent="0.35">
      <c r="A338" s="17">
        <v>45884</v>
      </c>
      <c r="B338" s="1" t="s">
        <v>9</v>
      </c>
      <c r="C338" s="26" t="str">
        <f>VLOOKUP(F338,Clientes!$B$2:$C$179,2,0)</f>
        <v>Cota</v>
      </c>
      <c r="D338" s="1" t="s">
        <v>619</v>
      </c>
      <c r="E338" s="15">
        <f>VLOOKUP(F338,Referencia!$A$15:$B$193,2,0)</f>
        <v>14</v>
      </c>
      <c r="F338" s="1" t="s">
        <v>147</v>
      </c>
      <c r="G338" s="1" t="s">
        <v>605</v>
      </c>
      <c r="H338" s="1">
        <v>1</v>
      </c>
      <c r="I338" s="5" t="s">
        <v>430</v>
      </c>
      <c r="J338" s="21">
        <v>7500</v>
      </c>
      <c r="K338" s="21">
        <v>12000</v>
      </c>
      <c r="L338" s="21">
        <f t="shared" si="7"/>
        <v>4500</v>
      </c>
      <c r="M338" s="1" t="s">
        <v>27</v>
      </c>
      <c r="N338" s="1" t="s">
        <v>24</v>
      </c>
    </row>
    <row r="339" spans="1:14" x14ac:dyDescent="0.35">
      <c r="A339" s="17">
        <v>45884</v>
      </c>
      <c r="B339" s="1" t="s">
        <v>9</v>
      </c>
      <c r="C339" s="26" t="str">
        <f>VLOOKUP(F339,Clientes!$B$2:$C$179,2,0)</f>
        <v>Chia</v>
      </c>
      <c r="D339" s="1" t="s">
        <v>619</v>
      </c>
      <c r="E339" s="15">
        <f>VLOOKUP(F339,Referencia!$A$15:$B$193,2,0)</f>
        <v>15</v>
      </c>
      <c r="F339" s="1" t="s">
        <v>96</v>
      </c>
      <c r="G339" s="1" t="s">
        <v>598</v>
      </c>
      <c r="H339" s="1">
        <v>1</v>
      </c>
      <c r="I339" s="1" t="s">
        <v>40</v>
      </c>
      <c r="J339" s="21">
        <v>7000</v>
      </c>
      <c r="K339" s="21">
        <v>15000</v>
      </c>
      <c r="L339" s="21">
        <f t="shared" si="7"/>
        <v>8000</v>
      </c>
      <c r="M339" s="1" t="s">
        <v>27</v>
      </c>
      <c r="N339" s="1" t="s">
        <v>24</v>
      </c>
    </row>
    <row r="340" spans="1:14" x14ac:dyDescent="0.35">
      <c r="A340" s="17">
        <v>45884</v>
      </c>
      <c r="B340" s="1" t="s">
        <v>9</v>
      </c>
      <c r="C340" s="26" t="str">
        <f>VLOOKUP(F340,Clientes!$B$2:$C$179,2,0)</f>
        <v>Chia</v>
      </c>
      <c r="D340" s="1" t="s">
        <v>619</v>
      </c>
      <c r="E340" s="15">
        <f>VLOOKUP(F340,Referencia!$A$15:$B$193,2,0)</f>
        <v>15</v>
      </c>
      <c r="F340" s="1" t="s">
        <v>96</v>
      </c>
      <c r="G340" s="1" t="s">
        <v>606</v>
      </c>
      <c r="H340" s="1">
        <v>1</v>
      </c>
      <c r="I340" s="1" t="s">
        <v>40</v>
      </c>
      <c r="J340" s="21">
        <v>16000</v>
      </c>
      <c r="K340" s="21">
        <v>28000</v>
      </c>
      <c r="L340" s="21">
        <f t="shared" si="7"/>
        <v>12000</v>
      </c>
      <c r="M340" s="1" t="s">
        <v>27</v>
      </c>
      <c r="N340" s="1" t="s">
        <v>24</v>
      </c>
    </row>
    <row r="341" spans="1:14" x14ac:dyDescent="0.35">
      <c r="A341" s="17">
        <v>45884</v>
      </c>
      <c r="B341" s="1" t="s">
        <v>9</v>
      </c>
      <c r="C341" s="26" t="str">
        <f>VLOOKUP(F341,Clientes!$B$2:$C$179,2,0)</f>
        <v>Chia</v>
      </c>
      <c r="D341" s="1" t="s">
        <v>619</v>
      </c>
      <c r="E341" s="15">
        <f>VLOOKUP(F341,Referencia!$A$15:$B$193,2,0)</f>
        <v>15</v>
      </c>
      <c r="F341" s="1" t="s">
        <v>96</v>
      </c>
      <c r="G341" s="1" t="s">
        <v>455</v>
      </c>
      <c r="H341" s="1">
        <v>1</v>
      </c>
      <c r="I341" s="5" t="s">
        <v>456</v>
      </c>
      <c r="J341" s="21">
        <f>5600*2</f>
        <v>11200</v>
      </c>
      <c r="K341" s="21">
        <v>18000</v>
      </c>
      <c r="L341" s="21">
        <f t="shared" si="7"/>
        <v>6800</v>
      </c>
      <c r="M341" s="1" t="s">
        <v>27</v>
      </c>
      <c r="N341" s="1" t="s">
        <v>24</v>
      </c>
    </row>
    <row r="342" spans="1:14" x14ac:dyDescent="0.35">
      <c r="A342" s="17">
        <v>45884</v>
      </c>
      <c r="B342" s="1" t="s">
        <v>9</v>
      </c>
      <c r="C342" s="26" t="str">
        <f>VLOOKUP(F342,Clientes!$B$2:$C$179,2,0)</f>
        <v>Cajicá</v>
      </c>
      <c r="D342" s="1" t="s">
        <v>619</v>
      </c>
      <c r="E342" s="15">
        <f>VLOOKUP(F342,Referencia!$A$15:$B$193,2,0)</f>
        <v>20</v>
      </c>
      <c r="F342" s="1" t="s">
        <v>520</v>
      </c>
      <c r="G342" s="1" t="s">
        <v>632</v>
      </c>
      <c r="H342" s="1">
        <v>1</v>
      </c>
      <c r="I342" s="1" t="s">
        <v>40</v>
      </c>
      <c r="J342" s="21">
        <v>36000</v>
      </c>
      <c r="K342" s="21">
        <v>90000</v>
      </c>
      <c r="L342" s="21">
        <f t="shared" si="7"/>
        <v>54000</v>
      </c>
      <c r="M342" s="1" t="s">
        <v>27</v>
      </c>
      <c r="N342" s="1" t="s">
        <v>24</v>
      </c>
    </row>
    <row r="343" spans="1:14" x14ac:dyDescent="0.35">
      <c r="A343" s="17">
        <v>45884</v>
      </c>
      <c r="B343" s="1" t="s">
        <v>9</v>
      </c>
      <c r="C343" s="26" t="str">
        <f>VLOOKUP(F343,Clientes!$B$2:$C$179,2,0)</f>
        <v>Chia</v>
      </c>
      <c r="D343" s="1" t="s">
        <v>619</v>
      </c>
      <c r="E343" s="15">
        <f>VLOOKUP(F343,Referencia!$A$15:$B$193,2,0)</f>
        <v>12</v>
      </c>
      <c r="F343" s="1" t="s">
        <v>141</v>
      </c>
      <c r="G343" s="1" t="s">
        <v>632</v>
      </c>
      <c r="H343" s="1">
        <v>1</v>
      </c>
      <c r="I343" s="1" t="s">
        <v>40</v>
      </c>
      <c r="J343" s="21">
        <v>36000</v>
      </c>
      <c r="K343" s="21">
        <v>90000</v>
      </c>
      <c r="L343" s="21">
        <f t="shared" si="7"/>
        <v>54000</v>
      </c>
      <c r="M343" s="1" t="s">
        <v>27</v>
      </c>
      <c r="N343" s="1" t="s">
        <v>24</v>
      </c>
    </row>
    <row r="344" spans="1:14" x14ac:dyDescent="0.35">
      <c r="A344" s="17">
        <v>45884</v>
      </c>
      <c r="B344" s="1" t="s">
        <v>9</v>
      </c>
      <c r="C344" s="26" t="str">
        <f>VLOOKUP(F344,Clientes!$B$2:$C$179,2,0)</f>
        <v>Funza</v>
      </c>
      <c r="D344" s="1" t="s">
        <v>619</v>
      </c>
      <c r="E344" s="15">
        <f>VLOOKUP(F344,Referencia!$A$15:$B$193,2,0)</f>
        <v>21</v>
      </c>
      <c r="F344" s="1" t="s">
        <v>52</v>
      </c>
      <c r="G344" s="1" t="s">
        <v>607</v>
      </c>
      <c r="H344" s="1">
        <v>1</v>
      </c>
      <c r="I344" s="1" t="s">
        <v>40</v>
      </c>
      <c r="J344" s="21">
        <v>34000</v>
      </c>
      <c r="K344" s="21">
        <v>55000</v>
      </c>
      <c r="L344" s="21">
        <f t="shared" si="7"/>
        <v>21000</v>
      </c>
      <c r="M344" s="1" t="s">
        <v>27</v>
      </c>
      <c r="N344" s="1" t="s">
        <v>24</v>
      </c>
    </row>
    <row r="345" spans="1:14" x14ac:dyDescent="0.35">
      <c r="A345" s="17">
        <v>45884</v>
      </c>
      <c r="B345" s="1" t="s">
        <v>9</v>
      </c>
      <c r="C345" s="26" t="str">
        <f>VLOOKUP(F345,Clientes!$B$2:$C$179,2,0)</f>
        <v>Chia</v>
      </c>
      <c r="D345" s="1" t="s">
        <v>619</v>
      </c>
      <c r="E345" s="15">
        <f>VLOOKUP(F345,Referencia!$A$15:$B$193,2,0)</f>
        <v>182</v>
      </c>
      <c r="F345" s="1" t="s">
        <v>609</v>
      </c>
      <c r="G345" s="1" t="s">
        <v>626</v>
      </c>
      <c r="H345" s="1">
        <v>1</v>
      </c>
      <c r="I345" s="5" t="s">
        <v>608</v>
      </c>
      <c r="J345" s="21">
        <v>447000</v>
      </c>
      <c r="K345" s="21">
        <v>780000</v>
      </c>
      <c r="L345" s="21">
        <f t="shared" si="7"/>
        <v>333000</v>
      </c>
      <c r="M345" s="1" t="s">
        <v>27</v>
      </c>
      <c r="N345" s="1" t="s">
        <v>24</v>
      </c>
    </row>
    <row r="346" spans="1:14" x14ac:dyDescent="0.35">
      <c r="A346" s="17">
        <v>45884</v>
      </c>
      <c r="B346" s="1" t="s">
        <v>9</v>
      </c>
      <c r="C346" s="26" t="str">
        <f>VLOOKUP(B346,Referencia!$B$2:$C$12,2,0)</f>
        <v>Chia</v>
      </c>
      <c r="D346" s="13" t="s">
        <v>617</v>
      </c>
      <c r="E346" s="15" t="str">
        <f>VLOOKUP(F346,Referencia!$A$15:$B$193,2,0)</f>
        <v>R1</v>
      </c>
      <c r="F346" s="1" t="s">
        <v>477</v>
      </c>
      <c r="G346" s="1" t="s">
        <v>48</v>
      </c>
      <c r="H346" s="1">
        <v>1</v>
      </c>
      <c r="I346" s="1" t="s">
        <v>40</v>
      </c>
      <c r="J346" s="21">
        <v>18000</v>
      </c>
      <c r="K346" s="21">
        <v>30000</v>
      </c>
      <c r="L346" s="21">
        <f t="shared" si="7"/>
        <v>12000</v>
      </c>
      <c r="M346" s="1" t="s">
        <v>23</v>
      </c>
      <c r="N346" s="1" t="s">
        <v>24</v>
      </c>
    </row>
    <row r="347" spans="1:14" x14ac:dyDescent="0.35">
      <c r="A347" s="17">
        <v>45884</v>
      </c>
      <c r="B347" s="1" t="s">
        <v>9</v>
      </c>
      <c r="C347" s="26" t="str">
        <f>VLOOKUP(B347,Referencia!$B$2:$C$12,2,0)</f>
        <v>Chia</v>
      </c>
      <c r="D347" s="13" t="s">
        <v>617</v>
      </c>
      <c r="E347" s="15" t="str">
        <f>VLOOKUP(F347,Referencia!$A$15:$B$193,2,0)</f>
        <v>R1</v>
      </c>
      <c r="F347" s="1" t="s">
        <v>477</v>
      </c>
      <c r="G347" s="1" t="s">
        <v>610</v>
      </c>
      <c r="H347" s="1">
        <v>1</v>
      </c>
      <c r="I347" s="1" t="s">
        <v>22</v>
      </c>
      <c r="J347" s="21">
        <v>33260</v>
      </c>
      <c r="K347" s="21">
        <v>56000</v>
      </c>
      <c r="L347" s="21">
        <f t="shared" si="7"/>
        <v>22740</v>
      </c>
      <c r="M347" s="1" t="s">
        <v>23</v>
      </c>
      <c r="N347" s="1" t="s">
        <v>24</v>
      </c>
    </row>
    <row r="348" spans="1:14" x14ac:dyDescent="0.35">
      <c r="A348" s="17">
        <v>45884</v>
      </c>
      <c r="B348" s="1" t="s">
        <v>9</v>
      </c>
      <c r="C348" s="26" t="str">
        <f>VLOOKUP(B348,Referencia!$B$2:$C$12,2,0)</f>
        <v>Chia</v>
      </c>
      <c r="D348" s="13" t="s">
        <v>617</v>
      </c>
      <c r="E348" s="15" t="str">
        <f>VLOOKUP(F348,Referencia!$A$15:$B$193,2,0)</f>
        <v>R1</v>
      </c>
      <c r="F348" s="1" t="s">
        <v>477</v>
      </c>
      <c r="G348" s="1" t="s">
        <v>611</v>
      </c>
      <c r="H348" s="1">
        <v>1</v>
      </c>
      <c r="I348" s="1" t="s">
        <v>43</v>
      </c>
      <c r="J348" s="21">
        <v>25000</v>
      </c>
      <c r="K348" s="21">
        <v>35000</v>
      </c>
      <c r="L348" s="21">
        <f t="shared" si="7"/>
        <v>10000</v>
      </c>
      <c r="M348" s="1" t="s">
        <v>23</v>
      </c>
      <c r="N348" s="1" t="s">
        <v>24</v>
      </c>
    </row>
    <row r="349" spans="1:14" x14ac:dyDescent="0.35">
      <c r="A349" s="17">
        <v>45884</v>
      </c>
      <c r="B349" s="1" t="s">
        <v>9</v>
      </c>
      <c r="C349" s="26" t="str">
        <f>VLOOKUP(B349,Referencia!$B$2:$C$12,2,0)</f>
        <v>Chia</v>
      </c>
      <c r="D349" s="13" t="s">
        <v>617</v>
      </c>
      <c r="E349" s="15" t="str">
        <f>VLOOKUP(F349,Referencia!$A$15:$B$193,2,0)</f>
        <v>R1</v>
      </c>
      <c r="F349" s="1" t="s">
        <v>477</v>
      </c>
      <c r="G349" s="1" t="s">
        <v>594</v>
      </c>
      <c r="H349" s="1">
        <v>1</v>
      </c>
      <c r="I349" s="1" t="s">
        <v>43</v>
      </c>
      <c r="J349" s="21">
        <v>18562</v>
      </c>
      <c r="K349" s="21">
        <v>35000</v>
      </c>
      <c r="L349" s="21">
        <f t="shared" si="7"/>
        <v>16438</v>
      </c>
      <c r="M349" s="1" t="s">
        <v>23</v>
      </c>
      <c r="N349" s="1" t="s">
        <v>24</v>
      </c>
    </row>
    <row r="350" spans="1:14" x14ac:dyDescent="0.35">
      <c r="A350" s="17">
        <v>45884</v>
      </c>
      <c r="B350" s="1" t="s">
        <v>9</v>
      </c>
      <c r="C350" s="26" t="str">
        <f>VLOOKUP(B350,Referencia!$B$2:$C$12,2,0)</f>
        <v>Chia</v>
      </c>
      <c r="D350" s="13" t="s">
        <v>617</v>
      </c>
      <c r="E350" s="15" t="str">
        <f>VLOOKUP(F350,Referencia!$A$15:$B$193,2,0)</f>
        <v>R1</v>
      </c>
      <c r="F350" s="1" t="s">
        <v>477</v>
      </c>
      <c r="G350" s="1" t="s">
        <v>612</v>
      </c>
      <c r="H350" s="1">
        <v>1</v>
      </c>
      <c r="I350" s="1" t="s">
        <v>22</v>
      </c>
      <c r="J350" s="21">
        <v>8900</v>
      </c>
      <c r="K350" s="21">
        <v>0</v>
      </c>
      <c r="L350" s="21">
        <f t="shared" si="7"/>
        <v>-8900</v>
      </c>
      <c r="M350" s="1" t="s">
        <v>23</v>
      </c>
      <c r="N350" s="1" t="s">
        <v>24</v>
      </c>
    </row>
    <row r="351" spans="1:14" x14ac:dyDescent="0.35">
      <c r="A351" s="17">
        <v>45884</v>
      </c>
      <c r="B351" s="1" t="s">
        <v>9</v>
      </c>
      <c r="C351" s="26" t="str">
        <f>VLOOKUP(B351,Referencia!$B$2:$C$12,2,0)</f>
        <v>Chia</v>
      </c>
      <c r="D351" s="13" t="s">
        <v>617</v>
      </c>
      <c r="E351" s="15" t="str">
        <f>VLOOKUP(F351,Referencia!$A$15:$B$193,2,0)</f>
        <v>R1</v>
      </c>
      <c r="F351" s="1" t="s">
        <v>477</v>
      </c>
      <c r="G351" s="1" t="s">
        <v>613</v>
      </c>
      <c r="H351" s="1">
        <v>1</v>
      </c>
      <c r="I351" s="1" t="s">
        <v>22</v>
      </c>
      <c r="J351" s="21"/>
      <c r="K351" s="21">
        <v>18000</v>
      </c>
      <c r="L351" s="21">
        <f t="shared" si="7"/>
        <v>18000</v>
      </c>
      <c r="M351" s="1" t="s">
        <v>23</v>
      </c>
      <c r="N351" s="1" t="s">
        <v>24</v>
      </c>
    </row>
    <row r="352" spans="1:14" x14ac:dyDescent="0.35">
      <c r="A352" s="17">
        <v>45884</v>
      </c>
      <c r="B352" s="1" t="s">
        <v>9</v>
      </c>
      <c r="C352" s="26" t="str">
        <f>VLOOKUP(B352,Referencia!$B$2:$C$12,2,0)</f>
        <v>Chia</v>
      </c>
      <c r="D352" s="13" t="s">
        <v>617</v>
      </c>
      <c r="E352" s="15" t="str">
        <f>VLOOKUP(F352,Referencia!$A$15:$B$193,2,0)</f>
        <v>R1</v>
      </c>
      <c r="F352" s="1" t="s">
        <v>477</v>
      </c>
      <c r="G352" s="1" t="s">
        <v>505</v>
      </c>
      <c r="H352" s="1">
        <v>1</v>
      </c>
      <c r="I352" s="1" t="s">
        <v>22</v>
      </c>
      <c r="J352" s="21">
        <v>29600</v>
      </c>
      <c r="K352" s="21">
        <v>70000</v>
      </c>
      <c r="L352" s="21">
        <f t="shared" si="7"/>
        <v>40400</v>
      </c>
      <c r="M352" s="1" t="s">
        <v>23</v>
      </c>
      <c r="N352" s="1" t="s">
        <v>24</v>
      </c>
    </row>
    <row r="353" spans="1:14" x14ac:dyDescent="0.35">
      <c r="A353" s="17">
        <v>45884</v>
      </c>
      <c r="B353" s="1" t="s">
        <v>9</v>
      </c>
      <c r="C353" s="26" t="str">
        <f>VLOOKUP(F353,Clientes!$B$2:$C$179,2,0)</f>
        <v>Chia</v>
      </c>
      <c r="D353" s="1" t="s">
        <v>619</v>
      </c>
      <c r="E353" s="15">
        <f>VLOOKUP(F353,Referencia!$A$15:$B$193,2,0)</f>
        <v>9</v>
      </c>
      <c r="F353" s="1" t="s">
        <v>50</v>
      </c>
      <c r="G353" s="1" t="s">
        <v>472</v>
      </c>
      <c r="H353" s="1">
        <v>1</v>
      </c>
      <c r="I353" s="1" t="s">
        <v>59</v>
      </c>
      <c r="J353" s="21">
        <v>110000</v>
      </c>
      <c r="K353" s="21">
        <v>200000</v>
      </c>
      <c r="L353" s="21">
        <f t="shared" si="7"/>
        <v>90000</v>
      </c>
      <c r="M353" s="1" t="s">
        <v>27</v>
      </c>
      <c r="N353" s="1"/>
    </row>
    <row r="354" spans="1:14" x14ac:dyDescent="0.35">
      <c r="A354" s="17">
        <v>45889</v>
      </c>
      <c r="B354" s="1" t="s">
        <v>615</v>
      </c>
      <c r="C354" s="26" t="str">
        <f>VLOOKUP(F354,Clientes!$B$2:$C$179,2,0)</f>
        <v>Tenjo</v>
      </c>
      <c r="D354" s="1" t="s">
        <v>619</v>
      </c>
      <c r="E354" s="15">
        <f>VLOOKUP(F354,Referencia!$A$15:$B$193,2,0)</f>
        <v>44</v>
      </c>
      <c r="F354" s="1" t="s">
        <v>459</v>
      </c>
      <c r="G354" s="1" t="s">
        <v>533</v>
      </c>
      <c r="H354" s="1">
        <v>1</v>
      </c>
      <c r="I354" s="1" t="s">
        <v>40</v>
      </c>
      <c r="J354" s="21">
        <v>20000</v>
      </c>
      <c r="K354" s="21">
        <v>40000</v>
      </c>
      <c r="L354" s="21">
        <f t="shared" si="7"/>
        <v>20000</v>
      </c>
      <c r="M354" s="1" t="s">
        <v>27</v>
      </c>
      <c r="N354" s="1"/>
    </row>
    <row r="355" spans="1:14" x14ac:dyDescent="0.35">
      <c r="A355" s="17">
        <v>45889</v>
      </c>
      <c r="B355" s="1" t="s">
        <v>615</v>
      </c>
      <c r="C355" s="26" t="str">
        <f>VLOOKUP(F355,Clientes!$B$2:$C$179,2,0)</f>
        <v>Tenjo</v>
      </c>
      <c r="D355" s="1" t="s">
        <v>619</v>
      </c>
      <c r="E355" s="15">
        <f>VLOOKUP(F355,Referencia!$A$15:$B$193,2,0)</f>
        <v>44</v>
      </c>
      <c r="F355" s="1" t="s">
        <v>459</v>
      </c>
      <c r="G355" s="1" t="s">
        <v>627</v>
      </c>
      <c r="H355" s="1">
        <v>1</v>
      </c>
      <c r="I355" s="5" t="s">
        <v>31</v>
      </c>
      <c r="J355" s="21">
        <v>20</v>
      </c>
      <c r="K355" s="21">
        <v>35000</v>
      </c>
      <c r="L355" s="21">
        <f t="shared" si="7"/>
        <v>34980</v>
      </c>
      <c r="M355" s="1" t="s">
        <v>27</v>
      </c>
      <c r="N355" s="1"/>
    </row>
    <row r="356" spans="1:14" x14ac:dyDescent="0.35">
      <c r="A356" s="17">
        <v>45889</v>
      </c>
      <c r="B356" s="1" t="s">
        <v>615</v>
      </c>
      <c r="C356" s="26" t="str">
        <f>VLOOKUP(B356,Referencia!$B$2:$C$12,2,0)</f>
        <v>Tabio</v>
      </c>
      <c r="D356" s="1" t="s">
        <v>619</v>
      </c>
      <c r="E356" s="15" t="str">
        <f>VLOOKUP(F356,Referencia!$A$15:$B$193,2,0)</f>
        <v>R1</v>
      </c>
      <c r="F356" s="1" t="s">
        <v>477</v>
      </c>
      <c r="G356" s="1" t="s">
        <v>635</v>
      </c>
      <c r="H356" s="1">
        <v>1</v>
      </c>
      <c r="I356" s="1" t="s">
        <v>59</v>
      </c>
      <c r="J356" s="21">
        <v>125000</v>
      </c>
      <c r="K356" s="21">
        <v>240000</v>
      </c>
      <c r="L356" s="21">
        <f t="shared" si="7"/>
        <v>115000</v>
      </c>
      <c r="M356" s="1" t="s">
        <v>23</v>
      </c>
      <c r="N356" s="1"/>
    </row>
    <row r="357" spans="1:14" x14ac:dyDescent="0.35">
      <c r="A357" s="17">
        <v>45889</v>
      </c>
      <c r="B357" s="1" t="s">
        <v>615</v>
      </c>
      <c r="C357" s="26" t="str">
        <f>VLOOKUP(F357,Clientes!$B$2:$C$179,2,0)</f>
        <v>Tabio</v>
      </c>
      <c r="D357" s="1" t="s">
        <v>619</v>
      </c>
      <c r="E357" s="15">
        <f>VLOOKUP(F357,Referencia!$A$15:$B$193,2,0)</f>
        <v>38</v>
      </c>
      <c r="F357" s="1" t="s">
        <v>179</v>
      </c>
      <c r="G357" s="1" t="s">
        <v>624</v>
      </c>
      <c r="H357" s="1">
        <v>1</v>
      </c>
      <c r="I357" s="5" t="s">
        <v>74</v>
      </c>
      <c r="J357" s="21">
        <v>80000</v>
      </c>
      <c r="K357" s="21">
        <v>140000</v>
      </c>
      <c r="L357" s="21">
        <f t="shared" si="7"/>
        <v>60000</v>
      </c>
      <c r="M357" s="1" t="s">
        <v>23</v>
      </c>
      <c r="N357" s="1"/>
    </row>
    <row r="358" spans="1:14" x14ac:dyDescent="0.35">
      <c r="A358" s="17">
        <v>45889</v>
      </c>
      <c r="B358" s="1" t="s">
        <v>615</v>
      </c>
      <c r="C358" s="26" t="str">
        <f>VLOOKUP(F358,Clientes!$B$2:$C$179,2,0)</f>
        <v>Tenjo</v>
      </c>
      <c r="D358" s="1" t="s">
        <v>619</v>
      </c>
      <c r="E358" s="15">
        <f>VLOOKUP(F358,Referencia!$A$15:$B$193,2,0)</f>
        <v>6</v>
      </c>
      <c r="F358" s="1" t="s">
        <v>126</v>
      </c>
      <c r="G358" s="1" t="s">
        <v>625</v>
      </c>
      <c r="H358" s="1">
        <v>1</v>
      </c>
      <c r="I358" s="1" t="s">
        <v>59</v>
      </c>
      <c r="J358" s="21">
        <v>0</v>
      </c>
      <c r="K358" s="21">
        <v>16000</v>
      </c>
      <c r="L358" s="21">
        <f t="shared" si="7"/>
        <v>16000</v>
      </c>
      <c r="M358" s="1" t="s">
        <v>23</v>
      </c>
      <c r="N358" s="1"/>
    </row>
    <row r="359" spans="1:14" x14ac:dyDescent="0.35">
      <c r="A359" s="17">
        <v>45889</v>
      </c>
      <c r="B359" s="1" t="s">
        <v>615</v>
      </c>
      <c r="C359" s="26" t="str">
        <f>VLOOKUP(F359,Clientes!$B$2:$C$179,2,0)</f>
        <v>Tenjo</v>
      </c>
      <c r="D359" s="1" t="s">
        <v>619</v>
      </c>
      <c r="E359" s="15">
        <f>VLOOKUP(F359,Referencia!$A$15:$B$193,2,0)</f>
        <v>6</v>
      </c>
      <c r="F359" s="1" t="s">
        <v>126</v>
      </c>
      <c r="G359" s="1" t="s">
        <v>603</v>
      </c>
      <c r="H359" s="1">
        <v>1</v>
      </c>
      <c r="I359" s="1" t="s">
        <v>22</v>
      </c>
      <c r="J359" s="21">
        <v>15400</v>
      </c>
      <c r="K359" s="21">
        <v>25000</v>
      </c>
      <c r="L359" s="21">
        <f t="shared" si="7"/>
        <v>9600</v>
      </c>
      <c r="M359" s="1" t="s">
        <v>23</v>
      </c>
      <c r="N359" s="1"/>
    </row>
    <row r="360" spans="1:14" x14ac:dyDescent="0.35">
      <c r="A360" s="17">
        <v>45890</v>
      </c>
      <c r="B360" s="1" t="s">
        <v>8</v>
      </c>
      <c r="C360" s="26" t="str">
        <f>VLOOKUP(F360,Clientes!$B$2:$C$179,2,0)</f>
        <v>Cajicá</v>
      </c>
      <c r="D360" s="1" t="s">
        <v>619</v>
      </c>
      <c r="E360" s="15">
        <f>VLOOKUP(F360,Referencia!$A$15:$B$193,2,0)</f>
        <v>20</v>
      </c>
      <c r="F360" s="1" t="s">
        <v>520</v>
      </c>
      <c r="G360" s="1" t="s">
        <v>1055</v>
      </c>
      <c r="H360" s="1">
        <v>1</v>
      </c>
      <c r="I360" s="1" t="s">
        <v>35</v>
      </c>
      <c r="J360" s="21">
        <v>32750</v>
      </c>
      <c r="K360" s="21">
        <v>50000</v>
      </c>
      <c r="L360" s="21">
        <f t="shared" si="7"/>
        <v>17250</v>
      </c>
      <c r="M360" s="1" t="s">
        <v>27</v>
      </c>
      <c r="N360" s="1"/>
    </row>
    <row r="361" spans="1:14" x14ac:dyDescent="0.35">
      <c r="A361" s="17">
        <v>45890</v>
      </c>
      <c r="B361" s="1" t="s">
        <v>8</v>
      </c>
      <c r="C361" s="26" t="str">
        <f>VLOOKUP(F361,Clientes!$B$2:$C$179,2,0)</f>
        <v>Cajicá</v>
      </c>
      <c r="D361" s="1" t="s">
        <v>619</v>
      </c>
      <c r="E361" s="15">
        <f>VLOOKUP(F361,Referencia!$A$15:$B$193,2,0)</f>
        <v>20</v>
      </c>
      <c r="F361" s="1" t="s">
        <v>520</v>
      </c>
      <c r="G361" s="1" t="s">
        <v>1056</v>
      </c>
      <c r="H361" s="1">
        <v>1</v>
      </c>
      <c r="I361" s="1" t="s">
        <v>40</v>
      </c>
      <c r="J361" s="21">
        <v>10500</v>
      </c>
      <c r="K361" s="21">
        <v>0</v>
      </c>
      <c r="L361" s="21">
        <f t="shared" si="7"/>
        <v>-10500</v>
      </c>
      <c r="M361" s="1" t="s">
        <v>27</v>
      </c>
      <c r="N361" s="1"/>
    </row>
    <row r="362" spans="1:14" x14ac:dyDescent="0.35">
      <c r="A362" s="17">
        <v>45890</v>
      </c>
      <c r="B362" s="1" t="s">
        <v>8</v>
      </c>
      <c r="C362" s="26" t="str">
        <f>VLOOKUP(F362,Clientes!$B$2:$C$179,2,0)</f>
        <v>Tocancipá</v>
      </c>
      <c r="D362" s="1" t="s">
        <v>619</v>
      </c>
      <c r="E362" s="15">
        <f>VLOOKUP(F362,Referencia!$A$15:$B$193,2,0)</f>
        <v>29</v>
      </c>
      <c r="F362" s="1" t="s">
        <v>441</v>
      </c>
      <c r="G362" s="1" t="s">
        <v>1056</v>
      </c>
      <c r="H362" s="1">
        <v>1</v>
      </c>
      <c r="I362" s="1" t="s">
        <v>40</v>
      </c>
      <c r="J362" s="21">
        <v>10500</v>
      </c>
      <c r="K362" s="21">
        <v>15000</v>
      </c>
      <c r="L362" s="21">
        <f t="shared" si="7"/>
        <v>4500</v>
      </c>
      <c r="M362" s="1" t="s">
        <v>27</v>
      </c>
      <c r="N362" s="1"/>
    </row>
    <row r="363" spans="1:14" x14ac:dyDescent="0.35">
      <c r="A363" s="17">
        <v>45890</v>
      </c>
      <c r="B363" s="1" t="s">
        <v>8</v>
      </c>
      <c r="C363" s="26" t="str">
        <f>VLOOKUP(F363,Clientes!$B$2:$C$179,2,0)</f>
        <v>Tocancipá</v>
      </c>
      <c r="D363" s="1" t="s">
        <v>619</v>
      </c>
      <c r="E363" s="15">
        <f>VLOOKUP(F363,Referencia!$A$15:$B$193,2,0)</f>
        <v>29</v>
      </c>
      <c r="F363" s="1" t="s">
        <v>441</v>
      </c>
      <c r="G363" s="1" t="s">
        <v>1057</v>
      </c>
      <c r="H363" s="1">
        <v>1</v>
      </c>
      <c r="I363" s="1" t="s">
        <v>40</v>
      </c>
      <c r="J363" s="21">
        <v>5500</v>
      </c>
      <c r="K363" s="21">
        <v>10000</v>
      </c>
      <c r="L363" s="21">
        <f t="shared" si="7"/>
        <v>4500</v>
      </c>
      <c r="M363" s="1" t="s">
        <v>27</v>
      </c>
      <c r="N363" s="1"/>
    </row>
    <row r="364" spans="1:14" x14ac:dyDescent="0.35">
      <c r="A364" s="17">
        <v>45890</v>
      </c>
      <c r="B364" s="1" t="s">
        <v>8</v>
      </c>
      <c r="C364" s="26" t="str">
        <f>VLOOKUP(F364,Clientes!$B$2:$C$179,2,0)</f>
        <v>Sopó</v>
      </c>
      <c r="D364" s="1" t="s">
        <v>619</v>
      </c>
      <c r="E364" s="15">
        <f>VLOOKUP(F364,Referencia!$A$15:$B$193,2,0)</f>
        <v>2</v>
      </c>
      <c r="F364" s="1" t="s">
        <v>112</v>
      </c>
      <c r="G364" s="1" t="s">
        <v>1058</v>
      </c>
      <c r="H364" s="1">
        <v>1</v>
      </c>
      <c r="I364" s="1" t="s">
        <v>35</v>
      </c>
      <c r="J364" s="21">
        <v>12000</v>
      </c>
      <c r="K364" s="21">
        <v>20000</v>
      </c>
      <c r="L364" s="21">
        <f t="shared" si="7"/>
        <v>8000</v>
      </c>
      <c r="M364" s="1" t="s">
        <v>27</v>
      </c>
      <c r="N364" s="1"/>
    </row>
    <row r="365" spans="1:14" x14ac:dyDescent="0.35">
      <c r="A365" s="17">
        <v>45890</v>
      </c>
      <c r="B365" s="1" t="s">
        <v>8</v>
      </c>
      <c r="C365" s="26" t="str">
        <f>VLOOKUP(F365,Clientes!$B$2:$C$179,2,0)</f>
        <v>Sopó</v>
      </c>
      <c r="D365" s="1" t="s">
        <v>619</v>
      </c>
      <c r="E365" s="15">
        <f>VLOOKUP(F365,Referencia!$A$15:$B$193,2,0)</f>
        <v>2</v>
      </c>
      <c r="F365" s="1" t="s">
        <v>112</v>
      </c>
      <c r="G365" s="1" t="s">
        <v>1059</v>
      </c>
      <c r="H365" s="1">
        <v>5</v>
      </c>
      <c r="I365" s="1" t="s">
        <v>26</v>
      </c>
      <c r="J365" s="21"/>
      <c r="K365" s="21">
        <v>35000</v>
      </c>
      <c r="L365" s="21">
        <f t="shared" si="7"/>
        <v>35000</v>
      </c>
      <c r="M365" s="1" t="s">
        <v>27</v>
      </c>
      <c r="N365" s="1"/>
    </row>
    <row r="366" spans="1:14" x14ac:dyDescent="0.35">
      <c r="A366" s="17">
        <v>45890</v>
      </c>
      <c r="B366" s="1" t="s">
        <v>8</v>
      </c>
      <c r="C366" s="26" t="str">
        <f>VLOOKUP(F366,Clientes!$B$2:$C$179,2,0)</f>
        <v>Sopó</v>
      </c>
      <c r="D366" s="1" t="s">
        <v>619</v>
      </c>
      <c r="E366" s="15">
        <f>VLOOKUP(F366,Referencia!$A$15:$B$193,2,0)</f>
        <v>4</v>
      </c>
      <c r="F366" s="1" t="s">
        <v>118</v>
      </c>
      <c r="G366" s="1" t="s">
        <v>1060</v>
      </c>
      <c r="H366" s="1">
        <v>1</v>
      </c>
      <c r="I366" s="1" t="s">
        <v>442</v>
      </c>
      <c r="J366" s="21"/>
      <c r="K366" s="21">
        <v>90000</v>
      </c>
      <c r="L366" s="21">
        <f t="shared" si="7"/>
        <v>90000</v>
      </c>
      <c r="M366" s="1" t="s">
        <v>27</v>
      </c>
      <c r="N366" s="1"/>
    </row>
    <row r="367" spans="1:14" x14ac:dyDescent="0.35">
      <c r="A367" s="17">
        <v>45890</v>
      </c>
      <c r="B367" s="1" t="s">
        <v>8</v>
      </c>
      <c r="C367" s="26" t="str">
        <f>VLOOKUP(F367,Clientes!$B$2:$C$179,2,0)</f>
        <v>Sopó</v>
      </c>
      <c r="D367" s="1" t="s">
        <v>619</v>
      </c>
      <c r="E367" s="15">
        <f>VLOOKUP(F367,Referencia!$A$15:$B$193,2,0)</f>
        <v>1</v>
      </c>
      <c r="F367" s="1" t="s">
        <v>108</v>
      </c>
      <c r="G367" s="1" t="s">
        <v>507</v>
      </c>
      <c r="H367" s="1">
        <v>1</v>
      </c>
      <c r="I367" s="1" t="s">
        <v>40</v>
      </c>
      <c r="J367" s="21">
        <v>11000</v>
      </c>
      <c r="K367" s="21">
        <v>30000</v>
      </c>
      <c r="L367" s="21">
        <f t="shared" si="7"/>
        <v>19000</v>
      </c>
      <c r="M367" s="1" t="s">
        <v>27</v>
      </c>
      <c r="N367" s="1"/>
    </row>
    <row r="368" spans="1:14" x14ac:dyDescent="0.35">
      <c r="A368" s="17">
        <v>45890</v>
      </c>
      <c r="B368" s="1" t="s">
        <v>8</v>
      </c>
      <c r="C368" s="26" t="str">
        <f>VLOOKUP(F368,Clientes!$B$2:$C$179,2,0)</f>
        <v>Tocancipá</v>
      </c>
      <c r="D368" s="1" t="s">
        <v>619</v>
      </c>
      <c r="E368" s="15">
        <f>VLOOKUP(F368,Referencia!$A$15:$B$193,2,0)</f>
        <v>179</v>
      </c>
      <c r="F368" s="1" t="s">
        <v>518</v>
      </c>
      <c r="G368" s="1" t="s">
        <v>434</v>
      </c>
      <c r="H368" s="1">
        <v>1</v>
      </c>
      <c r="I368" s="5" t="s">
        <v>74</v>
      </c>
      <c r="J368" s="21">
        <v>35000</v>
      </c>
      <c r="K368" s="21">
        <v>55000</v>
      </c>
      <c r="L368" s="21">
        <f t="shared" si="7"/>
        <v>20000</v>
      </c>
      <c r="M368" s="1" t="s">
        <v>27</v>
      </c>
      <c r="N368" s="1"/>
    </row>
    <row r="369" spans="1:14" x14ac:dyDescent="0.35">
      <c r="A369" s="17">
        <v>45891</v>
      </c>
      <c r="B369" s="1" t="s">
        <v>9</v>
      </c>
      <c r="C369" s="26" t="str">
        <f>VLOOKUP(F369,Clientes!$B$2:$C$179,2,0)</f>
        <v>Chia</v>
      </c>
      <c r="D369" s="1" t="s">
        <v>619</v>
      </c>
      <c r="E369" s="15">
        <f>VLOOKUP(F369,Referencia!$A$15:$B$193,2,0)</f>
        <v>34</v>
      </c>
      <c r="F369" s="1" t="s">
        <v>172</v>
      </c>
      <c r="G369" s="1" t="s">
        <v>45</v>
      </c>
      <c r="H369" s="1">
        <v>1</v>
      </c>
      <c r="I369" s="1" t="s">
        <v>40</v>
      </c>
      <c r="J369" s="21">
        <v>38000</v>
      </c>
      <c r="K369" s="21">
        <v>70000</v>
      </c>
      <c r="L369" s="21">
        <f t="shared" si="7"/>
        <v>32000</v>
      </c>
      <c r="M369" s="1" t="s">
        <v>27</v>
      </c>
      <c r="N369" s="1"/>
    </row>
    <row r="370" spans="1:14" x14ac:dyDescent="0.35">
      <c r="A370" s="17">
        <v>45891</v>
      </c>
      <c r="B370" s="1" t="s">
        <v>9</v>
      </c>
      <c r="C370" s="26" t="str">
        <f>VLOOKUP(F370,Clientes!$B$2:$C$179,2,0)</f>
        <v>Chia</v>
      </c>
      <c r="D370" s="1" t="s">
        <v>619</v>
      </c>
      <c r="E370" s="15">
        <f>VLOOKUP(F370,Referencia!$A$15:$B$193,2,0)</f>
        <v>8</v>
      </c>
      <c r="F370" s="1" t="s">
        <v>476</v>
      </c>
      <c r="G370" s="1" t="s">
        <v>1094</v>
      </c>
      <c r="H370" s="1">
        <v>1</v>
      </c>
      <c r="I370" s="5" t="s">
        <v>31</v>
      </c>
      <c r="J370" s="21">
        <v>20000</v>
      </c>
      <c r="K370" s="21">
        <v>30000</v>
      </c>
      <c r="L370" s="21">
        <f t="shared" si="7"/>
        <v>10000</v>
      </c>
      <c r="M370" s="1" t="s">
        <v>27</v>
      </c>
      <c r="N370" s="1"/>
    </row>
    <row r="371" spans="1:14" x14ac:dyDescent="0.35">
      <c r="A371" s="17">
        <v>45891</v>
      </c>
      <c r="B371" s="1" t="s">
        <v>9</v>
      </c>
      <c r="C371" s="26" t="str">
        <f>VLOOKUP(F371,Clientes!$B$2:$C$179,2,0)</f>
        <v>Chia</v>
      </c>
      <c r="D371" s="1" t="s">
        <v>619</v>
      </c>
      <c r="E371" s="15">
        <f>VLOOKUP(F371,Referencia!$A$15:$B$193,2,0)</f>
        <v>8</v>
      </c>
      <c r="F371" s="1" t="s">
        <v>476</v>
      </c>
      <c r="G371" s="1" t="s">
        <v>508</v>
      </c>
      <c r="H371" s="1">
        <v>1</v>
      </c>
      <c r="I371" s="1" t="s">
        <v>32</v>
      </c>
      <c r="J371" s="21">
        <v>11340</v>
      </c>
      <c r="K371" s="21">
        <v>18000</v>
      </c>
      <c r="L371" s="21">
        <f t="shared" si="7"/>
        <v>6660</v>
      </c>
      <c r="M371" s="1" t="s">
        <v>27</v>
      </c>
      <c r="N371" s="1"/>
    </row>
    <row r="372" spans="1:14" x14ac:dyDescent="0.35">
      <c r="A372" s="17">
        <v>45891</v>
      </c>
      <c r="B372" s="1" t="s">
        <v>9</v>
      </c>
      <c r="C372" s="26" t="str">
        <f>VLOOKUP(F372,Clientes!$B$2:$C$179,2,0)</f>
        <v>Chia</v>
      </c>
      <c r="D372" s="1" t="s">
        <v>619</v>
      </c>
      <c r="E372" s="15">
        <f>VLOOKUP(F372,Referencia!$A$15:$B$193,2,0)</f>
        <v>8</v>
      </c>
      <c r="F372" s="1" t="s">
        <v>476</v>
      </c>
      <c r="G372" s="1" t="s">
        <v>435</v>
      </c>
      <c r="H372" s="1">
        <v>1</v>
      </c>
      <c r="I372" s="1" t="s">
        <v>40</v>
      </c>
      <c r="J372" s="21">
        <v>75000</v>
      </c>
      <c r="K372" s="21">
        <v>120000</v>
      </c>
      <c r="L372" s="21">
        <f t="shared" si="7"/>
        <v>45000</v>
      </c>
      <c r="M372" s="1" t="s">
        <v>27</v>
      </c>
      <c r="N372" s="1"/>
    </row>
    <row r="373" spans="1:14" x14ac:dyDescent="0.35">
      <c r="A373" s="17">
        <v>45891</v>
      </c>
      <c r="B373" s="1" t="s">
        <v>9</v>
      </c>
      <c r="C373" s="26" t="str">
        <f>VLOOKUP(F373,Clientes!$B$2:$C$179,2,0)</f>
        <v>Chia</v>
      </c>
      <c r="D373" s="1" t="s">
        <v>619</v>
      </c>
      <c r="E373" s="15">
        <f>VLOOKUP(F373,Referencia!$A$15:$B$193,2,0)</f>
        <v>8</v>
      </c>
      <c r="F373" s="1" t="s">
        <v>476</v>
      </c>
      <c r="G373" s="1" t="s">
        <v>553</v>
      </c>
      <c r="H373" s="1">
        <v>1</v>
      </c>
      <c r="I373" s="1" t="s">
        <v>22</v>
      </c>
      <c r="J373" s="21">
        <v>36076</v>
      </c>
      <c r="K373" s="21">
        <v>60000</v>
      </c>
      <c r="L373" s="21">
        <f t="shared" si="7"/>
        <v>23924</v>
      </c>
      <c r="M373" s="1" t="s">
        <v>27</v>
      </c>
      <c r="N373" s="1"/>
    </row>
    <row r="374" spans="1:14" x14ac:dyDescent="0.35">
      <c r="A374" s="17">
        <v>45891</v>
      </c>
      <c r="B374" s="1" t="s">
        <v>9</v>
      </c>
      <c r="C374" s="26" t="str">
        <f>VLOOKUP(F374,Clientes!$B$2:$C$179,2,0)</f>
        <v>Chia</v>
      </c>
      <c r="D374" s="1" t="s">
        <v>619</v>
      </c>
      <c r="E374" s="15">
        <f>VLOOKUP(F374,Referencia!$A$15:$B$193,2,0)</f>
        <v>15</v>
      </c>
      <c r="F374" s="1" t="s">
        <v>96</v>
      </c>
      <c r="G374" s="1" t="s">
        <v>508</v>
      </c>
      <c r="H374" s="1">
        <v>1</v>
      </c>
      <c r="I374" s="1" t="s">
        <v>32</v>
      </c>
      <c r="J374" s="21">
        <v>11340</v>
      </c>
      <c r="K374" s="21">
        <v>18000</v>
      </c>
      <c r="L374" s="21">
        <f t="shared" si="7"/>
        <v>6660</v>
      </c>
      <c r="M374" s="1" t="s">
        <v>27</v>
      </c>
      <c r="N374" s="1"/>
    </row>
    <row r="375" spans="1:14" x14ac:dyDescent="0.35">
      <c r="A375" s="17">
        <v>45891</v>
      </c>
      <c r="B375" s="1" t="s">
        <v>9</v>
      </c>
      <c r="C375" s="26" t="str">
        <f>VLOOKUP(F375,Clientes!$B$2:$C$179,2,0)</f>
        <v>Chia</v>
      </c>
      <c r="D375" s="1" t="s">
        <v>619</v>
      </c>
      <c r="E375" s="15">
        <f>VLOOKUP(F375,Referencia!$A$15:$B$193,2,0)</f>
        <v>15</v>
      </c>
      <c r="F375" s="1" t="s">
        <v>96</v>
      </c>
      <c r="G375" s="1" t="s">
        <v>1095</v>
      </c>
      <c r="H375" s="1">
        <v>1</v>
      </c>
      <c r="I375" s="1" t="s">
        <v>40</v>
      </c>
      <c r="J375" s="21">
        <v>14000</v>
      </c>
      <c r="K375" s="21">
        <v>25000</v>
      </c>
      <c r="L375" s="21">
        <f t="shared" si="7"/>
        <v>11000</v>
      </c>
      <c r="M375" s="1" t="s">
        <v>27</v>
      </c>
      <c r="N375" s="1"/>
    </row>
    <row r="376" spans="1:14" x14ac:dyDescent="0.35">
      <c r="A376" s="17">
        <v>45891</v>
      </c>
      <c r="B376" s="1" t="s">
        <v>9</v>
      </c>
      <c r="C376" s="26" t="str">
        <f>VLOOKUP(F376,Clientes!$B$2:$C$179,2,0)</f>
        <v>Chia</v>
      </c>
      <c r="D376" s="1" t="s">
        <v>619</v>
      </c>
      <c r="E376" s="15">
        <f>VLOOKUP(F376,Referencia!$A$15:$B$193,2,0)</f>
        <v>15</v>
      </c>
      <c r="F376" s="1" t="s">
        <v>96</v>
      </c>
      <c r="G376" s="1" t="s">
        <v>1096</v>
      </c>
      <c r="H376" s="1">
        <v>1</v>
      </c>
      <c r="I376" s="5" t="s">
        <v>430</v>
      </c>
      <c r="J376" s="21">
        <v>0</v>
      </c>
      <c r="K376" s="21">
        <v>20000</v>
      </c>
      <c r="L376" s="21">
        <f t="shared" si="7"/>
        <v>20000</v>
      </c>
      <c r="M376" s="1" t="s">
        <v>27</v>
      </c>
      <c r="N376" s="1"/>
    </row>
    <row r="377" spans="1:14" x14ac:dyDescent="0.35">
      <c r="A377" s="17">
        <v>45891</v>
      </c>
      <c r="B377" s="1" t="s">
        <v>9</v>
      </c>
      <c r="C377" s="26" t="str">
        <f>VLOOKUP(F377,Clientes!$B$2:$C$179,2,0)</f>
        <v>Chia</v>
      </c>
      <c r="D377" s="1" t="s">
        <v>619</v>
      </c>
      <c r="E377" s="15">
        <f>VLOOKUP(F377,Referencia!$A$15:$B$193,2,0)</f>
        <v>15</v>
      </c>
      <c r="F377" s="1" t="s">
        <v>96</v>
      </c>
      <c r="G377" s="1" t="s">
        <v>1097</v>
      </c>
      <c r="H377" s="1">
        <v>1</v>
      </c>
      <c r="I377" s="1" t="s">
        <v>35</v>
      </c>
      <c r="J377" s="21"/>
      <c r="K377" s="21">
        <v>1000000</v>
      </c>
      <c r="L377" s="21">
        <f t="shared" si="7"/>
        <v>1000000</v>
      </c>
      <c r="M377" s="1" t="s">
        <v>27</v>
      </c>
      <c r="N377" s="1"/>
    </row>
    <row r="378" spans="1:14" x14ac:dyDescent="0.35">
      <c r="A378" s="17">
        <v>45891</v>
      </c>
      <c r="B378" s="1" t="s">
        <v>9</v>
      </c>
      <c r="C378" s="26" t="str">
        <f>VLOOKUP(F378,Clientes!$B$2:$C$179,2,0)</f>
        <v>Cota</v>
      </c>
      <c r="D378" s="1" t="s">
        <v>619</v>
      </c>
      <c r="E378" s="15">
        <f>VLOOKUP(F378,Referencia!$A$15:$B$193,2,0)</f>
        <v>11</v>
      </c>
      <c r="F378" s="1" t="s">
        <v>529</v>
      </c>
      <c r="G378" s="1" t="s">
        <v>1098</v>
      </c>
      <c r="H378" s="1">
        <v>1</v>
      </c>
      <c r="I378" s="1" t="s">
        <v>22</v>
      </c>
      <c r="J378" s="21"/>
      <c r="K378" s="21">
        <v>130000</v>
      </c>
      <c r="L378" s="21">
        <f t="shared" si="7"/>
        <v>130000</v>
      </c>
      <c r="M378" s="1" t="s">
        <v>27</v>
      </c>
      <c r="N378" s="1"/>
    </row>
    <row r="379" spans="1:14" x14ac:dyDescent="0.35">
      <c r="A379" s="17">
        <v>45891</v>
      </c>
      <c r="B379" s="1" t="s">
        <v>9</v>
      </c>
      <c r="C379" s="26" t="str">
        <f>VLOOKUP(F379,Clientes!$B$2:$C$179,2,0)</f>
        <v>Cota</v>
      </c>
      <c r="D379" s="1" t="s">
        <v>619</v>
      </c>
      <c r="E379" s="15">
        <f>VLOOKUP(F379,Referencia!$A$15:$B$193,2,0)</f>
        <v>11</v>
      </c>
      <c r="F379" s="1" t="s">
        <v>529</v>
      </c>
      <c r="G379" s="1" t="s">
        <v>428</v>
      </c>
      <c r="H379" s="1">
        <v>1</v>
      </c>
      <c r="I379" s="6" t="s">
        <v>40</v>
      </c>
      <c r="J379" s="21">
        <v>5500</v>
      </c>
      <c r="K379" s="21">
        <v>10000</v>
      </c>
      <c r="L379" s="21">
        <f t="shared" si="7"/>
        <v>4500</v>
      </c>
      <c r="M379" s="1" t="s">
        <v>27</v>
      </c>
      <c r="N379" s="1"/>
    </row>
    <row r="380" spans="1:14" x14ac:dyDescent="0.35">
      <c r="A380" s="17">
        <v>45891</v>
      </c>
      <c r="B380" s="1" t="s">
        <v>9</v>
      </c>
      <c r="C380" s="26" t="str">
        <f>VLOOKUP(F380,Clientes!$B$2:$C$179,2,0)</f>
        <v>Chia</v>
      </c>
      <c r="D380" s="1" t="s">
        <v>619</v>
      </c>
      <c r="E380" s="15">
        <f>VLOOKUP(F380,Referencia!$A$15:$B$193,2,0)</f>
        <v>10</v>
      </c>
      <c r="F380" s="1" t="s">
        <v>622</v>
      </c>
      <c r="G380" s="1" t="s">
        <v>1099</v>
      </c>
      <c r="H380" s="1">
        <v>1</v>
      </c>
      <c r="I380" s="1" t="s">
        <v>35</v>
      </c>
      <c r="J380" s="21"/>
      <c r="K380" s="21">
        <v>260000</v>
      </c>
      <c r="L380" s="21">
        <f t="shared" si="7"/>
        <v>260000</v>
      </c>
      <c r="M380" s="1" t="s">
        <v>27</v>
      </c>
      <c r="N380" s="1"/>
    </row>
    <row r="381" spans="1:14" x14ac:dyDescent="0.35">
      <c r="A381" s="17">
        <v>45891</v>
      </c>
      <c r="B381" s="1" t="s">
        <v>415</v>
      </c>
      <c r="C381" s="26" t="str">
        <f>VLOOKUP(F381,Clientes!$B$2:$C$179,2,0)</f>
        <v>Funza</v>
      </c>
      <c r="D381" s="1" t="s">
        <v>619</v>
      </c>
      <c r="E381" s="15">
        <f>VLOOKUP(F381,Referencia!$A$15:$B$193,2,0)</f>
        <v>21</v>
      </c>
      <c r="F381" s="1" t="s">
        <v>52</v>
      </c>
      <c r="G381" s="1" t="s">
        <v>1099</v>
      </c>
      <c r="H381" s="1">
        <v>1</v>
      </c>
      <c r="I381" s="1" t="s">
        <v>35</v>
      </c>
      <c r="J381" s="21"/>
      <c r="K381" s="21">
        <v>260000</v>
      </c>
      <c r="L381" s="21">
        <f t="shared" si="7"/>
        <v>260000</v>
      </c>
      <c r="M381" s="1" t="s">
        <v>27</v>
      </c>
      <c r="N381" s="1"/>
    </row>
    <row r="382" spans="1:14" x14ac:dyDescent="0.35">
      <c r="A382" s="17">
        <v>45891</v>
      </c>
      <c r="B382" s="1" t="s">
        <v>415</v>
      </c>
      <c r="C382" s="26" t="str">
        <f>VLOOKUP(F382,Clientes!$B$2:$C$179,2,0)</f>
        <v>Funza</v>
      </c>
      <c r="D382" s="1" t="s">
        <v>619</v>
      </c>
      <c r="E382" s="15">
        <f>VLOOKUP(F382,Referencia!$A$15:$B$193,2,0)</f>
        <v>21</v>
      </c>
      <c r="F382" s="1" t="s">
        <v>52</v>
      </c>
      <c r="G382" s="1" t="s">
        <v>1101</v>
      </c>
      <c r="H382" s="1">
        <v>1</v>
      </c>
      <c r="I382" s="1" t="s">
        <v>1100</v>
      </c>
      <c r="J382" s="21">
        <v>20000</v>
      </c>
      <c r="K382" s="21">
        <v>40000</v>
      </c>
      <c r="L382" s="21">
        <f t="shared" si="7"/>
        <v>20000</v>
      </c>
      <c r="M382" s="1" t="s">
        <v>27</v>
      </c>
      <c r="N382" s="1"/>
    </row>
    <row r="383" spans="1:14" x14ac:dyDescent="0.35">
      <c r="A383" s="17">
        <v>45891</v>
      </c>
      <c r="B383" s="1" t="s">
        <v>415</v>
      </c>
      <c r="C383" s="26" t="str">
        <f>VLOOKUP(F383,Clientes!$B$2:$C$179,2,0)</f>
        <v>Funza</v>
      </c>
      <c r="D383" s="1" t="s">
        <v>619</v>
      </c>
      <c r="E383" s="15">
        <f>VLOOKUP(F383,Referencia!$A$15:$B$193,2,0)</f>
        <v>21</v>
      </c>
      <c r="F383" s="1" t="s">
        <v>52</v>
      </c>
      <c r="G383" s="1" t="s">
        <v>1102</v>
      </c>
      <c r="H383" s="1">
        <v>1</v>
      </c>
      <c r="I383" s="1" t="s">
        <v>1103</v>
      </c>
      <c r="J383" s="21"/>
      <c r="K383" s="21">
        <v>90000</v>
      </c>
      <c r="L383" s="21">
        <f t="shared" si="7"/>
        <v>90000</v>
      </c>
      <c r="M383" s="1" t="s">
        <v>27</v>
      </c>
      <c r="N383" s="1"/>
    </row>
    <row r="384" spans="1:14" x14ac:dyDescent="0.35">
      <c r="A384" s="17">
        <v>45891</v>
      </c>
      <c r="B384" s="1" t="s">
        <v>9</v>
      </c>
      <c r="C384" s="26" t="str">
        <f>VLOOKUP(B384,Referencia!$B$2:$C$12,2,0)</f>
        <v>Chia</v>
      </c>
      <c r="D384" s="1" t="s">
        <v>619</v>
      </c>
      <c r="E384" s="15" t="str">
        <f>VLOOKUP(F384,Referencia!$A$15:$B$193,2,0)</f>
        <v>R1</v>
      </c>
      <c r="F384" s="1" t="s">
        <v>477</v>
      </c>
      <c r="G384" s="1" t="s">
        <v>1104</v>
      </c>
      <c r="H384" s="1">
        <v>1</v>
      </c>
      <c r="I384" s="1" t="s">
        <v>22</v>
      </c>
      <c r="J384" s="21">
        <v>5027</v>
      </c>
      <c r="K384" s="21">
        <v>10000</v>
      </c>
      <c r="L384" s="21">
        <f t="shared" si="7"/>
        <v>4973</v>
      </c>
      <c r="M384" s="1" t="s">
        <v>23</v>
      </c>
      <c r="N384" s="1"/>
    </row>
    <row r="385" spans="1:14" x14ac:dyDescent="0.35">
      <c r="A385" s="17">
        <v>45891</v>
      </c>
      <c r="B385" s="1" t="s">
        <v>9</v>
      </c>
      <c r="C385" s="26" t="str">
        <f>VLOOKUP(B385,Referencia!$B$2:$C$12,2,0)</f>
        <v>Chia</v>
      </c>
      <c r="D385" s="1" t="s">
        <v>619</v>
      </c>
      <c r="E385" s="15" t="str">
        <f>VLOOKUP(F385,Referencia!$A$15:$B$193,2,0)</f>
        <v>R1</v>
      </c>
      <c r="F385" s="1" t="s">
        <v>477</v>
      </c>
      <c r="G385" s="1" t="s">
        <v>38</v>
      </c>
      <c r="H385" s="1">
        <v>1</v>
      </c>
      <c r="I385" s="1" t="s">
        <v>22</v>
      </c>
      <c r="J385" s="21">
        <v>5700</v>
      </c>
      <c r="K385" s="21">
        <v>10000</v>
      </c>
      <c r="L385" s="21">
        <f t="shared" si="7"/>
        <v>4300</v>
      </c>
      <c r="M385" s="1" t="s">
        <v>23</v>
      </c>
      <c r="N385" s="1"/>
    </row>
    <row r="386" spans="1:14" x14ac:dyDescent="0.35">
      <c r="A386" s="17">
        <v>45891</v>
      </c>
      <c r="B386" s="1" t="s">
        <v>9</v>
      </c>
      <c r="C386" s="26" t="str">
        <f>VLOOKUP(B386,Referencia!$B$2:$C$12,2,0)</f>
        <v>Chia</v>
      </c>
      <c r="D386" s="1" t="s">
        <v>619</v>
      </c>
      <c r="E386" s="15" t="str">
        <f>VLOOKUP(F386,Referencia!$A$15:$B$193,2,0)</f>
        <v>R1</v>
      </c>
      <c r="F386" s="1" t="s">
        <v>477</v>
      </c>
      <c r="G386" s="1" t="s">
        <v>1105</v>
      </c>
      <c r="H386" s="1">
        <v>1</v>
      </c>
      <c r="I386" s="1" t="s">
        <v>43</v>
      </c>
      <c r="J386" s="21"/>
      <c r="K386" s="21">
        <v>25000</v>
      </c>
      <c r="L386" s="21">
        <f t="shared" si="7"/>
        <v>25000</v>
      </c>
      <c r="M386" s="1" t="s">
        <v>23</v>
      </c>
      <c r="N386" s="1"/>
    </row>
    <row r="387" spans="1:14" x14ac:dyDescent="0.35">
      <c r="A387" s="17">
        <v>45891</v>
      </c>
      <c r="B387" s="1" t="s">
        <v>9</v>
      </c>
      <c r="C387" s="26" t="str">
        <f>VLOOKUP(B387,Referencia!$B$2:$C$12,2,0)</f>
        <v>Chia</v>
      </c>
      <c r="D387" s="1" t="s">
        <v>619</v>
      </c>
      <c r="E387" s="15" t="str">
        <f>VLOOKUP(F387,Referencia!$A$15:$B$193,2,0)</f>
        <v>R1</v>
      </c>
      <c r="F387" s="1" t="s">
        <v>477</v>
      </c>
      <c r="G387" s="1" t="s">
        <v>1094</v>
      </c>
      <c r="H387" s="1">
        <v>1</v>
      </c>
      <c r="I387" s="5" t="s">
        <v>31</v>
      </c>
      <c r="J387" s="21">
        <v>20000</v>
      </c>
      <c r="K387" s="21">
        <v>0</v>
      </c>
      <c r="L387" s="21"/>
      <c r="M387" s="1"/>
      <c r="N387" s="1"/>
    </row>
    <row r="388" spans="1:14" x14ac:dyDescent="0.35">
      <c r="A388" s="48">
        <v>45903</v>
      </c>
      <c r="B388" s="1" t="s">
        <v>615</v>
      </c>
      <c r="C388" s="26" t="str">
        <f>VLOOKUP(E388,Clientes!$A$2:$C$179,3,0)</f>
        <v>Tenjo</v>
      </c>
      <c r="D388" s="1" t="s">
        <v>619</v>
      </c>
      <c r="E388" s="15">
        <f>VLOOKUP(F388,[1]Referencia!$A$15:$B$193,2,0)</f>
        <v>44</v>
      </c>
      <c r="F388" s="1" t="s">
        <v>459</v>
      </c>
      <c r="G388" s="1" t="s">
        <v>1133</v>
      </c>
      <c r="H388" s="1">
        <v>1</v>
      </c>
      <c r="I388" s="1" t="s">
        <v>43</v>
      </c>
      <c r="J388" s="21">
        <v>61000</v>
      </c>
      <c r="K388" s="21">
        <v>110000</v>
      </c>
      <c r="L388" s="21">
        <f t="shared" ref="L388:L429" si="8">K388-J388</f>
        <v>49000</v>
      </c>
      <c r="M388" s="1" t="s">
        <v>27</v>
      </c>
      <c r="N388" s="1"/>
    </row>
    <row r="389" spans="1:14" x14ac:dyDescent="0.35">
      <c r="A389" s="17">
        <v>45903</v>
      </c>
      <c r="B389" s="1" t="s">
        <v>415</v>
      </c>
      <c r="C389" s="26" t="str">
        <f>VLOOKUP(E389,Clientes!$A$2:$C$179,3,0)</f>
        <v>Funza</v>
      </c>
      <c r="D389" s="1" t="s">
        <v>619</v>
      </c>
      <c r="E389" s="15">
        <f>VLOOKUP(F389,[1]Referencia!$A$15:$B$193,2,0)</f>
        <v>42</v>
      </c>
      <c r="F389" s="1" t="s">
        <v>185</v>
      </c>
      <c r="G389" s="1" t="s">
        <v>48</v>
      </c>
      <c r="H389" s="1">
        <v>1</v>
      </c>
      <c r="I389" s="1" t="s">
        <v>40</v>
      </c>
      <c r="J389" s="21">
        <v>18000</v>
      </c>
      <c r="K389" s="21">
        <v>0</v>
      </c>
      <c r="L389" s="21">
        <f t="shared" si="8"/>
        <v>-18000</v>
      </c>
      <c r="M389" s="1" t="s">
        <v>27</v>
      </c>
      <c r="N389" s="1"/>
    </row>
    <row r="390" spans="1:14" x14ac:dyDescent="0.35">
      <c r="A390" s="17">
        <v>45903</v>
      </c>
      <c r="B390" s="1" t="s">
        <v>415</v>
      </c>
      <c r="C390" s="26" t="str">
        <f>VLOOKUP(E390,Clientes!$A$2:$C$179,3,0)</f>
        <v>Funza</v>
      </c>
      <c r="D390" s="1" t="s">
        <v>619</v>
      </c>
      <c r="E390" s="15">
        <f>VLOOKUP(F390,[1]Referencia!$A$15:$B$193,2,0)</f>
        <v>42</v>
      </c>
      <c r="F390" s="1" t="s">
        <v>185</v>
      </c>
      <c r="G390" s="1" t="s">
        <v>428</v>
      </c>
      <c r="H390" s="1">
        <v>1</v>
      </c>
      <c r="I390" s="1" t="s">
        <v>40</v>
      </c>
      <c r="J390" s="21">
        <v>5500</v>
      </c>
      <c r="K390" s="21">
        <v>10000</v>
      </c>
      <c r="L390" s="21">
        <f t="shared" si="8"/>
        <v>4500</v>
      </c>
      <c r="M390" s="1" t="s">
        <v>27</v>
      </c>
      <c r="N390" s="1"/>
    </row>
    <row r="391" spans="1:14" x14ac:dyDescent="0.35">
      <c r="A391" s="17">
        <v>45903</v>
      </c>
      <c r="B391" s="1" t="s">
        <v>415</v>
      </c>
      <c r="C391" s="26" t="str">
        <f>VLOOKUP(E391,Clientes!$A$2:$C$179,3,0)</f>
        <v>Funza</v>
      </c>
      <c r="D391" s="1" t="s">
        <v>619</v>
      </c>
      <c r="E391" s="15">
        <f>VLOOKUP(F391,[1]Referencia!$A$15:$B$193,2,0)</f>
        <v>42</v>
      </c>
      <c r="F391" s="1" t="s">
        <v>185</v>
      </c>
      <c r="G391" s="1" t="s">
        <v>532</v>
      </c>
      <c r="H391" s="1">
        <v>1</v>
      </c>
      <c r="I391" s="1" t="s">
        <v>40</v>
      </c>
      <c r="J391" s="21">
        <v>16000</v>
      </c>
      <c r="K391" s="21">
        <v>30000</v>
      </c>
      <c r="L391" s="21">
        <f t="shared" si="8"/>
        <v>14000</v>
      </c>
      <c r="M391" s="1" t="s">
        <v>27</v>
      </c>
      <c r="N391" s="1"/>
    </row>
    <row r="392" spans="1:14" x14ac:dyDescent="0.35">
      <c r="A392" s="17">
        <v>45903</v>
      </c>
      <c r="B392" s="1" t="s">
        <v>415</v>
      </c>
      <c r="C392" s="26" t="str">
        <f>VLOOKUP(E392,Clientes!$A$2:$C$179,3,0)</f>
        <v>Funza</v>
      </c>
      <c r="D392" s="1" t="s">
        <v>619</v>
      </c>
      <c r="E392" s="15">
        <f>VLOOKUP(F392,[1]Referencia!$A$15:$B$193,2,0)</f>
        <v>33</v>
      </c>
      <c r="F392" s="1" t="s">
        <v>171</v>
      </c>
      <c r="G392" s="1" t="s">
        <v>1134</v>
      </c>
      <c r="H392" s="1">
        <v>1</v>
      </c>
      <c r="I392" s="1" t="s">
        <v>43</v>
      </c>
      <c r="J392" s="21">
        <v>131194</v>
      </c>
      <c r="K392" s="21">
        <v>190000</v>
      </c>
      <c r="L392" s="21">
        <f t="shared" si="8"/>
        <v>58806</v>
      </c>
      <c r="M392" s="1" t="s">
        <v>27</v>
      </c>
      <c r="N392" s="1"/>
    </row>
    <row r="393" spans="1:14" x14ac:dyDescent="0.35">
      <c r="A393" s="17">
        <v>45904</v>
      </c>
      <c r="B393" s="1" t="s">
        <v>8</v>
      </c>
      <c r="C393" s="26" t="str">
        <f>VLOOKUP(E393,Clientes!$A$2:$C$179,3,0)</f>
        <v>Briceño</v>
      </c>
      <c r="D393" s="1" t="s">
        <v>619</v>
      </c>
      <c r="E393" s="15">
        <f>VLOOKUP(F393,[1]Referencia!$A$15:$B$193,2,0)</f>
        <v>76</v>
      </c>
      <c r="F393" s="1" t="s">
        <v>492</v>
      </c>
      <c r="G393" s="1" t="s">
        <v>1135</v>
      </c>
      <c r="H393" s="1">
        <v>1</v>
      </c>
      <c r="I393" s="1" t="s">
        <v>22</v>
      </c>
      <c r="J393" s="21">
        <v>49080</v>
      </c>
      <c r="K393" s="21">
        <v>90000</v>
      </c>
      <c r="L393" s="21">
        <f t="shared" si="8"/>
        <v>40920</v>
      </c>
      <c r="M393" s="1" t="s">
        <v>27</v>
      </c>
      <c r="N393" s="1"/>
    </row>
    <row r="394" spans="1:14" x14ac:dyDescent="0.35">
      <c r="A394" s="17">
        <v>45904</v>
      </c>
      <c r="B394" s="1" t="s">
        <v>8</v>
      </c>
      <c r="C394" s="26" t="str">
        <f>VLOOKUP(E394,Clientes!$A$2:$C$179,3,0)</f>
        <v>Briceño</v>
      </c>
      <c r="D394" s="1" t="s">
        <v>619</v>
      </c>
      <c r="E394" s="15">
        <f>VLOOKUP(F394,[1]Referencia!$A$15:$B$193,2,0)</f>
        <v>76</v>
      </c>
      <c r="F394" s="1" t="s">
        <v>492</v>
      </c>
      <c r="G394" s="1" t="s">
        <v>464</v>
      </c>
      <c r="H394" s="1">
        <v>1</v>
      </c>
      <c r="I394" s="1" t="s">
        <v>43</v>
      </c>
      <c r="J394" s="21">
        <v>47600</v>
      </c>
      <c r="K394" s="21">
        <v>80000</v>
      </c>
      <c r="L394" s="21">
        <f t="shared" si="8"/>
        <v>32400</v>
      </c>
      <c r="M394" s="1" t="s">
        <v>27</v>
      </c>
      <c r="N394" s="1"/>
    </row>
    <row r="395" spans="1:14" x14ac:dyDescent="0.35">
      <c r="A395" s="17">
        <v>45904</v>
      </c>
      <c r="B395" s="1" t="s">
        <v>8</v>
      </c>
      <c r="C395" s="26" t="str">
        <f>VLOOKUP(E395,Clientes!$A$2:$C$179,3,0)</f>
        <v>Briceño</v>
      </c>
      <c r="D395" s="1" t="s">
        <v>619</v>
      </c>
      <c r="E395" s="15">
        <f>VLOOKUP(F395,[1]Referencia!$A$15:$B$193,2,0)</f>
        <v>76</v>
      </c>
      <c r="F395" s="1" t="s">
        <v>492</v>
      </c>
      <c r="G395" s="1" t="s">
        <v>1136</v>
      </c>
      <c r="H395" s="1">
        <v>1</v>
      </c>
      <c r="I395" s="1" t="s">
        <v>31</v>
      </c>
      <c r="J395" s="21">
        <v>20000</v>
      </c>
      <c r="K395" s="21">
        <v>35000</v>
      </c>
      <c r="L395" s="21">
        <f t="shared" si="8"/>
        <v>15000</v>
      </c>
      <c r="M395" s="1" t="s">
        <v>27</v>
      </c>
      <c r="N395" s="1"/>
    </row>
    <row r="396" spans="1:14" x14ac:dyDescent="0.35">
      <c r="A396" s="17">
        <v>45904</v>
      </c>
      <c r="B396" s="1" t="s">
        <v>8</v>
      </c>
      <c r="C396" s="26" t="str">
        <f>VLOOKUP(E396,Clientes!$A$2:$C$179,3,0)</f>
        <v>Briceño</v>
      </c>
      <c r="D396" s="1" t="s">
        <v>619</v>
      </c>
      <c r="E396" s="15">
        <f>VLOOKUP(F396,[1]Referencia!$A$15:$B$193,2,0)</f>
        <v>76</v>
      </c>
      <c r="F396" s="1" t="s">
        <v>492</v>
      </c>
      <c r="G396" s="1" t="s">
        <v>542</v>
      </c>
      <c r="H396" s="1">
        <v>2</v>
      </c>
      <c r="I396" s="1" t="s">
        <v>32</v>
      </c>
      <c r="J396" s="21">
        <v>10890</v>
      </c>
      <c r="K396" s="21">
        <v>44000</v>
      </c>
      <c r="L396" s="21">
        <f t="shared" si="8"/>
        <v>33110</v>
      </c>
      <c r="M396" s="1" t="s">
        <v>27</v>
      </c>
    </row>
    <row r="397" spans="1:14" x14ac:dyDescent="0.35">
      <c r="A397" s="17">
        <v>45904</v>
      </c>
      <c r="B397" s="1" t="s">
        <v>8</v>
      </c>
      <c r="C397" s="26" t="str">
        <f>VLOOKUP(E397,Clientes!$A$2:$C$179,3,0)</f>
        <v>Briceño</v>
      </c>
      <c r="D397" s="1" t="s">
        <v>619</v>
      </c>
      <c r="E397" s="15">
        <f>VLOOKUP(F397,[1]Referencia!$A$15:$B$193,2,0)</f>
        <v>76</v>
      </c>
      <c r="F397" s="1" t="s">
        <v>492</v>
      </c>
      <c r="G397" s="1" t="s">
        <v>1137</v>
      </c>
      <c r="H397" s="1">
        <v>1</v>
      </c>
      <c r="I397" s="1" t="s">
        <v>22</v>
      </c>
      <c r="J397" s="21">
        <v>11000</v>
      </c>
      <c r="K397" s="21">
        <v>16000</v>
      </c>
      <c r="L397" s="21">
        <f t="shared" si="8"/>
        <v>5000</v>
      </c>
      <c r="M397" s="1" t="s">
        <v>27</v>
      </c>
    </row>
    <row r="398" spans="1:14" x14ac:dyDescent="0.35">
      <c r="A398" s="17">
        <v>45904</v>
      </c>
      <c r="B398" s="1" t="s">
        <v>8</v>
      </c>
      <c r="C398" s="26" t="str">
        <f>VLOOKUP(E398,Clientes!$A$2:$C$179,3,0)</f>
        <v>Briceño</v>
      </c>
      <c r="D398" s="1" t="s">
        <v>619</v>
      </c>
      <c r="E398" s="15">
        <f>VLOOKUP(F398,[1]Referencia!$A$15:$B$193,2,0)</f>
        <v>76</v>
      </c>
      <c r="F398" s="1" t="s">
        <v>492</v>
      </c>
      <c r="G398" s="1" t="s">
        <v>532</v>
      </c>
      <c r="H398" s="1">
        <v>1</v>
      </c>
      <c r="I398" s="1" t="s">
        <v>40</v>
      </c>
      <c r="J398" s="21">
        <v>16000</v>
      </c>
      <c r="K398" s="21">
        <v>30000</v>
      </c>
      <c r="L398" s="21">
        <f t="shared" si="8"/>
        <v>14000</v>
      </c>
      <c r="M398" s="1" t="s">
        <v>27</v>
      </c>
    </row>
    <row r="399" spans="1:14" x14ac:dyDescent="0.35">
      <c r="A399" s="17">
        <v>45904</v>
      </c>
      <c r="B399" s="1" t="s">
        <v>8</v>
      </c>
      <c r="C399" s="26" t="str">
        <f>VLOOKUP(E399,Clientes!$A$2:$C$179,3,0)</f>
        <v>Briceño</v>
      </c>
      <c r="D399" s="1" t="s">
        <v>619</v>
      </c>
      <c r="E399" s="15">
        <f>VLOOKUP(F399,[1]Referencia!$A$15:$B$193,2,0)</f>
        <v>76</v>
      </c>
      <c r="F399" s="1" t="s">
        <v>492</v>
      </c>
      <c r="G399" s="1" t="s">
        <v>1138</v>
      </c>
      <c r="H399" s="1">
        <v>1</v>
      </c>
      <c r="I399" s="1" t="s">
        <v>442</v>
      </c>
      <c r="J399" s="21">
        <v>5500</v>
      </c>
      <c r="K399" s="21">
        <v>20000</v>
      </c>
      <c r="L399" s="21">
        <f t="shared" si="8"/>
        <v>14500</v>
      </c>
      <c r="M399" s="1" t="s">
        <v>27</v>
      </c>
    </row>
    <row r="400" spans="1:14" x14ac:dyDescent="0.35">
      <c r="A400" s="17">
        <v>45904</v>
      </c>
      <c r="B400" s="1" t="s">
        <v>8</v>
      </c>
      <c r="C400" s="26" t="str">
        <f>VLOOKUP(E400,Clientes!$A$2:$C$179,3,0)</f>
        <v>Sopó</v>
      </c>
      <c r="D400" s="1" t="s">
        <v>619</v>
      </c>
      <c r="E400" s="15">
        <f>VLOOKUP(F400,[1]Referencia!$A$15:$B$193,2,0)</f>
        <v>1</v>
      </c>
      <c r="F400" s="1" t="s">
        <v>108</v>
      </c>
      <c r="G400" s="1" t="s">
        <v>1139</v>
      </c>
      <c r="H400" s="1">
        <v>1</v>
      </c>
      <c r="I400" s="1" t="s">
        <v>59</v>
      </c>
      <c r="J400" s="21">
        <v>195000</v>
      </c>
      <c r="K400" s="21">
        <v>240000</v>
      </c>
      <c r="L400" s="21">
        <f t="shared" si="8"/>
        <v>45000</v>
      </c>
      <c r="M400" s="1" t="s">
        <v>27</v>
      </c>
    </row>
    <row r="401" spans="1:13" x14ac:dyDescent="0.35">
      <c r="A401" s="17">
        <v>45904</v>
      </c>
      <c r="B401" s="1" t="s">
        <v>8</v>
      </c>
      <c r="C401" s="26" t="str">
        <f>VLOOKUP(E401,Clientes!$A$2:$C$179,3,0)</f>
        <v>Sopó</v>
      </c>
      <c r="D401" s="1" t="s">
        <v>619</v>
      </c>
      <c r="E401" s="15">
        <f>VLOOKUP(F401,[1]Referencia!$A$15:$B$193,2,0)</f>
        <v>1</v>
      </c>
      <c r="F401" s="1" t="s">
        <v>108</v>
      </c>
      <c r="G401" s="1" t="s">
        <v>1140</v>
      </c>
      <c r="H401" s="1">
        <v>1</v>
      </c>
      <c r="I401" s="1" t="s">
        <v>22</v>
      </c>
      <c r="J401" s="21">
        <v>119000</v>
      </c>
      <c r="K401" s="21">
        <v>240000</v>
      </c>
      <c r="L401" s="21">
        <f t="shared" si="8"/>
        <v>121000</v>
      </c>
      <c r="M401" s="1" t="s">
        <v>27</v>
      </c>
    </row>
    <row r="402" spans="1:13" x14ac:dyDescent="0.35">
      <c r="A402" s="17">
        <v>45904</v>
      </c>
      <c r="B402" s="1" t="s">
        <v>8</v>
      </c>
      <c r="C402" s="26" t="str">
        <f>VLOOKUP(E402,Clientes!$A$2:$C$179,3,0)</f>
        <v>Sopó</v>
      </c>
      <c r="D402" s="1" t="s">
        <v>619</v>
      </c>
      <c r="E402" s="15">
        <f>VLOOKUP(F402,[1]Referencia!$A$15:$B$193,2,0)</f>
        <v>52</v>
      </c>
      <c r="F402" s="1" t="s">
        <v>1141</v>
      </c>
      <c r="G402" s="1" t="s">
        <v>1142</v>
      </c>
      <c r="H402" s="1">
        <v>1</v>
      </c>
      <c r="I402" s="1" t="s">
        <v>59</v>
      </c>
      <c r="J402" s="21">
        <v>80000</v>
      </c>
      <c r="K402" s="21">
        <v>170000</v>
      </c>
      <c r="L402" s="21">
        <f t="shared" si="8"/>
        <v>90000</v>
      </c>
      <c r="M402" s="1" t="s">
        <v>27</v>
      </c>
    </row>
    <row r="403" spans="1:13" x14ac:dyDescent="0.35">
      <c r="A403" s="17">
        <v>45904</v>
      </c>
      <c r="B403" s="1" t="s">
        <v>8</v>
      </c>
      <c r="C403" s="26" t="str">
        <f>VLOOKUP(E403,Clientes!$A$2:$C$179,3,0)</f>
        <v>Tocancipá</v>
      </c>
      <c r="D403" s="1" t="s">
        <v>619</v>
      </c>
      <c r="E403" s="15">
        <f>VLOOKUP(F403,[1]Referencia!$A$15:$B$193,2,0)</f>
        <v>49</v>
      </c>
      <c r="F403" s="1" t="s">
        <v>77</v>
      </c>
      <c r="G403" s="1" t="s">
        <v>434</v>
      </c>
      <c r="H403" s="1">
        <v>1</v>
      </c>
      <c r="I403" s="1" t="s">
        <v>74</v>
      </c>
      <c r="J403" s="21">
        <v>35000</v>
      </c>
      <c r="K403" s="21">
        <v>55000</v>
      </c>
      <c r="L403" s="21">
        <f t="shared" si="8"/>
        <v>20000</v>
      </c>
      <c r="M403" s="1" t="s">
        <v>27</v>
      </c>
    </row>
    <row r="404" spans="1:13" x14ac:dyDescent="0.35">
      <c r="A404" s="17">
        <v>45904</v>
      </c>
      <c r="B404" s="1" t="s">
        <v>9</v>
      </c>
      <c r="C404" s="26" t="str">
        <f>VLOOKUP(E404,Clientes!$A$2:$C$179,3,0)</f>
        <v>Chia</v>
      </c>
      <c r="D404" s="1" t="s">
        <v>619</v>
      </c>
      <c r="E404" s="15">
        <f>VLOOKUP(F404,[1]Referencia!$A$15:$B$193,2,0)</f>
        <v>8</v>
      </c>
      <c r="F404" s="1" t="s">
        <v>511</v>
      </c>
      <c r="G404" s="1" t="s">
        <v>1143</v>
      </c>
      <c r="H404" s="1">
        <v>1</v>
      </c>
      <c r="I404" s="1" t="s">
        <v>59</v>
      </c>
      <c r="J404" s="21">
        <v>240000</v>
      </c>
      <c r="K404" s="21">
        <v>350000</v>
      </c>
      <c r="L404" s="21">
        <f t="shared" si="8"/>
        <v>110000</v>
      </c>
      <c r="M404" s="1" t="s">
        <v>27</v>
      </c>
    </row>
    <row r="405" spans="1:13" x14ac:dyDescent="0.35">
      <c r="A405" s="17">
        <v>45905</v>
      </c>
      <c r="B405" s="1" t="s">
        <v>9</v>
      </c>
      <c r="C405" s="26" t="str">
        <f>VLOOKUP(E405,Clientes!$A$2:$C$179,3,0)</f>
        <v>Chia</v>
      </c>
      <c r="D405" s="1" t="s">
        <v>619</v>
      </c>
      <c r="E405" s="15">
        <f>VLOOKUP(F405,[1]Referencia!$A$15:$B$193,2,0)</f>
        <v>8</v>
      </c>
      <c r="F405" s="1" t="s">
        <v>511</v>
      </c>
      <c r="G405" s="1" t="s">
        <v>533</v>
      </c>
      <c r="H405" s="1">
        <v>1</v>
      </c>
      <c r="I405" s="1" t="s">
        <v>40</v>
      </c>
      <c r="J405" s="21">
        <v>20000</v>
      </c>
      <c r="K405" s="21">
        <v>40000</v>
      </c>
      <c r="L405" s="21">
        <f t="shared" si="8"/>
        <v>20000</v>
      </c>
      <c r="M405" s="1" t="s">
        <v>23</v>
      </c>
    </row>
    <row r="406" spans="1:13" x14ac:dyDescent="0.35">
      <c r="A406" s="17">
        <v>45905</v>
      </c>
      <c r="B406" s="1" t="s">
        <v>9</v>
      </c>
      <c r="C406" s="26" t="str">
        <f>VLOOKUP(E406,Clientes!$A$2:$C$179,3,0)</f>
        <v>Chia</v>
      </c>
      <c r="D406" s="1" t="s">
        <v>619</v>
      </c>
      <c r="E406" s="15">
        <f>VLOOKUP(F406,[1]Referencia!$A$15:$B$193,2,0)</f>
        <v>8</v>
      </c>
      <c r="F406" s="1" t="s">
        <v>511</v>
      </c>
      <c r="G406" s="1" t="s">
        <v>60</v>
      </c>
      <c r="H406" s="1">
        <v>8</v>
      </c>
      <c r="I406" s="1" t="s">
        <v>59</v>
      </c>
      <c r="J406" s="21">
        <v>40000</v>
      </c>
      <c r="K406" s="21">
        <v>60000</v>
      </c>
      <c r="L406" s="21">
        <f t="shared" si="8"/>
        <v>20000</v>
      </c>
      <c r="M406" s="1" t="s">
        <v>23</v>
      </c>
    </row>
    <row r="407" spans="1:13" x14ac:dyDescent="0.35">
      <c r="A407" s="17">
        <v>45905</v>
      </c>
      <c r="B407" s="1" t="s">
        <v>9</v>
      </c>
      <c r="C407" s="26" t="s">
        <v>140</v>
      </c>
      <c r="D407" s="1" t="s">
        <v>619</v>
      </c>
      <c r="E407" s="15" t="str">
        <f>VLOOKUP(F407,[1]Referencia!$A$15:$B$193,2,0)</f>
        <v>R1</v>
      </c>
      <c r="F407" s="1" t="s">
        <v>477</v>
      </c>
      <c r="G407" s="1" t="s">
        <v>502</v>
      </c>
      <c r="H407" s="1">
        <v>1</v>
      </c>
      <c r="I407" s="1" t="s">
        <v>59</v>
      </c>
      <c r="J407" s="21">
        <v>24000</v>
      </c>
      <c r="K407" s="21">
        <v>350000</v>
      </c>
      <c r="L407" s="21">
        <f t="shared" si="8"/>
        <v>326000</v>
      </c>
      <c r="M407" s="1" t="s">
        <v>23</v>
      </c>
    </row>
    <row r="408" spans="1:13" x14ac:dyDescent="0.35">
      <c r="A408" s="17">
        <v>45905</v>
      </c>
      <c r="B408" s="1" t="s">
        <v>9</v>
      </c>
      <c r="C408" s="26" t="s">
        <v>122</v>
      </c>
      <c r="D408" s="1" t="s">
        <v>619</v>
      </c>
      <c r="E408" s="15" t="str">
        <f>VLOOKUP(F408,[1]Referencia!$A$15:$B$193,2,0)</f>
        <v>R1</v>
      </c>
      <c r="F408" s="1" t="s">
        <v>477</v>
      </c>
      <c r="G408" s="1" t="s">
        <v>1144</v>
      </c>
      <c r="H408" s="1">
        <v>1</v>
      </c>
      <c r="I408" s="1" t="s">
        <v>40</v>
      </c>
      <c r="J408" s="21">
        <v>60000</v>
      </c>
      <c r="K408" s="21">
        <v>100000</v>
      </c>
      <c r="L408" s="21">
        <f t="shared" si="8"/>
        <v>40000</v>
      </c>
      <c r="M408" s="1" t="s">
        <v>23</v>
      </c>
    </row>
    <row r="409" spans="1:13" x14ac:dyDescent="0.35">
      <c r="A409" s="17">
        <v>45905</v>
      </c>
      <c r="B409" s="1" t="s">
        <v>9</v>
      </c>
      <c r="C409" s="26" t="str">
        <f>VLOOKUP(E409,Clientes!$A$2:$C$179,3,0)</f>
        <v>Chia</v>
      </c>
      <c r="D409" s="1" t="s">
        <v>619</v>
      </c>
      <c r="E409" s="15">
        <f>VLOOKUP(F409,[1]Referencia!$A$15:$B$193,2,0)</f>
        <v>64</v>
      </c>
      <c r="F409" s="1" t="s">
        <v>90</v>
      </c>
      <c r="G409" s="1" t="s">
        <v>1145</v>
      </c>
      <c r="H409" s="1">
        <v>1</v>
      </c>
      <c r="I409" s="1" t="s">
        <v>22</v>
      </c>
      <c r="J409" s="21">
        <v>19100</v>
      </c>
      <c r="K409" s="21">
        <v>33000</v>
      </c>
      <c r="L409" s="21">
        <f t="shared" si="8"/>
        <v>13900</v>
      </c>
      <c r="M409" s="1" t="s">
        <v>27</v>
      </c>
    </row>
    <row r="410" spans="1:13" x14ac:dyDescent="0.35">
      <c r="A410" s="17">
        <v>45905</v>
      </c>
      <c r="B410" s="1" t="s">
        <v>9</v>
      </c>
      <c r="C410" s="26" t="str">
        <f>VLOOKUP(E410,Clientes!$A$2:$C$179,3,0)</f>
        <v>Chia</v>
      </c>
      <c r="D410" s="1" t="s">
        <v>619</v>
      </c>
      <c r="E410" s="15">
        <f>VLOOKUP(F410,[1]Referencia!$A$15:$B$193,2,0)</f>
        <v>64</v>
      </c>
      <c r="F410" s="1" t="s">
        <v>90</v>
      </c>
      <c r="G410" s="1" t="s">
        <v>65</v>
      </c>
      <c r="H410" s="1">
        <v>1</v>
      </c>
      <c r="I410" s="1" t="s">
        <v>40</v>
      </c>
      <c r="J410" s="21">
        <v>16000</v>
      </c>
      <c r="K410" s="21">
        <v>50000</v>
      </c>
      <c r="L410" s="21">
        <f t="shared" si="8"/>
        <v>34000</v>
      </c>
      <c r="M410" s="1" t="s">
        <v>27</v>
      </c>
    </row>
    <row r="411" spans="1:13" x14ac:dyDescent="0.35">
      <c r="A411" s="17">
        <v>45905</v>
      </c>
      <c r="B411" s="1" t="s">
        <v>9</v>
      </c>
      <c r="C411" s="26" t="str">
        <f>VLOOKUP(E411,Clientes!$A$2:$C$179,3,0)</f>
        <v>Chia</v>
      </c>
      <c r="D411" s="1" t="s">
        <v>619</v>
      </c>
      <c r="E411" s="15">
        <f>VLOOKUP(F411,[1]Referencia!$A$15:$B$193,2,0)</f>
        <v>64</v>
      </c>
      <c r="F411" s="1" t="s">
        <v>90</v>
      </c>
      <c r="G411" s="1" t="s">
        <v>1146</v>
      </c>
      <c r="H411" s="1">
        <v>1</v>
      </c>
      <c r="I411" s="1" t="s">
        <v>40</v>
      </c>
      <c r="J411" s="21">
        <v>2500</v>
      </c>
      <c r="K411" s="21">
        <v>5000</v>
      </c>
      <c r="L411" s="21">
        <f t="shared" si="8"/>
        <v>2500</v>
      </c>
      <c r="M411" s="1" t="s">
        <v>27</v>
      </c>
    </row>
    <row r="412" spans="1:13" x14ac:dyDescent="0.35">
      <c r="A412" s="17">
        <v>45905</v>
      </c>
      <c r="B412" s="1" t="s">
        <v>9</v>
      </c>
      <c r="C412" s="26" t="str">
        <f>VLOOKUP(E412,Clientes!$A$2:$C$179,3,0)</f>
        <v>Chia</v>
      </c>
      <c r="D412" s="1" t="s">
        <v>619</v>
      </c>
      <c r="E412" s="15">
        <f>VLOOKUP(F412,[1]Referencia!$A$15:$B$193,2,0)</f>
        <v>64</v>
      </c>
      <c r="F412" s="1" t="s">
        <v>90</v>
      </c>
      <c r="G412" s="1" t="s">
        <v>1147</v>
      </c>
      <c r="H412" s="1">
        <v>1</v>
      </c>
      <c r="I412" s="1" t="s">
        <v>22</v>
      </c>
      <c r="J412" s="21"/>
      <c r="K412" s="21">
        <v>18000</v>
      </c>
      <c r="L412" s="21">
        <f t="shared" si="8"/>
        <v>18000</v>
      </c>
      <c r="M412" s="1" t="s">
        <v>27</v>
      </c>
    </row>
    <row r="413" spans="1:13" x14ac:dyDescent="0.35">
      <c r="A413" s="17">
        <v>45905</v>
      </c>
      <c r="B413" s="1" t="s">
        <v>9</v>
      </c>
      <c r="C413" s="26" t="str">
        <f>VLOOKUP(E413,Clientes!$A$2:$C$179,3,0)</f>
        <v>Chia</v>
      </c>
      <c r="D413" s="1" t="s">
        <v>619</v>
      </c>
      <c r="E413" s="15">
        <f>VLOOKUP(F413,[1]Referencia!$A$15:$B$193,2,0)</f>
        <v>64</v>
      </c>
      <c r="F413" s="1" t="s">
        <v>90</v>
      </c>
      <c r="G413" s="1" t="s">
        <v>1148</v>
      </c>
      <c r="H413" s="1">
        <v>1</v>
      </c>
      <c r="I413" s="1" t="s">
        <v>59</v>
      </c>
      <c r="J413" s="21">
        <v>100000</v>
      </c>
      <c r="K413" s="21">
        <v>190000</v>
      </c>
      <c r="L413" s="21">
        <f t="shared" si="8"/>
        <v>90000</v>
      </c>
      <c r="M413" s="1" t="s">
        <v>27</v>
      </c>
    </row>
    <row r="414" spans="1:13" x14ac:dyDescent="0.35">
      <c r="A414" s="17">
        <v>45905</v>
      </c>
      <c r="B414" s="1" t="s">
        <v>9</v>
      </c>
      <c r="C414" s="26" t="str">
        <f>VLOOKUP(E414,Clientes!$A$2:$C$179,3,0)</f>
        <v>Chia</v>
      </c>
      <c r="D414" s="1" t="s">
        <v>619</v>
      </c>
      <c r="E414" s="15">
        <f>VLOOKUP(F414,[1]Referencia!$A$15:$B$193,2,0)</f>
        <v>64</v>
      </c>
      <c r="F414" s="1" t="s">
        <v>90</v>
      </c>
      <c r="G414" s="1" t="s">
        <v>545</v>
      </c>
      <c r="H414" s="1">
        <v>1</v>
      </c>
      <c r="I414" s="1" t="s">
        <v>26</v>
      </c>
      <c r="J414" s="21">
        <v>22000</v>
      </c>
      <c r="K414" s="21">
        <v>35000</v>
      </c>
      <c r="L414" s="21">
        <f t="shared" si="8"/>
        <v>13000</v>
      </c>
      <c r="M414" s="1" t="s">
        <v>27</v>
      </c>
    </row>
    <row r="415" spans="1:13" x14ac:dyDescent="0.35">
      <c r="A415" s="17">
        <v>45905</v>
      </c>
      <c r="B415" s="1" t="s">
        <v>9</v>
      </c>
      <c r="C415" s="26" t="str">
        <f>VLOOKUP(E415,Clientes!$A$2:$C$179,3,0)</f>
        <v>Cota</v>
      </c>
      <c r="D415" s="1" t="s">
        <v>619</v>
      </c>
      <c r="E415" s="15">
        <f>VLOOKUP(F415,[1]Referencia!$A$15:$B$193,2,0)</f>
        <v>11</v>
      </c>
      <c r="F415" s="1" t="s">
        <v>529</v>
      </c>
      <c r="G415" s="1" t="s">
        <v>1139</v>
      </c>
      <c r="H415" s="1">
        <v>1</v>
      </c>
      <c r="I415" s="1" t="s">
        <v>59</v>
      </c>
      <c r="J415" s="21">
        <v>195000</v>
      </c>
      <c r="K415" s="21">
        <v>350000</v>
      </c>
      <c r="L415" s="21">
        <f t="shared" si="8"/>
        <v>155000</v>
      </c>
      <c r="M415" s="1" t="s">
        <v>27</v>
      </c>
    </row>
    <row r="416" spans="1:13" x14ac:dyDescent="0.35">
      <c r="A416" s="17">
        <v>45905</v>
      </c>
      <c r="B416" s="1" t="s">
        <v>9</v>
      </c>
      <c r="C416" s="26" t="s">
        <v>140</v>
      </c>
      <c r="D416" s="1" t="s">
        <v>619</v>
      </c>
      <c r="E416" s="15" t="str">
        <f>VLOOKUP(F416,[1]Referencia!$A$15:$B$193,2,0)</f>
        <v>R1</v>
      </c>
      <c r="F416" s="1" t="s">
        <v>477</v>
      </c>
      <c r="G416" s="1" t="s">
        <v>58</v>
      </c>
      <c r="H416" s="1">
        <v>1</v>
      </c>
      <c r="I416" s="1" t="s">
        <v>59</v>
      </c>
      <c r="J416" s="21">
        <v>55000</v>
      </c>
      <c r="K416" s="21">
        <v>125000</v>
      </c>
      <c r="L416" s="21">
        <f t="shared" si="8"/>
        <v>70000</v>
      </c>
      <c r="M416" s="1" t="s">
        <v>23</v>
      </c>
    </row>
    <row r="417" spans="1:13" x14ac:dyDescent="0.35">
      <c r="A417" s="17">
        <v>45905</v>
      </c>
      <c r="B417" s="1" t="s">
        <v>9</v>
      </c>
      <c r="C417" s="26" t="str">
        <f>VLOOKUP(E417,Clientes!$A$2:$C$179,3,0)</f>
        <v>Chia</v>
      </c>
      <c r="D417" s="1" t="s">
        <v>619</v>
      </c>
      <c r="E417" s="15">
        <f>VLOOKUP(F417,[1]Referencia!$A$15:$B$193,2,0)</f>
        <v>13</v>
      </c>
      <c r="F417" s="1" t="s">
        <v>1149</v>
      </c>
      <c r="G417" s="1" t="s">
        <v>80</v>
      </c>
      <c r="H417" s="1">
        <v>1</v>
      </c>
      <c r="I417" s="1" t="s">
        <v>40</v>
      </c>
      <c r="J417" s="21">
        <v>100000</v>
      </c>
      <c r="K417" s="21">
        <v>200000</v>
      </c>
      <c r="L417" s="21">
        <f t="shared" si="8"/>
        <v>100000</v>
      </c>
      <c r="M417" s="1" t="s">
        <v>27</v>
      </c>
    </row>
    <row r="418" spans="1:13" x14ac:dyDescent="0.35">
      <c r="A418" s="17">
        <v>45905</v>
      </c>
      <c r="B418" s="1" t="s">
        <v>9</v>
      </c>
      <c r="C418" s="26" t="str">
        <f>VLOOKUP(E418,Clientes!$A$2:$C$179,3,0)</f>
        <v>Chia</v>
      </c>
      <c r="D418" s="1" t="s">
        <v>619</v>
      </c>
      <c r="E418" s="15">
        <f>VLOOKUP(F418,[1]Referencia!$A$15:$B$193,2,0)</f>
        <v>13</v>
      </c>
      <c r="F418" s="1" t="s">
        <v>1149</v>
      </c>
      <c r="G418" s="1" t="s">
        <v>1150</v>
      </c>
      <c r="H418" s="1">
        <v>1</v>
      </c>
      <c r="I418" s="1" t="s">
        <v>26</v>
      </c>
      <c r="J418" s="21">
        <v>80000</v>
      </c>
      <c r="K418" s="21">
        <v>130000</v>
      </c>
      <c r="L418" s="21">
        <f t="shared" si="8"/>
        <v>50000</v>
      </c>
      <c r="M418" s="1" t="s">
        <v>27</v>
      </c>
    </row>
    <row r="419" spans="1:13" x14ac:dyDescent="0.35">
      <c r="A419" s="17">
        <v>45905</v>
      </c>
      <c r="B419" s="1" t="s">
        <v>9</v>
      </c>
      <c r="C419" s="26" t="str">
        <f>VLOOKUP(E419,Clientes!$A$2:$C$179,3,0)</f>
        <v>Chia</v>
      </c>
      <c r="D419" s="1" t="s">
        <v>619</v>
      </c>
      <c r="E419" s="15">
        <f>VLOOKUP(F419,[1]Referencia!$A$15:$B$193,2,0)</f>
        <v>34</v>
      </c>
      <c r="F419" s="1" t="s">
        <v>172</v>
      </c>
      <c r="G419" s="1" t="s">
        <v>70</v>
      </c>
      <c r="H419" s="1">
        <v>2</v>
      </c>
      <c r="I419" s="1" t="s">
        <v>22</v>
      </c>
      <c r="J419" s="21">
        <f>4165*2</f>
        <v>8330</v>
      </c>
      <c r="K419" s="21">
        <v>16000</v>
      </c>
      <c r="L419" s="21">
        <f t="shared" si="8"/>
        <v>7670</v>
      </c>
      <c r="M419" s="1" t="s">
        <v>27</v>
      </c>
    </row>
    <row r="420" spans="1:13" x14ac:dyDescent="0.35">
      <c r="A420" s="17">
        <v>45911</v>
      </c>
      <c r="B420" s="1" t="s">
        <v>8</v>
      </c>
      <c r="C420" s="26" t="str">
        <f>VLOOKUP(E420,Clientes!$A$2:$C$179,3,0)</f>
        <v>Sopó</v>
      </c>
      <c r="D420" s="1" t="s">
        <v>619</v>
      </c>
      <c r="E420" s="15">
        <f>VLOOKUP(F420,[1]Referencia!$A$15:$B$193,2,0)</f>
        <v>52</v>
      </c>
      <c r="F420" s="1" t="s">
        <v>1141</v>
      </c>
      <c r="G420" s="1" t="s">
        <v>420</v>
      </c>
      <c r="H420" s="1">
        <v>1</v>
      </c>
      <c r="I420" s="1" t="s">
        <v>59</v>
      </c>
      <c r="J420" s="21">
        <v>125000</v>
      </c>
      <c r="K420" s="21">
        <v>260000</v>
      </c>
      <c r="L420" s="21">
        <f t="shared" si="8"/>
        <v>135000</v>
      </c>
      <c r="M420" s="1" t="s">
        <v>27</v>
      </c>
    </row>
    <row r="421" spans="1:13" x14ac:dyDescent="0.35">
      <c r="A421" s="17">
        <v>45911</v>
      </c>
      <c r="B421" s="1" t="s">
        <v>8</v>
      </c>
      <c r="C421" s="26" t="str">
        <f>VLOOKUP(E421,Clientes!$A$2:$C$179,3,0)</f>
        <v>Sopó</v>
      </c>
      <c r="D421" s="1" t="s">
        <v>619</v>
      </c>
      <c r="E421" s="15">
        <f>VLOOKUP(F421,[1]Referencia!$A$15:$B$193,2,0)</f>
        <v>2</v>
      </c>
      <c r="F421" s="1" t="s">
        <v>112</v>
      </c>
      <c r="G421" s="1" t="s">
        <v>420</v>
      </c>
      <c r="H421" s="1">
        <v>1</v>
      </c>
      <c r="I421" s="1" t="s">
        <v>59</v>
      </c>
      <c r="J421" s="21">
        <v>125000</v>
      </c>
      <c r="K421" s="21">
        <v>260000</v>
      </c>
      <c r="L421" s="21">
        <f t="shared" si="8"/>
        <v>135000</v>
      </c>
      <c r="M421" s="1" t="s">
        <v>27</v>
      </c>
    </row>
    <row r="422" spans="1:13" x14ac:dyDescent="0.35">
      <c r="A422" s="17">
        <v>45911</v>
      </c>
      <c r="B422" s="1" t="s">
        <v>8</v>
      </c>
      <c r="C422" s="26" t="str">
        <f>VLOOKUP(E422,Clientes!$A$2:$C$179,3,0)</f>
        <v>Sopó</v>
      </c>
      <c r="D422" s="1" t="s">
        <v>619</v>
      </c>
      <c r="E422" s="15">
        <f>VLOOKUP(F422,[1]Referencia!$A$15:$B$193,2,0)</f>
        <v>2</v>
      </c>
      <c r="F422" s="1" t="s">
        <v>112</v>
      </c>
      <c r="G422" s="1" t="s">
        <v>575</v>
      </c>
      <c r="H422" s="1">
        <v>1</v>
      </c>
      <c r="I422" s="1" t="s">
        <v>40</v>
      </c>
      <c r="J422" s="21">
        <v>42000</v>
      </c>
      <c r="K422" s="21">
        <v>90000</v>
      </c>
      <c r="L422" s="21">
        <f t="shared" si="8"/>
        <v>48000</v>
      </c>
      <c r="M422" s="1" t="s">
        <v>27</v>
      </c>
    </row>
    <row r="423" spans="1:13" x14ac:dyDescent="0.35">
      <c r="A423" s="17">
        <v>45911</v>
      </c>
      <c r="B423" s="1" t="s">
        <v>8</v>
      </c>
      <c r="C423" s="26" t="str">
        <f>VLOOKUP(E423,Clientes!$A$2:$C$179,3,0)</f>
        <v>Briceño</v>
      </c>
      <c r="D423" s="1" t="s">
        <v>619</v>
      </c>
      <c r="E423" s="15">
        <f>VLOOKUP(F423,[1]Referencia!$A$15:$B$193,2,0)</f>
        <v>35</v>
      </c>
      <c r="F423" s="1" t="s">
        <v>173</v>
      </c>
      <c r="G423" s="1" t="s">
        <v>33</v>
      </c>
      <c r="H423" s="1">
        <v>3</v>
      </c>
      <c r="I423" s="1" t="s">
        <v>22</v>
      </c>
      <c r="J423" s="21">
        <v>45000</v>
      </c>
      <c r="K423" s="21">
        <v>75000</v>
      </c>
      <c r="L423" s="21">
        <f t="shared" si="8"/>
        <v>30000</v>
      </c>
      <c r="M423" s="1" t="s">
        <v>27</v>
      </c>
    </row>
    <row r="424" spans="1:13" x14ac:dyDescent="0.35">
      <c r="A424" s="17">
        <v>45911</v>
      </c>
      <c r="B424" s="1" t="s">
        <v>8</v>
      </c>
      <c r="C424" s="26" t="str">
        <f>VLOOKUP(E424,Clientes!$A$2:$C$179,3,0)</f>
        <v>Briceño</v>
      </c>
      <c r="D424" s="1" t="s">
        <v>619</v>
      </c>
      <c r="E424" s="15">
        <f>VLOOKUP(F424,[1]Referencia!$A$15:$B$193,2,0)</f>
        <v>35</v>
      </c>
      <c r="F424" s="1" t="s">
        <v>173</v>
      </c>
      <c r="G424" s="1" t="s">
        <v>503</v>
      </c>
      <c r="H424" s="1">
        <v>1</v>
      </c>
      <c r="I424" s="1" t="s">
        <v>40</v>
      </c>
      <c r="J424" s="21">
        <v>35000</v>
      </c>
      <c r="K424" s="21">
        <v>70000</v>
      </c>
      <c r="L424" s="21">
        <f t="shared" si="8"/>
        <v>35000</v>
      </c>
      <c r="M424" s="1" t="s">
        <v>27</v>
      </c>
    </row>
    <row r="425" spans="1:13" x14ac:dyDescent="0.35">
      <c r="A425" s="17">
        <v>45911</v>
      </c>
      <c r="B425" s="1" t="s">
        <v>8</v>
      </c>
      <c r="C425" s="26" t="str">
        <f>VLOOKUP(E425,Clientes!$A$2:$C$179,3,0)</f>
        <v>Briceño</v>
      </c>
      <c r="D425" s="1" t="s">
        <v>619</v>
      </c>
      <c r="E425" s="15">
        <f>VLOOKUP(F425,[1]Referencia!$A$15:$B$193,2,0)</f>
        <v>35</v>
      </c>
      <c r="F425" s="1" t="s">
        <v>173</v>
      </c>
      <c r="G425" s="1" t="s">
        <v>1151</v>
      </c>
      <c r="H425" s="1">
        <v>1</v>
      </c>
      <c r="I425" s="1" t="s">
        <v>43</v>
      </c>
      <c r="J425" s="21"/>
      <c r="K425" s="21">
        <v>1250000</v>
      </c>
      <c r="L425" s="21">
        <f t="shared" si="8"/>
        <v>1250000</v>
      </c>
      <c r="M425" s="1" t="s">
        <v>27</v>
      </c>
    </row>
    <row r="426" spans="1:13" x14ac:dyDescent="0.35">
      <c r="A426" s="17">
        <v>45911</v>
      </c>
      <c r="B426" s="1" t="s">
        <v>8</v>
      </c>
      <c r="C426" s="26" t="str">
        <f>VLOOKUP(E426,Clientes!$A$2:$C$179,3,0)</f>
        <v>Briceño</v>
      </c>
      <c r="D426" s="1" t="s">
        <v>619</v>
      </c>
      <c r="E426" s="15">
        <f>VLOOKUP(F426,[1]Referencia!$A$15:$B$193,2,0)</f>
        <v>35</v>
      </c>
      <c r="F426" s="1" t="s">
        <v>173</v>
      </c>
      <c r="G426" s="1" t="s">
        <v>590</v>
      </c>
      <c r="H426" s="1">
        <v>2</v>
      </c>
      <c r="I426" s="1" t="s">
        <v>22</v>
      </c>
      <c r="J426" s="21">
        <f>48500*2</f>
        <v>97000</v>
      </c>
      <c r="K426" s="21">
        <v>180000</v>
      </c>
      <c r="L426" s="21">
        <f t="shared" si="8"/>
        <v>83000</v>
      </c>
      <c r="M426" s="1" t="s">
        <v>27</v>
      </c>
    </row>
    <row r="427" spans="1:13" x14ac:dyDescent="0.35">
      <c r="A427" s="17">
        <v>45911</v>
      </c>
      <c r="B427" s="1" t="s">
        <v>8</v>
      </c>
      <c r="C427" s="26" t="str">
        <f>VLOOKUP(E427,Clientes!$A$2:$C$179,3,0)</f>
        <v>Briceño</v>
      </c>
      <c r="D427" s="1" t="s">
        <v>619</v>
      </c>
      <c r="E427" s="15">
        <f>VLOOKUP(F427,[1]Referencia!$A$15:$B$193,2,0)</f>
        <v>35</v>
      </c>
      <c r="F427" s="1" t="s">
        <v>173</v>
      </c>
      <c r="G427" s="1" t="s">
        <v>1152</v>
      </c>
      <c r="H427" s="1">
        <v>1</v>
      </c>
      <c r="I427" s="1" t="s">
        <v>40</v>
      </c>
      <c r="J427" s="21"/>
      <c r="K427" s="21">
        <v>90000</v>
      </c>
      <c r="L427" s="21">
        <f t="shared" si="8"/>
        <v>90000</v>
      </c>
      <c r="M427" s="1" t="s">
        <v>27</v>
      </c>
    </row>
    <row r="428" spans="1:13" x14ac:dyDescent="0.35">
      <c r="A428" s="17">
        <v>45911</v>
      </c>
      <c r="B428" s="1" t="s">
        <v>8</v>
      </c>
      <c r="C428" s="26" t="str">
        <f>VLOOKUP(E428,Clientes!$A$2:$C$179,3,0)</f>
        <v>Briceño</v>
      </c>
      <c r="D428" s="1" t="s">
        <v>619</v>
      </c>
      <c r="E428" s="15">
        <f>VLOOKUP(F428,[1]Referencia!$A$15:$B$193,2,0)</f>
        <v>35</v>
      </c>
      <c r="F428" s="1" t="s">
        <v>173</v>
      </c>
      <c r="G428" s="1" t="s">
        <v>536</v>
      </c>
      <c r="H428" s="1">
        <v>1</v>
      </c>
      <c r="I428" s="1" t="s">
        <v>22</v>
      </c>
      <c r="J428" s="21">
        <v>18900</v>
      </c>
      <c r="K428" s="21">
        <v>35000</v>
      </c>
      <c r="L428" s="21">
        <f t="shared" si="8"/>
        <v>16100</v>
      </c>
      <c r="M428" s="1" t="s">
        <v>27</v>
      </c>
    </row>
    <row r="429" spans="1:13" x14ac:dyDescent="0.35">
      <c r="A429" s="17">
        <v>45911</v>
      </c>
      <c r="B429" s="1" t="s">
        <v>8</v>
      </c>
      <c r="C429" s="26" t="str">
        <f>VLOOKUP(E429,Clientes!$A$2:$C$179,3,0)</f>
        <v>Briceño</v>
      </c>
      <c r="D429" s="1" t="s">
        <v>619</v>
      </c>
      <c r="E429" s="15">
        <f>VLOOKUP(F429,[1]Referencia!$A$15:$B$193,2,0)</f>
        <v>78</v>
      </c>
      <c r="F429" s="1" t="s">
        <v>471</v>
      </c>
      <c r="G429" s="1" t="s">
        <v>1153</v>
      </c>
      <c r="H429" s="1">
        <v>1</v>
      </c>
      <c r="I429" s="1" t="s">
        <v>59</v>
      </c>
      <c r="J429" s="21">
        <v>46000</v>
      </c>
      <c r="K429" s="21">
        <v>100000</v>
      </c>
      <c r="L429" s="21">
        <f t="shared" si="8"/>
        <v>54000</v>
      </c>
      <c r="M429" s="1" t="s">
        <v>23</v>
      </c>
    </row>
    <row r="1048576" spans="13:13" x14ac:dyDescent="0.35">
      <c r="M1048576" s="1" t="s">
        <v>23</v>
      </c>
    </row>
  </sheetData>
  <autoFilter ref="A1:N387" xr:uid="{1812A916-493C-4FE4-9EA9-BF90108A63FE}"/>
  <conditionalFormatting sqref="A3:C387">
    <cfRule type="containsText" dxfId="15" priority="5" operator="containsText" text="valentina">
      <formula>NOT(ISERROR(SEARCH("valentina",A3)))</formula>
    </cfRule>
    <cfRule type="containsText" dxfId="14" priority="6" operator="containsText" text="chicago">
      <formula>NOT(ISERROR(SEARCH("chicago",A3)))</formula>
    </cfRule>
  </conditionalFormatting>
  <conditionalFormatting sqref="A1:XFD2 F3:XFD64 F65 H65:XFD65 F66:XFD67 F68:M91 N68:XFD312 F92:K156 L92:M168 G157:K158 F157:F168 G159:I159 K159 G160:K168 F197:K200 L197:M205 G201:K201 F201:F205 H202:K202 G203:K205 F267 H267:M267 F268:M281 F282 H282:M282 F283:M288 F289:K299 L289:M312 K300 G300:I301 F300:F308 J301:K301 G302:K308 F309:K312 F313:XFD328 F329:L329 M329:M345 N329:XFD346 G330:K330 F330:F331 L330:L345 F332:K332 G333:K334 F333:F335 F336:K345 F346:M346 F347:XFD353 D354:XFD360 D361:L369 M361:XFD383 F370:L383 E370:E386 D370:D387 F384:XFD386 E387:XFD387">
    <cfRule type="containsText" dxfId="13" priority="25" operator="containsText" text="valentina">
      <formula>NOT(ISERROR(SEARCH("valentina",A1)))</formula>
    </cfRule>
    <cfRule type="containsText" dxfId="12" priority="26" operator="containsText" text="chicago">
      <formula>NOT(ISERROR(SEARCH("chicago",A1)))</formula>
    </cfRule>
  </conditionalFormatting>
  <conditionalFormatting sqref="A388:XFD1048576">
    <cfRule type="containsText" dxfId="11" priority="1" operator="containsText" text="valentina">
      <formula>NOT(ISERROR(SEARCH("valentina",A388)))</formula>
    </cfRule>
    <cfRule type="containsText" dxfId="10" priority="2" operator="containsText" text="chicago">
      <formula>NOT(ISERROR(SEARCH("chicago",A388)))</formula>
    </cfRule>
  </conditionalFormatting>
  <conditionalFormatting sqref="D3:E353">
    <cfRule type="containsText" dxfId="9" priority="11" operator="containsText" text="valentina">
      <formula>NOT(ISERROR(SEARCH("valentina",D3)))</formula>
    </cfRule>
    <cfRule type="containsText" dxfId="8" priority="12" operator="containsText" text="chicago">
      <formula>NOT(ISERROR(SEARCH("chicago",D3)))</formula>
    </cfRule>
  </conditionalFormatting>
  <conditionalFormatting sqref="F48">
    <cfRule type="containsText" dxfId="7" priority="29" operator="containsText" text="valentina">
      <formula>NOT(ISERROR(SEARCH("valentina",F48)))</formula>
    </cfRule>
  </conditionalFormatting>
  <conditionalFormatting sqref="F169:M196">
    <cfRule type="containsText" dxfId="6" priority="23" operator="containsText" text="valentina">
      <formula>NOT(ISERROR(SEARCH("valentina",F169)))</formula>
    </cfRule>
    <cfRule type="containsText" dxfId="5" priority="24" operator="containsText" text="chicago">
      <formula>NOT(ISERROR(SEARCH("chicago",F169)))</formula>
    </cfRule>
  </conditionalFormatting>
  <conditionalFormatting sqref="F206:M266">
    <cfRule type="containsText" dxfId="4" priority="17" operator="containsText" text="valentina">
      <formula>NOT(ISERROR(SEARCH("valentina",F206)))</formula>
    </cfRule>
    <cfRule type="containsText" dxfId="3" priority="18" operator="containsText" text="chicago">
      <formula>NOT(ISERROR(SEARCH("chicago",F206)))</formula>
    </cfRule>
  </conditionalFormatting>
  <conditionalFormatting sqref="I58:I59">
    <cfRule type="containsText" dxfId="2" priority="30" operator="containsText" text="valentina">
      <formula>NOT(ISERROR(SEARCH("valentina",I58)))</formula>
    </cfRule>
  </conditionalFormatting>
  <conditionalFormatting sqref="I83">
    <cfRule type="containsText" dxfId="1" priority="27" operator="containsText" text="valentina">
      <formula>NOT(ISERROR(SEARCH("valentina",I83)))</formula>
    </cfRule>
    <cfRule type="containsText" priority="28" operator="containsText" text="valentina">
      <formula>NOT(ISERROR(SEARCH("valentina",I83)))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F4A3-0084-46EA-842F-75EA3732C413}">
  <dimension ref="A1:P387"/>
  <sheetViews>
    <sheetView topLeftCell="A361" workbookViewId="0">
      <selection activeCell="L375" sqref="L375"/>
    </sheetView>
  </sheetViews>
  <sheetFormatPr baseColWidth="10" defaultRowHeight="14.5" x14ac:dyDescent="0.35"/>
  <cols>
    <col min="1" max="1" width="10.90625" style="18"/>
    <col min="2" max="2" width="14" customWidth="1"/>
    <col min="5" max="5" width="12.7265625" customWidth="1"/>
    <col min="6" max="6" width="10.90625" style="46"/>
    <col min="9" max="9" width="5.90625" customWidth="1"/>
    <col min="10" max="10" width="10.90625" style="47"/>
    <col min="11" max="11" width="11.54296875" customWidth="1"/>
    <col min="12" max="12" width="13.08984375" style="23" customWidth="1"/>
    <col min="13" max="13" width="14" style="23" customWidth="1"/>
    <col min="14" max="14" width="10.90625" style="23"/>
  </cols>
  <sheetData>
    <row r="1" spans="1:16" x14ac:dyDescent="0.35">
      <c r="A1" s="18" t="s">
        <v>1</v>
      </c>
      <c r="B1" s="18" t="s">
        <v>1131</v>
      </c>
      <c r="C1" t="s">
        <v>1129</v>
      </c>
      <c r="D1" t="s">
        <v>0</v>
      </c>
      <c r="E1" t="s">
        <v>414</v>
      </c>
      <c r="F1" t="s">
        <v>616</v>
      </c>
      <c r="G1" s="46" t="s">
        <v>413</v>
      </c>
      <c r="H1" t="s">
        <v>12</v>
      </c>
      <c r="I1" t="s">
        <v>1108</v>
      </c>
      <c r="J1" t="s">
        <v>13</v>
      </c>
      <c r="K1" s="47" t="s">
        <v>14</v>
      </c>
      <c r="L1" t="s">
        <v>15</v>
      </c>
      <c r="M1" s="23" t="s">
        <v>1106</v>
      </c>
      <c r="N1" s="23" t="s">
        <v>1107</v>
      </c>
      <c r="O1" s="23" t="s">
        <v>18</v>
      </c>
      <c r="P1" t="s">
        <v>19</v>
      </c>
    </row>
    <row r="2" spans="1:16" x14ac:dyDescent="0.35">
      <c r="A2" s="18">
        <v>45812</v>
      </c>
      <c r="B2" s="18" t="s">
        <v>1132</v>
      </c>
      <c r="C2" t="s">
        <v>1130</v>
      </c>
      <c r="D2" t="s">
        <v>615</v>
      </c>
      <c r="E2" t="s">
        <v>129</v>
      </c>
      <c r="F2" t="s">
        <v>617</v>
      </c>
      <c r="G2" s="46" t="s">
        <v>618</v>
      </c>
      <c r="H2" t="s">
        <v>477</v>
      </c>
      <c r="I2" t="str">
        <f>VLOOKUP(Tabla5[[#This Row],[Producto]],Referencia!$E$2:$F$238,2,0)</f>
        <v>P1</v>
      </c>
      <c r="J2" t="s">
        <v>21</v>
      </c>
      <c r="K2" s="47">
        <v>1</v>
      </c>
      <c r="L2" t="s">
        <v>1063</v>
      </c>
      <c r="M2" s="23">
        <v>90600</v>
      </c>
      <c r="N2" s="23">
        <v>150000</v>
      </c>
      <c r="O2" s="23">
        <v>59400</v>
      </c>
      <c r="P2" t="s">
        <v>23</v>
      </c>
    </row>
    <row r="3" spans="1:16" x14ac:dyDescent="0.35">
      <c r="A3" s="18">
        <v>45812</v>
      </c>
      <c r="B3" s="18" t="s">
        <v>1132</v>
      </c>
      <c r="C3" t="s">
        <v>1130</v>
      </c>
      <c r="D3" t="s">
        <v>615</v>
      </c>
      <c r="E3" t="s">
        <v>129</v>
      </c>
      <c r="F3" t="s">
        <v>617</v>
      </c>
      <c r="G3" s="46" t="s">
        <v>618</v>
      </c>
      <c r="H3" t="s">
        <v>477</v>
      </c>
      <c r="I3" t="str">
        <f>VLOOKUP(Tabla5[[#This Row],[Producto]],Referencia!$E$2:$F$238,2,0)</f>
        <v>P2</v>
      </c>
      <c r="J3" t="s">
        <v>25</v>
      </c>
      <c r="K3" s="47">
        <v>1</v>
      </c>
      <c r="L3" t="s">
        <v>1064</v>
      </c>
      <c r="M3" s="23">
        <v>0</v>
      </c>
      <c r="N3" s="23">
        <v>30000</v>
      </c>
      <c r="O3" s="23">
        <v>30000</v>
      </c>
      <c r="P3" t="s">
        <v>27</v>
      </c>
    </row>
    <row r="4" spans="1:16" x14ac:dyDescent="0.35">
      <c r="A4" s="18">
        <v>45812</v>
      </c>
      <c r="B4" s="18" t="s">
        <v>1132</v>
      </c>
      <c r="C4" t="s">
        <v>1130</v>
      </c>
      <c r="D4" t="s">
        <v>615</v>
      </c>
      <c r="E4" t="s">
        <v>129</v>
      </c>
      <c r="F4" t="s">
        <v>617</v>
      </c>
      <c r="G4" s="46" t="s">
        <v>618</v>
      </c>
      <c r="H4" t="s">
        <v>477</v>
      </c>
      <c r="I4" t="str">
        <f>VLOOKUP(Tabla5[[#This Row],[Producto]],Referencia!$E$2:$F$238,2,0)</f>
        <v>P3</v>
      </c>
      <c r="J4" t="s">
        <v>28</v>
      </c>
      <c r="K4" s="47">
        <v>1</v>
      </c>
      <c r="L4" t="s">
        <v>1063</v>
      </c>
      <c r="M4" s="23">
        <v>0</v>
      </c>
      <c r="N4" s="23">
        <v>23333</v>
      </c>
      <c r="O4" s="23">
        <v>23333</v>
      </c>
      <c r="P4" t="s">
        <v>27</v>
      </c>
    </row>
    <row r="5" spans="1:16" x14ac:dyDescent="0.35">
      <c r="A5" s="18">
        <v>45812</v>
      </c>
      <c r="B5" s="18" t="s">
        <v>1132</v>
      </c>
      <c r="C5" t="s">
        <v>1130</v>
      </c>
      <c r="D5" t="s">
        <v>615</v>
      </c>
      <c r="E5" t="s">
        <v>129</v>
      </c>
      <c r="F5" t="s">
        <v>617</v>
      </c>
      <c r="G5" s="46" t="s">
        <v>618</v>
      </c>
      <c r="H5" t="s">
        <v>477</v>
      </c>
      <c r="I5" t="str">
        <f>VLOOKUP(Tabla5[[#This Row],[Producto]],Referencia!$E$2:$F$238,2,0)</f>
        <v>P4</v>
      </c>
      <c r="J5" t="s">
        <v>29</v>
      </c>
      <c r="K5" s="47">
        <v>1</v>
      </c>
      <c r="L5" t="s">
        <v>1063</v>
      </c>
      <c r="M5" s="23">
        <v>0</v>
      </c>
      <c r="N5" s="23">
        <v>23333</v>
      </c>
      <c r="O5" s="23">
        <v>23333</v>
      </c>
      <c r="P5" t="s">
        <v>27</v>
      </c>
    </row>
    <row r="6" spans="1:16" x14ac:dyDescent="0.35">
      <c r="A6" s="18">
        <v>45812</v>
      </c>
      <c r="B6" s="18" t="s">
        <v>1132</v>
      </c>
      <c r="C6" t="s">
        <v>1130</v>
      </c>
      <c r="D6" t="s">
        <v>615</v>
      </c>
      <c r="E6" t="s">
        <v>129</v>
      </c>
      <c r="F6" t="s">
        <v>617</v>
      </c>
      <c r="G6" s="46" t="s">
        <v>618</v>
      </c>
      <c r="H6" t="s">
        <v>477</v>
      </c>
      <c r="I6" t="str">
        <f>VLOOKUP(Tabla5[[#This Row],[Producto]],Referencia!$E$2:$F$238,2,0)</f>
        <v>P5</v>
      </c>
      <c r="J6" t="s">
        <v>30</v>
      </c>
      <c r="K6" s="47">
        <v>1</v>
      </c>
      <c r="L6" t="s">
        <v>1063</v>
      </c>
      <c r="M6" s="23">
        <v>15590</v>
      </c>
      <c r="N6" s="23">
        <v>23333</v>
      </c>
      <c r="O6" s="23">
        <v>7743</v>
      </c>
      <c r="P6" t="s">
        <v>27</v>
      </c>
    </row>
    <row r="7" spans="1:16" x14ac:dyDescent="0.35">
      <c r="A7" s="18">
        <v>45812</v>
      </c>
      <c r="B7" s="18" t="s">
        <v>1132</v>
      </c>
      <c r="C7" t="s">
        <v>1130</v>
      </c>
      <c r="D7" t="s">
        <v>615</v>
      </c>
      <c r="E7" t="s">
        <v>129</v>
      </c>
      <c r="F7" t="s">
        <v>617</v>
      </c>
      <c r="G7" s="46" t="s">
        <v>618</v>
      </c>
      <c r="H7" t="s">
        <v>477</v>
      </c>
      <c r="I7" t="str">
        <f>VLOOKUP(Tabla5[[#This Row],[Producto]],Referencia!$E$2:$F$238,2,0)</f>
        <v>P6</v>
      </c>
      <c r="J7" t="s">
        <v>627</v>
      </c>
      <c r="K7" s="47">
        <v>3</v>
      </c>
      <c r="L7" t="s">
        <v>31</v>
      </c>
      <c r="M7" s="23">
        <v>60000</v>
      </c>
      <c r="N7" s="23">
        <v>105000</v>
      </c>
      <c r="O7" s="23">
        <v>45000</v>
      </c>
      <c r="P7" t="s">
        <v>27</v>
      </c>
    </row>
    <row r="8" spans="1:16" x14ac:dyDescent="0.35">
      <c r="A8" s="18">
        <v>45812</v>
      </c>
      <c r="B8" s="18" t="s">
        <v>1132</v>
      </c>
      <c r="C8" t="s">
        <v>1130</v>
      </c>
      <c r="D8" t="s">
        <v>615</v>
      </c>
      <c r="E8" t="s">
        <v>129</v>
      </c>
      <c r="F8" t="s">
        <v>617</v>
      </c>
      <c r="G8" s="46" t="s">
        <v>618</v>
      </c>
      <c r="H8" t="s">
        <v>477</v>
      </c>
      <c r="I8" t="str">
        <f>VLOOKUP(Tabla5[[#This Row],[Producto]],Referencia!$E$2:$F$238,2,0)</f>
        <v>P7</v>
      </c>
      <c r="J8" t="s">
        <v>631</v>
      </c>
      <c r="K8" s="47">
        <v>2</v>
      </c>
      <c r="L8" t="s">
        <v>1065</v>
      </c>
      <c r="M8" s="23">
        <v>0</v>
      </c>
      <c r="N8" s="23">
        <v>36000</v>
      </c>
      <c r="O8" s="23">
        <v>36000</v>
      </c>
      <c r="P8" t="s">
        <v>27</v>
      </c>
    </row>
    <row r="9" spans="1:16" x14ac:dyDescent="0.35">
      <c r="A9" s="18">
        <v>45812</v>
      </c>
      <c r="B9" s="18" t="s">
        <v>1132</v>
      </c>
      <c r="C9" t="s">
        <v>1130</v>
      </c>
      <c r="D9" t="s">
        <v>615</v>
      </c>
      <c r="E9" t="s">
        <v>129</v>
      </c>
      <c r="F9" t="s">
        <v>617</v>
      </c>
      <c r="G9" s="46" t="s">
        <v>618</v>
      </c>
      <c r="H9" t="s">
        <v>477</v>
      </c>
      <c r="I9" t="str">
        <f>VLOOKUP(Tabla5[[#This Row],[Producto]],Referencia!$E$2:$F$238,2,0)</f>
        <v>P8</v>
      </c>
      <c r="J9" t="s">
        <v>33</v>
      </c>
      <c r="K9" s="47">
        <v>1</v>
      </c>
      <c r="L9" t="s">
        <v>1063</v>
      </c>
      <c r="M9" s="23">
        <v>15000</v>
      </c>
      <c r="N9" s="23">
        <v>30000</v>
      </c>
      <c r="O9" s="23">
        <v>15000</v>
      </c>
      <c r="P9" t="s">
        <v>27</v>
      </c>
    </row>
    <row r="10" spans="1:16" x14ac:dyDescent="0.35">
      <c r="A10" s="18">
        <v>45813</v>
      </c>
      <c r="B10" s="18" t="s">
        <v>1132</v>
      </c>
      <c r="C10" t="s">
        <v>1130</v>
      </c>
      <c r="D10" t="s">
        <v>8</v>
      </c>
      <c r="E10" t="s">
        <v>109</v>
      </c>
      <c r="F10" t="s">
        <v>617</v>
      </c>
      <c r="G10" s="46" t="s">
        <v>618</v>
      </c>
      <c r="H10" t="s">
        <v>477</v>
      </c>
      <c r="I10" t="str">
        <f>VLOOKUP(Tabla5[[#This Row],[Producto]],Referencia!$E$2:$F$238,2,0)</f>
        <v>P9</v>
      </c>
      <c r="J10" t="s">
        <v>34</v>
      </c>
      <c r="K10" s="47">
        <v>1</v>
      </c>
      <c r="L10" t="s">
        <v>1075</v>
      </c>
      <c r="M10" s="23">
        <v>15600</v>
      </c>
      <c r="N10" s="23">
        <v>20000</v>
      </c>
      <c r="O10" s="23">
        <v>4400</v>
      </c>
      <c r="P10" t="s">
        <v>27</v>
      </c>
    </row>
    <row r="11" spans="1:16" x14ac:dyDescent="0.35">
      <c r="A11" s="18">
        <v>45813</v>
      </c>
      <c r="B11" s="18" t="s">
        <v>1132</v>
      </c>
      <c r="C11" t="s">
        <v>1130</v>
      </c>
      <c r="D11" t="s">
        <v>8</v>
      </c>
      <c r="E11" t="s">
        <v>109</v>
      </c>
      <c r="F11" t="s">
        <v>617</v>
      </c>
      <c r="G11" s="46" t="s">
        <v>618</v>
      </c>
      <c r="H11" t="s">
        <v>477</v>
      </c>
      <c r="I11" t="str">
        <f>VLOOKUP(Tabla5[[#This Row],[Producto]],Referencia!$E$2:$F$238,2,0)</f>
        <v>P3</v>
      </c>
      <c r="J11" t="s">
        <v>36</v>
      </c>
      <c r="K11" s="47">
        <v>1</v>
      </c>
      <c r="L11" t="s">
        <v>1063</v>
      </c>
      <c r="M11" s="23">
        <v>9400</v>
      </c>
      <c r="N11" s="23">
        <v>20000</v>
      </c>
      <c r="O11" s="23">
        <v>10600</v>
      </c>
      <c r="P11" t="s">
        <v>27</v>
      </c>
    </row>
    <row r="12" spans="1:16" x14ac:dyDescent="0.35">
      <c r="A12" s="18">
        <v>45813</v>
      </c>
      <c r="B12" s="18" t="s">
        <v>1132</v>
      </c>
      <c r="C12" t="s">
        <v>1130</v>
      </c>
      <c r="D12" t="s">
        <v>8</v>
      </c>
      <c r="E12" t="s">
        <v>109</v>
      </c>
      <c r="F12" t="s">
        <v>617</v>
      </c>
      <c r="G12" s="46" t="s">
        <v>618</v>
      </c>
      <c r="H12" t="s">
        <v>477</v>
      </c>
      <c r="I12" t="str">
        <f>VLOOKUP(Tabla5[[#This Row],[Producto]],Referencia!$E$2:$F$238,2,0)</f>
        <v>P10</v>
      </c>
      <c r="J12" t="s">
        <v>37</v>
      </c>
      <c r="K12" s="47">
        <v>1</v>
      </c>
      <c r="L12" t="s">
        <v>1063</v>
      </c>
      <c r="M12" s="23">
        <v>5329</v>
      </c>
      <c r="N12" s="23">
        <v>9000</v>
      </c>
      <c r="O12" s="23">
        <v>3671</v>
      </c>
      <c r="P12" t="s">
        <v>27</v>
      </c>
    </row>
    <row r="13" spans="1:16" x14ac:dyDescent="0.35">
      <c r="A13" s="18">
        <v>45813</v>
      </c>
      <c r="B13" s="18" t="s">
        <v>1132</v>
      </c>
      <c r="C13" t="s">
        <v>1130</v>
      </c>
      <c r="D13" t="s">
        <v>8</v>
      </c>
      <c r="E13" t="s">
        <v>109</v>
      </c>
      <c r="F13" t="s">
        <v>617</v>
      </c>
      <c r="G13" s="46" t="s">
        <v>618</v>
      </c>
      <c r="H13" t="s">
        <v>477</v>
      </c>
      <c r="I13" t="str">
        <f>VLOOKUP(Tabla5[[#This Row],[Producto]],Referencia!$E$2:$F$238,2,0)</f>
        <v>P11</v>
      </c>
      <c r="J13" t="s">
        <v>38</v>
      </c>
      <c r="K13" s="47">
        <v>1</v>
      </c>
      <c r="L13" t="s">
        <v>1063</v>
      </c>
      <c r="M13" s="23">
        <v>5000</v>
      </c>
      <c r="N13" s="23">
        <v>9000</v>
      </c>
      <c r="O13" s="23">
        <v>4000</v>
      </c>
      <c r="P13" t="s">
        <v>27</v>
      </c>
    </row>
    <row r="14" spans="1:16" x14ac:dyDescent="0.35">
      <c r="A14" s="18">
        <v>45813</v>
      </c>
      <c r="B14" s="18" t="s">
        <v>1132</v>
      </c>
      <c r="C14" t="s">
        <v>1130</v>
      </c>
      <c r="D14" t="s">
        <v>8</v>
      </c>
      <c r="E14" t="s">
        <v>109</v>
      </c>
      <c r="F14" t="s">
        <v>617</v>
      </c>
      <c r="G14" s="46" t="s">
        <v>618</v>
      </c>
      <c r="H14" t="s">
        <v>477</v>
      </c>
      <c r="I14" t="str">
        <f>VLOOKUP(Tabla5[[#This Row],[Producto]],Referencia!$E$2:$F$238,2,0)</f>
        <v>P12</v>
      </c>
      <c r="J14" t="s">
        <v>39</v>
      </c>
      <c r="K14" s="47">
        <v>1</v>
      </c>
      <c r="L14" t="s">
        <v>1078</v>
      </c>
      <c r="M14" s="23">
        <v>30000</v>
      </c>
      <c r="N14" s="23">
        <v>45000</v>
      </c>
      <c r="O14" s="23">
        <v>15000</v>
      </c>
      <c r="P14" t="s">
        <v>27</v>
      </c>
    </row>
    <row r="15" spans="1:16" x14ac:dyDescent="0.35">
      <c r="A15" s="18">
        <v>45813</v>
      </c>
      <c r="B15" s="18" t="s">
        <v>1132</v>
      </c>
      <c r="C15" t="s">
        <v>1130</v>
      </c>
      <c r="D15" t="s">
        <v>8</v>
      </c>
      <c r="E15" t="s">
        <v>109</v>
      </c>
      <c r="F15" t="s">
        <v>617</v>
      </c>
      <c r="G15" s="46" t="s">
        <v>618</v>
      </c>
      <c r="H15" t="s">
        <v>477</v>
      </c>
      <c r="I15" t="str">
        <f>VLOOKUP(Tabla5[[#This Row],[Producto]],Referencia!$E$2:$F$238,2,0)</f>
        <v>P13</v>
      </c>
      <c r="J15" t="s">
        <v>41</v>
      </c>
      <c r="K15" s="47">
        <v>1</v>
      </c>
      <c r="L15" t="s">
        <v>1078</v>
      </c>
      <c r="M15" s="23">
        <v>18000</v>
      </c>
      <c r="N15" s="23">
        <v>0</v>
      </c>
      <c r="O15" s="23">
        <v>-18000</v>
      </c>
      <c r="P15" t="s">
        <v>27</v>
      </c>
    </row>
    <row r="16" spans="1:16" x14ac:dyDescent="0.35">
      <c r="A16" s="18">
        <v>45813</v>
      </c>
      <c r="B16" s="18" t="s">
        <v>1132</v>
      </c>
      <c r="C16" t="s">
        <v>1130</v>
      </c>
      <c r="D16" t="s">
        <v>8</v>
      </c>
      <c r="E16" t="s">
        <v>109</v>
      </c>
      <c r="F16" t="s">
        <v>617</v>
      </c>
      <c r="G16" s="46" t="s">
        <v>618</v>
      </c>
      <c r="H16" t="s">
        <v>477</v>
      </c>
      <c r="I16" t="str">
        <f>VLOOKUP(Tabla5[[#This Row],[Producto]],Referencia!$E$2:$F$238,2,0)</f>
        <v>P14</v>
      </c>
      <c r="J16" t="s">
        <v>42</v>
      </c>
      <c r="K16" s="47">
        <v>1</v>
      </c>
      <c r="L16" t="s">
        <v>1066</v>
      </c>
      <c r="M16" s="23">
        <v>21418</v>
      </c>
      <c r="N16" s="23">
        <v>48000</v>
      </c>
      <c r="O16" s="23">
        <v>26582</v>
      </c>
      <c r="P16" t="s">
        <v>27</v>
      </c>
    </row>
    <row r="17" spans="1:16" x14ac:dyDescent="0.35">
      <c r="A17" s="18">
        <v>45813</v>
      </c>
      <c r="B17" s="18" t="s">
        <v>1132</v>
      </c>
      <c r="C17" t="s">
        <v>1130</v>
      </c>
      <c r="D17" t="s">
        <v>8</v>
      </c>
      <c r="E17" t="s">
        <v>109</v>
      </c>
      <c r="F17" t="s">
        <v>617</v>
      </c>
      <c r="G17" s="46" t="s">
        <v>618</v>
      </c>
      <c r="H17" t="s">
        <v>477</v>
      </c>
      <c r="I17" t="str">
        <f>VLOOKUP(Tabla5[[#This Row],[Producto]],Referencia!$E$2:$F$238,2,0)</f>
        <v>P5</v>
      </c>
      <c r="J17" t="s">
        <v>30</v>
      </c>
      <c r="K17" s="47">
        <v>1</v>
      </c>
      <c r="L17" t="s">
        <v>1063</v>
      </c>
      <c r="M17" s="23">
        <v>15590</v>
      </c>
      <c r="N17" s="23">
        <v>25000</v>
      </c>
      <c r="O17" s="23">
        <v>9410</v>
      </c>
      <c r="P17" t="s">
        <v>27</v>
      </c>
    </row>
    <row r="18" spans="1:16" x14ac:dyDescent="0.35">
      <c r="A18" s="18">
        <v>45813</v>
      </c>
      <c r="B18" s="18" t="s">
        <v>1132</v>
      </c>
      <c r="C18" t="s">
        <v>1130</v>
      </c>
      <c r="D18" t="s">
        <v>8</v>
      </c>
      <c r="E18" t="s">
        <v>109</v>
      </c>
      <c r="F18" t="s">
        <v>617</v>
      </c>
      <c r="G18" s="46" t="s">
        <v>618</v>
      </c>
      <c r="H18" t="s">
        <v>477</v>
      </c>
      <c r="I18" t="str">
        <f>VLOOKUP(Tabla5[[#This Row],[Producto]],Referencia!$E$2:$F$238,2,0)</f>
        <v>P7</v>
      </c>
      <c r="J18" t="s">
        <v>631</v>
      </c>
      <c r="K18" s="47">
        <v>1</v>
      </c>
      <c r="L18" t="s">
        <v>1065</v>
      </c>
      <c r="M18" s="23">
        <v>10500</v>
      </c>
      <c r="N18" s="23">
        <v>18000</v>
      </c>
      <c r="O18" s="23">
        <v>7500</v>
      </c>
      <c r="P18" t="s">
        <v>27</v>
      </c>
    </row>
    <row r="19" spans="1:16" x14ac:dyDescent="0.35">
      <c r="A19" s="18">
        <v>45813</v>
      </c>
      <c r="B19" s="18" t="s">
        <v>1132</v>
      </c>
      <c r="C19" t="s">
        <v>1130</v>
      </c>
      <c r="D19" t="s">
        <v>8</v>
      </c>
      <c r="E19" t="s">
        <v>109</v>
      </c>
      <c r="F19" t="s">
        <v>617</v>
      </c>
      <c r="G19" s="46" t="s">
        <v>618</v>
      </c>
      <c r="H19" t="s">
        <v>477</v>
      </c>
      <c r="I19" t="str">
        <f>VLOOKUP(Tabla5[[#This Row],[Producto]],Referencia!$E$2:$F$238,2,0)</f>
        <v>P15</v>
      </c>
      <c r="J19" t="s">
        <v>44</v>
      </c>
      <c r="K19" s="47">
        <v>1</v>
      </c>
      <c r="L19" t="s">
        <v>1078</v>
      </c>
      <c r="M19" s="23">
        <v>20000</v>
      </c>
      <c r="N19" s="23">
        <v>35000</v>
      </c>
      <c r="O19" s="23">
        <v>15000</v>
      </c>
      <c r="P19" t="s">
        <v>27</v>
      </c>
    </row>
    <row r="20" spans="1:16" x14ac:dyDescent="0.35">
      <c r="A20" s="18">
        <v>45813</v>
      </c>
      <c r="B20" s="18" t="s">
        <v>1132</v>
      </c>
      <c r="C20" t="s">
        <v>1130</v>
      </c>
      <c r="D20" t="s">
        <v>8</v>
      </c>
      <c r="E20" t="s">
        <v>109</v>
      </c>
      <c r="F20" t="s">
        <v>617</v>
      </c>
      <c r="G20" s="46" t="s">
        <v>618</v>
      </c>
      <c r="H20" t="s">
        <v>477</v>
      </c>
      <c r="I20" t="str">
        <f>VLOOKUP(Tabla5[[#This Row],[Producto]],Referencia!$E$2:$F$238,2,0)</f>
        <v>P16</v>
      </c>
      <c r="J20" t="s">
        <v>45</v>
      </c>
      <c r="K20" s="47">
        <v>1</v>
      </c>
      <c r="L20" t="s">
        <v>1078</v>
      </c>
      <c r="M20" s="23">
        <v>38000</v>
      </c>
      <c r="N20" s="23">
        <v>70000</v>
      </c>
      <c r="O20" s="23">
        <v>32000</v>
      </c>
      <c r="P20" t="s">
        <v>27</v>
      </c>
    </row>
    <row r="21" spans="1:16" x14ac:dyDescent="0.35">
      <c r="A21" s="18">
        <v>45813</v>
      </c>
      <c r="B21" s="18" t="s">
        <v>1132</v>
      </c>
      <c r="C21" t="s">
        <v>1130</v>
      </c>
      <c r="D21" t="s">
        <v>8</v>
      </c>
      <c r="E21" t="s">
        <v>109</v>
      </c>
      <c r="F21" t="s">
        <v>617</v>
      </c>
      <c r="G21" s="46" t="s">
        <v>618</v>
      </c>
      <c r="H21" t="s">
        <v>477</v>
      </c>
      <c r="I21" t="str">
        <f>VLOOKUP(Tabla5[[#This Row],[Producto]],Referencia!$E$2:$F$238,2,0)</f>
        <v>P17</v>
      </c>
      <c r="J21" t="s">
        <v>46</v>
      </c>
      <c r="K21" s="47">
        <v>1</v>
      </c>
      <c r="L21" t="s">
        <v>1066</v>
      </c>
      <c r="M21" s="23">
        <v>46053</v>
      </c>
      <c r="N21" s="23">
        <v>85000</v>
      </c>
      <c r="O21" s="23">
        <v>38947</v>
      </c>
      <c r="P21" t="s">
        <v>27</v>
      </c>
    </row>
    <row r="22" spans="1:16" x14ac:dyDescent="0.35">
      <c r="A22" s="18">
        <v>45813</v>
      </c>
      <c r="B22" s="18" t="s">
        <v>1132</v>
      </c>
      <c r="C22" t="s">
        <v>1130</v>
      </c>
      <c r="D22" t="s">
        <v>8</v>
      </c>
      <c r="E22" t="s">
        <v>109</v>
      </c>
      <c r="F22" t="s">
        <v>617</v>
      </c>
      <c r="G22" s="46" t="s">
        <v>618</v>
      </c>
      <c r="H22" t="s">
        <v>477</v>
      </c>
      <c r="I22" t="str">
        <f>VLOOKUP(Tabla5[[#This Row],[Producto]],Referencia!$E$2:$F$238,2,0)</f>
        <v>P18</v>
      </c>
      <c r="J22" t="s">
        <v>47</v>
      </c>
      <c r="K22" s="47">
        <v>1</v>
      </c>
      <c r="L22" t="s">
        <v>1063</v>
      </c>
      <c r="M22" s="23">
        <v>116000</v>
      </c>
      <c r="N22" s="23">
        <v>190000</v>
      </c>
      <c r="O22" s="23">
        <v>74000</v>
      </c>
      <c r="P22" t="s">
        <v>27</v>
      </c>
    </row>
    <row r="23" spans="1:16" x14ac:dyDescent="0.35">
      <c r="A23" s="18">
        <v>45814</v>
      </c>
      <c r="B23" s="18" t="s">
        <v>1132</v>
      </c>
      <c r="C23" t="s">
        <v>1130</v>
      </c>
      <c r="D23" t="s">
        <v>9</v>
      </c>
      <c r="E23" t="s">
        <v>122</v>
      </c>
      <c r="F23" t="s">
        <v>619</v>
      </c>
      <c r="G23" s="46">
        <v>10</v>
      </c>
      <c r="H23" t="s">
        <v>622</v>
      </c>
      <c r="I23" t="str">
        <f>VLOOKUP(Tabla5[[#This Row],[Producto]],Referencia!$E$2:$F$238,2,0)</f>
        <v>P19</v>
      </c>
      <c r="J23" t="s">
        <v>48</v>
      </c>
      <c r="K23" s="47">
        <v>1</v>
      </c>
      <c r="L23" t="s">
        <v>1078</v>
      </c>
      <c r="M23" s="23">
        <v>18000</v>
      </c>
      <c r="N23" s="23">
        <v>35000</v>
      </c>
      <c r="O23" s="23">
        <v>17000</v>
      </c>
      <c r="P23" t="s">
        <v>27</v>
      </c>
    </row>
    <row r="24" spans="1:16" x14ac:dyDescent="0.35">
      <c r="A24" s="18">
        <v>45814</v>
      </c>
      <c r="B24" s="18" t="s">
        <v>1132</v>
      </c>
      <c r="C24" t="s">
        <v>1130</v>
      </c>
      <c r="D24" t="s">
        <v>9</v>
      </c>
      <c r="E24" t="s">
        <v>122</v>
      </c>
      <c r="F24" t="s">
        <v>619</v>
      </c>
      <c r="G24" s="46">
        <v>10</v>
      </c>
      <c r="H24" t="s">
        <v>622</v>
      </c>
      <c r="I24" t="str">
        <f>VLOOKUP(Tabla5[[#This Row],[Producto]],Referencia!$E$2:$F$238,2,0)</f>
        <v>P20</v>
      </c>
      <c r="J24" t="s">
        <v>49</v>
      </c>
      <c r="K24" s="47">
        <v>1</v>
      </c>
      <c r="L24" t="s">
        <v>1075</v>
      </c>
      <c r="M24" s="23">
        <v>540000</v>
      </c>
      <c r="N24" s="23">
        <v>900000</v>
      </c>
      <c r="O24" s="23">
        <v>360000</v>
      </c>
      <c r="P24" t="s">
        <v>27</v>
      </c>
    </row>
    <row r="25" spans="1:16" x14ac:dyDescent="0.35">
      <c r="A25" s="18">
        <v>45814</v>
      </c>
      <c r="B25" s="18" t="s">
        <v>1132</v>
      </c>
      <c r="C25" t="s">
        <v>1130</v>
      </c>
      <c r="D25" t="s">
        <v>9</v>
      </c>
      <c r="E25" t="s">
        <v>122</v>
      </c>
      <c r="F25" t="s">
        <v>619</v>
      </c>
      <c r="G25" s="46">
        <v>9</v>
      </c>
      <c r="H25" t="s">
        <v>50</v>
      </c>
      <c r="I25" t="str">
        <f>VLOOKUP(Tabla5[[#This Row],[Producto]],Referencia!$E$2:$F$238,2,0)</f>
        <v>P21</v>
      </c>
      <c r="J25" t="s">
        <v>51</v>
      </c>
      <c r="K25" s="47">
        <v>1</v>
      </c>
      <c r="L25" t="s">
        <v>1066</v>
      </c>
      <c r="M25" s="23">
        <v>600000</v>
      </c>
      <c r="N25" s="23">
        <v>1250000</v>
      </c>
      <c r="O25" s="23">
        <v>650000</v>
      </c>
      <c r="P25" t="s">
        <v>27</v>
      </c>
    </row>
    <row r="26" spans="1:16" x14ac:dyDescent="0.35">
      <c r="A26" s="18">
        <v>45814</v>
      </c>
      <c r="B26" s="18" t="s">
        <v>1132</v>
      </c>
      <c r="C26" t="s">
        <v>1130</v>
      </c>
      <c r="D26" t="s">
        <v>9</v>
      </c>
      <c r="E26" t="s">
        <v>82</v>
      </c>
      <c r="F26" t="s">
        <v>619</v>
      </c>
      <c r="G26" s="46">
        <v>21</v>
      </c>
      <c r="H26" t="s">
        <v>52</v>
      </c>
      <c r="I26" t="str">
        <f>VLOOKUP(Tabla5[[#This Row],[Producto]],Referencia!$E$2:$F$238,2,0)</f>
        <v>P22</v>
      </c>
      <c r="J26" t="s">
        <v>53</v>
      </c>
      <c r="K26" s="47">
        <v>1</v>
      </c>
      <c r="L26" t="s">
        <v>1063</v>
      </c>
      <c r="M26" s="23">
        <v>4403</v>
      </c>
      <c r="N26" s="23">
        <v>8000</v>
      </c>
      <c r="O26" s="23">
        <v>3597</v>
      </c>
      <c r="P26" t="s">
        <v>27</v>
      </c>
    </row>
    <row r="27" spans="1:16" x14ac:dyDescent="0.35">
      <c r="A27" s="18">
        <v>45819</v>
      </c>
      <c r="B27" s="18" t="s">
        <v>1132</v>
      </c>
      <c r="C27" t="s">
        <v>1130</v>
      </c>
      <c r="D27" t="s">
        <v>615</v>
      </c>
      <c r="E27" t="s">
        <v>127</v>
      </c>
      <c r="F27" t="s">
        <v>619</v>
      </c>
      <c r="G27" s="46">
        <v>6</v>
      </c>
      <c r="H27" t="s">
        <v>126</v>
      </c>
      <c r="I27" t="str">
        <f>VLOOKUP(Tabla5[[#This Row],[Producto]],Referencia!$E$2:$F$238,2,0)</f>
        <v>P23</v>
      </c>
      <c r="J27" t="s">
        <v>54</v>
      </c>
      <c r="K27" s="47">
        <v>1</v>
      </c>
      <c r="L27" t="s">
        <v>1063</v>
      </c>
      <c r="M27" s="23">
        <v>12162</v>
      </c>
      <c r="N27" s="23">
        <v>20000</v>
      </c>
      <c r="O27" s="23">
        <v>7838</v>
      </c>
      <c r="P27" t="s">
        <v>27</v>
      </c>
    </row>
    <row r="28" spans="1:16" x14ac:dyDescent="0.35">
      <c r="A28" s="18">
        <v>45819</v>
      </c>
      <c r="B28" s="18" t="s">
        <v>1132</v>
      </c>
      <c r="C28" t="s">
        <v>1130</v>
      </c>
      <c r="D28" t="s">
        <v>615</v>
      </c>
      <c r="E28" t="s">
        <v>127</v>
      </c>
      <c r="F28" t="s">
        <v>619</v>
      </c>
      <c r="G28" s="46">
        <v>6</v>
      </c>
      <c r="H28" t="s">
        <v>126</v>
      </c>
      <c r="I28" t="str">
        <f>VLOOKUP(Tabla5[[#This Row],[Producto]],Referencia!$E$2:$F$238,2,0)</f>
        <v>P24</v>
      </c>
      <c r="J28" t="s">
        <v>55</v>
      </c>
      <c r="K28" s="47">
        <v>1</v>
      </c>
      <c r="L28" t="s">
        <v>1063</v>
      </c>
      <c r="M28" s="23">
        <v>11665</v>
      </c>
      <c r="N28" s="23">
        <v>18000</v>
      </c>
      <c r="O28" s="23">
        <v>6335</v>
      </c>
      <c r="P28" t="s">
        <v>27</v>
      </c>
    </row>
    <row r="29" spans="1:16" x14ac:dyDescent="0.35">
      <c r="A29" s="18">
        <v>45819</v>
      </c>
      <c r="B29" s="18" t="s">
        <v>1132</v>
      </c>
      <c r="C29" t="s">
        <v>1130</v>
      </c>
      <c r="D29" t="s">
        <v>615</v>
      </c>
      <c r="E29" t="s">
        <v>127</v>
      </c>
      <c r="F29" t="s">
        <v>619</v>
      </c>
      <c r="G29" s="46">
        <v>6</v>
      </c>
      <c r="H29" t="s">
        <v>126</v>
      </c>
      <c r="I29" t="str">
        <f>VLOOKUP(Tabla5[[#This Row],[Producto]],Referencia!$E$2:$F$238,2,0)</f>
        <v>P25</v>
      </c>
      <c r="J29" t="s">
        <v>56</v>
      </c>
      <c r="K29" s="47">
        <v>1</v>
      </c>
      <c r="L29" t="s">
        <v>1063</v>
      </c>
      <c r="M29" s="23">
        <v>11580</v>
      </c>
      <c r="N29" s="23">
        <v>18000</v>
      </c>
      <c r="O29" s="23">
        <v>6420</v>
      </c>
      <c r="P29" t="s">
        <v>27</v>
      </c>
    </row>
    <row r="30" spans="1:16" x14ac:dyDescent="0.35">
      <c r="A30" s="18">
        <v>45819</v>
      </c>
      <c r="B30" s="18" t="s">
        <v>1132</v>
      </c>
      <c r="C30" t="s">
        <v>1130</v>
      </c>
      <c r="D30" t="s">
        <v>615</v>
      </c>
      <c r="E30" t="s">
        <v>129</v>
      </c>
      <c r="F30" t="s">
        <v>619</v>
      </c>
      <c r="G30" s="46">
        <v>45</v>
      </c>
      <c r="H30" t="s">
        <v>57</v>
      </c>
      <c r="I30" t="str">
        <f>VLOOKUP(Tabla5[[#This Row],[Producto]],Referencia!$E$2:$F$238,2,0)</f>
        <v>P16</v>
      </c>
      <c r="J30" t="s">
        <v>45</v>
      </c>
      <c r="K30" s="47">
        <v>1</v>
      </c>
      <c r="L30" t="s">
        <v>1078</v>
      </c>
      <c r="M30" s="23">
        <v>38000</v>
      </c>
      <c r="N30" s="23">
        <v>75000</v>
      </c>
      <c r="O30" s="23">
        <v>37000</v>
      </c>
      <c r="P30" t="s">
        <v>27</v>
      </c>
    </row>
    <row r="31" spans="1:16" x14ac:dyDescent="0.35">
      <c r="A31" s="18">
        <v>45819</v>
      </c>
      <c r="B31" s="18" t="s">
        <v>1132</v>
      </c>
      <c r="C31" t="s">
        <v>1130</v>
      </c>
      <c r="D31" t="s">
        <v>615</v>
      </c>
      <c r="E31" t="s">
        <v>129</v>
      </c>
      <c r="F31" t="s">
        <v>619</v>
      </c>
      <c r="G31" s="46">
        <v>180</v>
      </c>
      <c r="H31" t="s">
        <v>463</v>
      </c>
      <c r="I31" t="str">
        <f>VLOOKUP(Tabla5[[#This Row],[Producto]],Referencia!$E$2:$F$238,2,0)</f>
        <v>P26</v>
      </c>
      <c r="J31" t="s">
        <v>58</v>
      </c>
      <c r="K31" s="47">
        <v>1</v>
      </c>
      <c r="L31" t="s">
        <v>1067</v>
      </c>
      <c r="M31" s="23">
        <v>55000</v>
      </c>
      <c r="N31" s="23">
        <v>120000</v>
      </c>
      <c r="O31" s="23">
        <v>65000</v>
      </c>
      <c r="P31" t="s">
        <v>27</v>
      </c>
    </row>
    <row r="32" spans="1:16" x14ac:dyDescent="0.35">
      <c r="A32" s="18">
        <v>45819</v>
      </c>
      <c r="B32" s="18" t="s">
        <v>1132</v>
      </c>
      <c r="C32" t="s">
        <v>1130</v>
      </c>
      <c r="D32" t="s">
        <v>615</v>
      </c>
      <c r="E32" t="s">
        <v>129</v>
      </c>
      <c r="F32" t="s">
        <v>619</v>
      </c>
      <c r="G32" s="46">
        <v>180</v>
      </c>
      <c r="H32" t="s">
        <v>463</v>
      </c>
      <c r="I32" t="str">
        <f>VLOOKUP(Tabla5[[#This Row],[Producto]],Referencia!$E$2:$F$238,2,0)</f>
        <v>P27</v>
      </c>
      <c r="J32" t="s">
        <v>60</v>
      </c>
      <c r="K32" s="47">
        <v>6</v>
      </c>
      <c r="L32" t="s">
        <v>1067</v>
      </c>
      <c r="M32" s="23">
        <v>30000</v>
      </c>
      <c r="N32" s="23">
        <v>60000</v>
      </c>
      <c r="O32" s="23">
        <v>30000</v>
      </c>
      <c r="P32" t="s">
        <v>23</v>
      </c>
    </row>
    <row r="33" spans="1:16" x14ac:dyDescent="0.35">
      <c r="A33" s="18">
        <v>45819</v>
      </c>
      <c r="B33" s="18" t="s">
        <v>1132</v>
      </c>
      <c r="C33" t="s">
        <v>1130</v>
      </c>
      <c r="D33" t="s">
        <v>615</v>
      </c>
      <c r="E33" t="s">
        <v>127</v>
      </c>
      <c r="F33" t="s">
        <v>619</v>
      </c>
      <c r="G33" s="46">
        <v>37</v>
      </c>
      <c r="H33" t="s">
        <v>61</v>
      </c>
      <c r="I33" t="str">
        <f>VLOOKUP(Tabla5[[#This Row],[Producto]],Referencia!$E$2:$F$238,2,0)</f>
        <v>P28</v>
      </c>
      <c r="J33" t="s">
        <v>62</v>
      </c>
      <c r="K33" s="47">
        <v>1</v>
      </c>
      <c r="L33" t="s">
        <v>1078</v>
      </c>
      <c r="M33" s="23">
        <v>60000</v>
      </c>
      <c r="N33" s="23">
        <v>90000</v>
      </c>
      <c r="O33" s="23">
        <v>30000</v>
      </c>
      <c r="P33" t="s">
        <v>23</v>
      </c>
    </row>
    <row r="34" spans="1:16" x14ac:dyDescent="0.35">
      <c r="A34" s="18">
        <v>45819</v>
      </c>
      <c r="B34" s="18" t="s">
        <v>1132</v>
      </c>
      <c r="C34" t="s">
        <v>1130</v>
      </c>
      <c r="D34" t="s">
        <v>615</v>
      </c>
      <c r="E34" t="s">
        <v>129</v>
      </c>
      <c r="F34" t="s">
        <v>619</v>
      </c>
      <c r="G34" s="46">
        <v>181</v>
      </c>
      <c r="H34" t="s">
        <v>63</v>
      </c>
      <c r="I34" t="str">
        <f>VLOOKUP(Tabla5[[#This Row],[Producto]],Referencia!$E$2:$F$238,2,0)</f>
        <v>P8</v>
      </c>
      <c r="J34" t="s">
        <v>33</v>
      </c>
      <c r="K34" s="47">
        <v>1</v>
      </c>
      <c r="L34" t="s">
        <v>1063</v>
      </c>
      <c r="M34" s="23">
        <v>15000</v>
      </c>
      <c r="N34" s="23">
        <v>30000</v>
      </c>
      <c r="O34" s="23">
        <v>15000</v>
      </c>
      <c r="P34" t="s">
        <v>23</v>
      </c>
    </row>
    <row r="35" spans="1:16" x14ac:dyDescent="0.35">
      <c r="A35" s="18">
        <v>45819</v>
      </c>
      <c r="B35" s="18" t="s">
        <v>1132</v>
      </c>
      <c r="C35" t="s">
        <v>1130</v>
      </c>
      <c r="D35" t="s">
        <v>615</v>
      </c>
      <c r="E35" t="s">
        <v>129</v>
      </c>
      <c r="F35" t="s">
        <v>619</v>
      </c>
      <c r="G35" s="46">
        <v>181</v>
      </c>
      <c r="H35" t="s">
        <v>63</v>
      </c>
      <c r="I35" t="str">
        <f>VLOOKUP(Tabla5[[#This Row],[Producto]],Referencia!$E$2:$F$238,2,0)</f>
        <v>P29</v>
      </c>
      <c r="J35" t="s">
        <v>64</v>
      </c>
      <c r="K35" s="47">
        <v>1</v>
      </c>
      <c r="L35" t="s">
        <v>1078</v>
      </c>
      <c r="M35" s="23">
        <v>15500</v>
      </c>
      <c r="N35" s="23">
        <v>20000</v>
      </c>
      <c r="O35" s="23">
        <v>4500</v>
      </c>
      <c r="P35" t="s">
        <v>23</v>
      </c>
    </row>
    <row r="36" spans="1:16" x14ac:dyDescent="0.35">
      <c r="A36" s="18">
        <v>45819</v>
      </c>
      <c r="B36" s="18" t="s">
        <v>1132</v>
      </c>
      <c r="C36" t="s">
        <v>1130</v>
      </c>
      <c r="D36" t="s">
        <v>615</v>
      </c>
      <c r="E36" t="s">
        <v>129</v>
      </c>
      <c r="F36" t="s">
        <v>619</v>
      </c>
      <c r="G36" s="46">
        <v>180</v>
      </c>
      <c r="H36" t="s">
        <v>463</v>
      </c>
      <c r="I36" t="str">
        <f>VLOOKUP(Tabla5[[#This Row],[Producto]],Referencia!$E$2:$F$238,2,0)</f>
        <v>P30</v>
      </c>
      <c r="J36" t="s">
        <v>65</v>
      </c>
      <c r="K36" s="47">
        <v>1</v>
      </c>
      <c r="L36" t="s">
        <v>1078</v>
      </c>
      <c r="M36" s="23">
        <v>20000</v>
      </c>
      <c r="N36" s="23">
        <v>40000</v>
      </c>
      <c r="O36" s="23">
        <v>20000</v>
      </c>
      <c r="P36" t="s">
        <v>23</v>
      </c>
    </row>
    <row r="37" spans="1:16" x14ac:dyDescent="0.35">
      <c r="A37" s="18">
        <v>45819</v>
      </c>
      <c r="B37" s="18" t="s">
        <v>1132</v>
      </c>
      <c r="C37" t="s">
        <v>1130</v>
      </c>
      <c r="D37" t="s">
        <v>615</v>
      </c>
      <c r="E37" t="s">
        <v>129</v>
      </c>
      <c r="F37" t="s">
        <v>619</v>
      </c>
      <c r="G37" s="46" t="s">
        <v>618</v>
      </c>
      <c r="H37" t="s">
        <v>477</v>
      </c>
      <c r="I37" t="str">
        <f>VLOOKUP(Tabla5[[#This Row],[Producto]],Referencia!$E$2:$F$238,2,0)</f>
        <v>P22</v>
      </c>
      <c r="J37" t="s">
        <v>53</v>
      </c>
      <c r="K37" s="47">
        <v>1</v>
      </c>
      <c r="L37" t="s">
        <v>1064</v>
      </c>
      <c r="M37" s="23">
        <v>4403</v>
      </c>
      <c r="N37" s="23">
        <v>8000</v>
      </c>
      <c r="O37" s="23">
        <v>3597</v>
      </c>
      <c r="P37" t="s">
        <v>23</v>
      </c>
    </row>
    <row r="38" spans="1:16" x14ac:dyDescent="0.35">
      <c r="A38" s="18">
        <v>45820</v>
      </c>
      <c r="B38" s="18" t="s">
        <v>1132</v>
      </c>
      <c r="C38" t="s">
        <v>1130</v>
      </c>
      <c r="D38" t="s">
        <v>8</v>
      </c>
      <c r="E38" t="s">
        <v>109</v>
      </c>
      <c r="F38" t="s">
        <v>619</v>
      </c>
      <c r="G38" s="46">
        <v>2</v>
      </c>
      <c r="H38" t="s">
        <v>112</v>
      </c>
      <c r="I38" t="str">
        <f>VLOOKUP(Tabla5[[#This Row],[Producto]],Referencia!$E$2:$F$238,2,0)</f>
        <v>P23</v>
      </c>
      <c r="J38" t="s">
        <v>54</v>
      </c>
      <c r="K38" s="47">
        <v>2</v>
      </c>
      <c r="L38" t="s">
        <v>1063</v>
      </c>
      <c r="M38" s="23">
        <v>24324</v>
      </c>
      <c r="N38" s="23">
        <v>40000</v>
      </c>
      <c r="O38" s="23">
        <v>15676</v>
      </c>
      <c r="P38" t="s">
        <v>23</v>
      </c>
    </row>
    <row r="39" spans="1:16" x14ac:dyDescent="0.35">
      <c r="A39" s="18">
        <v>45820</v>
      </c>
      <c r="B39" s="18" t="s">
        <v>1132</v>
      </c>
      <c r="C39" t="s">
        <v>1130</v>
      </c>
      <c r="D39" t="s">
        <v>8</v>
      </c>
      <c r="E39" t="s">
        <v>109</v>
      </c>
      <c r="F39" t="s">
        <v>619</v>
      </c>
      <c r="G39" s="46">
        <v>2</v>
      </c>
      <c r="H39" t="s">
        <v>112</v>
      </c>
      <c r="I39" t="str">
        <f>VLOOKUP(Tabla5[[#This Row],[Producto]],Referencia!$E$2:$F$238,2,0)</f>
        <v>P24</v>
      </c>
      <c r="J39" t="s">
        <v>55</v>
      </c>
      <c r="K39" s="47">
        <v>2</v>
      </c>
      <c r="L39" t="s">
        <v>1063</v>
      </c>
      <c r="M39" s="23">
        <v>23330</v>
      </c>
      <c r="N39" s="23">
        <v>36000</v>
      </c>
      <c r="O39" s="23">
        <v>12670</v>
      </c>
      <c r="P39" t="s">
        <v>23</v>
      </c>
    </row>
    <row r="40" spans="1:16" x14ac:dyDescent="0.35">
      <c r="A40" s="18">
        <v>45820</v>
      </c>
      <c r="B40" s="18" t="s">
        <v>1132</v>
      </c>
      <c r="C40" t="s">
        <v>1130</v>
      </c>
      <c r="D40" t="s">
        <v>8</v>
      </c>
      <c r="E40" t="s">
        <v>109</v>
      </c>
      <c r="F40" t="s">
        <v>619</v>
      </c>
      <c r="G40" s="46">
        <v>2</v>
      </c>
      <c r="H40" t="s">
        <v>112</v>
      </c>
      <c r="I40" t="str">
        <f>VLOOKUP(Tabla5[[#This Row],[Producto]],Referencia!$E$2:$F$238,2,0)</f>
        <v>P25</v>
      </c>
      <c r="J40" t="s">
        <v>56</v>
      </c>
      <c r="K40" s="47">
        <v>2</v>
      </c>
      <c r="L40" t="s">
        <v>1063</v>
      </c>
      <c r="M40" s="23">
        <v>23160</v>
      </c>
      <c r="N40" s="23">
        <v>36000</v>
      </c>
      <c r="O40" s="23">
        <v>12840</v>
      </c>
      <c r="P40" t="s">
        <v>23</v>
      </c>
    </row>
    <row r="41" spans="1:16" x14ac:dyDescent="0.35">
      <c r="A41" s="18">
        <v>45820</v>
      </c>
      <c r="B41" s="18" t="s">
        <v>1132</v>
      </c>
      <c r="C41" t="s">
        <v>1130</v>
      </c>
      <c r="D41" t="s">
        <v>8</v>
      </c>
      <c r="E41" t="s">
        <v>109</v>
      </c>
      <c r="F41" t="s">
        <v>619</v>
      </c>
      <c r="G41" s="46">
        <v>2</v>
      </c>
      <c r="H41" t="s">
        <v>112</v>
      </c>
      <c r="I41" t="str">
        <f>VLOOKUP(Tabla5[[#This Row],[Producto]],Referencia!$E$2:$F$238,2,0)</f>
        <v>P31</v>
      </c>
      <c r="J41" t="s">
        <v>66</v>
      </c>
      <c r="K41" s="47">
        <v>1</v>
      </c>
      <c r="L41" t="s">
        <v>1063</v>
      </c>
      <c r="M41" s="23">
        <v>16200</v>
      </c>
      <c r="N41" s="23">
        <v>22000</v>
      </c>
      <c r="O41" s="23">
        <v>5800</v>
      </c>
      <c r="P41" t="s">
        <v>23</v>
      </c>
    </row>
    <row r="42" spans="1:16" x14ac:dyDescent="0.35">
      <c r="A42" s="18">
        <v>45820</v>
      </c>
      <c r="B42" s="18" t="s">
        <v>1132</v>
      </c>
      <c r="C42" t="s">
        <v>1130</v>
      </c>
      <c r="D42" t="s">
        <v>8</v>
      </c>
      <c r="E42" t="s">
        <v>109</v>
      </c>
      <c r="F42" t="s">
        <v>619</v>
      </c>
      <c r="G42" s="46">
        <v>2</v>
      </c>
      <c r="H42" t="s">
        <v>112</v>
      </c>
      <c r="I42" t="str">
        <f>VLOOKUP(Tabla5[[#This Row],[Producto]],Referencia!$E$2:$F$238,2,0)</f>
        <v>P32</v>
      </c>
      <c r="J42" t="s">
        <v>67</v>
      </c>
      <c r="K42" s="47">
        <v>1</v>
      </c>
      <c r="L42" t="s">
        <v>1063</v>
      </c>
      <c r="M42" s="23">
        <v>15605</v>
      </c>
      <c r="N42" s="23">
        <v>25000</v>
      </c>
      <c r="O42" s="23">
        <v>9395</v>
      </c>
      <c r="P42" t="s">
        <v>23</v>
      </c>
    </row>
    <row r="43" spans="1:16" x14ac:dyDescent="0.35">
      <c r="A43" s="18">
        <v>45820</v>
      </c>
      <c r="B43" s="18" t="s">
        <v>1132</v>
      </c>
      <c r="C43" t="s">
        <v>1130</v>
      </c>
      <c r="D43" t="s">
        <v>8</v>
      </c>
      <c r="E43" t="s">
        <v>109</v>
      </c>
      <c r="F43" t="s">
        <v>619</v>
      </c>
      <c r="G43" s="46">
        <v>1</v>
      </c>
      <c r="H43" t="s">
        <v>108</v>
      </c>
      <c r="I43" t="str">
        <f>VLOOKUP(Tabla5[[#This Row],[Producto]],Referencia!$E$2:$F$238,2,0)</f>
        <v>P33</v>
      </c>
      <c r="J43" t="s">
        <v>68</v>
      </c>
      <c r="K43" s="47">
        <v>1</v>
      </c>
      <c r="L43" t="s">
        <v>1063</v>
      </c>
      <c r="M43" s="23">
        <v>46053</v>
      </c>
      <c r="N43" s="23">
        <v>75000</v>
      </c>
      <c r="O43" s="23">
        <v>28947</v>
      </c>
      <c r="P43" t="s">
        <v>23</v>
      </c>
    </row>
    <row r="44" spans="1:16" x14ac:dyDescent="0.35">
      <c r="A44" s="18">
        <v>45820</v>
      </c>
      <c r="B44" s="18" t="s">
        <v>1132</v>
      </c>
      <c r="C44" t="s">
        <v>1130</v>
      </c>
      <c r="D44" t="s">
        <v>8</v>
      </c>
      <c r="E44" t="s">
        <v>109</v>
      </c>
      <c r="F44" t="s">
        <v>619</v>
      </c>
      <c r="G44" s="46">
        <v>1</v>
      </c>
      <c r="H44" t="s">
        <v>108</v>
      </c>
      <c r="I44" t="str">
        <f>VLOOKUP(Tabla5[[#This Row],[Producto]],Referencia!$E$2:$F$238,2,0)</f>
        <v>P34</v>
      </c>
      <c r="J44" t="s">
        <v>69</v>
      </c>
      <c r="K44" s="47">
        <v>2</v>
      </c>
      <c r="L44" t="s">
        <v>1078</v>
      </c>
      <c r="M44" s="23">
        <v>9400</v>
      </c>
      <c r="N44" s="23">
        <v>17000</v>
      </c>
      <c r="O44" s="23">
        <v>7600</v>
      </c>
      <c r="P44" t="s">
        <v>23</v>
      </c>
    </row>
    <row r="45" spans="1:16" x14ac:dyDescent="0.35">
      <c r="A45" s="18">
        <v>45820</v>
      </c>
      <c r="B45" s="18" t="s">
        <v>1132</v>
      </c>
      <c r="C45" t="s">
        <v>1130</v>
      </c>
      <c r="D45" t="s">
        <v>8</v>
      </c>
      <c r="E45" t="s">
        <v>109</v>
      </c>
      <c r="F45" t="s">
        <v>619</v>
      </c>
      <c r="G45" s="46">
        <v>1</v>
      </c>
      <c r="H45" t="s">
        <v>108</v>
      </c>
      <c r="I45" t="str">
        <f>VLOOKUP(Tabla5[[#This Row],[Producto]],Referencia!$E$2:$F$238,2,0)</f>
        <v>P35</v>
      </c>
      <c r="J45" t="s">
        <v>70</v>
      </c>
      <c r="K45" s="47">
        <v>2</v>
      </c>
      <c r="L45" t="s">
        <v>1063</v>
      </c>
      <c r="M45" s="23">
        <v>8330</v>
      </c>
      <c r="N45" s="23">
        <v>16000</v>
      </c>
      <c r="O45" s="23">
        <v>7670</v>
      </c>
      <c r="P45" t="s">
        <v>23</v>
      </c>
    </row>
    <row r="46" spans="1:16" x14ac:dyDescent="0.35">
      <c r="A46" s="18">
        <v>45820</v>
      </c>
      <c r="B46" s="18" t="s">
        <v>1132</v>
      </c>
      <c r="C46" t="s">
        <v>1130</v>
      </c>
      <c r="D46" t="s">
        <v>8</v>
      </c>
      <c r="E46" t="s">
        <v>109</v>
      </c>
      <c r="F46" t="s">
        <v>619</v>
      </c>
      <c r="G46" s="46">
        <v>1</v>
      </c>
      <c r="H46" t="s">
        <v>108</v>
      </c>
      <c r="I46" t="str">
        <f>VLOOKUP(Tabla5[[#This Row],[Producto]],Referencia!$E$2:$F$238,2,0)</f>
        <v>P36</v>
      </c>
      <c r="J46" t="s">
        <v>71</v>
      </c>
      <c r="K46" s="47">
        <v>1</v>
      </c>
      <c r="L46" t="s">
        <v>1066</v>
      </c>
      <c r="M46" s="23">
        <v>6715</v>
      </c>
      <c r="N46" s="23">
        <v>10000</v>
      </c>
      <c r="O46" s="23">
        <v>3285</v>
      </c>
      <c r="P46" t="s">
        <v>23</v>
      </c>
    </row>
    <row r="47" spans="1:16" x14ac:dyDescent="0.35">
      <c r="A47" s="18">
        <v>45820</v>
      </c>
      <c r="B47" s="18" t="s">
        <v>1132</v>
      </c>
      <c r="C47" t="s">
        <v>1130</v>
      </c>
      <c r="D47" t="s">
        <v>8</v>
      </c>
      <c r="E47" t="s">
        <v>109</v>
      </c>
      <c r="F47" t="s">
        <v>619</v>
      </c>
      <c r="G47" s="46">
        <v>1</v>
      </c>
      <c r="H47" t="s">
        <v>108</v>
      </c>
      <c r="I47" t="str">
        <f>VLOOKUP(Tabla5[[#This Row],[Producto]],Referencia!$E$2:$F$238,2,0)</f>
        <v>P27</v>
      </c>
      <c r="J47" t="s">
        <v>60</v>
      </c>
      <c r="K47" s="47">
        <v>2</v>
      </c>
      <c r="L47" t="s">
        <v>1067</v>
      </c>
      <c r="M47" s="23">
        <v>10000</v>
      </c>
      <c r="N47" s="23">
        <v>6000</v>
      </c>
      <c r="O47" s="23">
        <v>-4000</v>
      </c>
      <c r="P47" t="s">
        <v>23</v>
      </c>
    </row>
    <row r="48" spans="1:16" x14ac:dyDescent="0.35">
      <c r="A48" s="18">
        <v>45820</v>
      </c>
      <c r="B48" s="18" t="s">
        <v>1132</v>
      </c>
      <c r="C48" t="s">
        <v>1130</v>
      </c>
      <c r="D48" t="s">
        <v>8</v>
      </c>
      <c r="E48" t="s">
        <v>109</v>
      </c>
      <c r="F48" t="s">
        <v>619</v>
      </c>
      <c r="G48" s="46">
        <v>1</v>
      </c>
      <c r="H48" t="s">
        <v>108</v>
      </c>
      <c r="I48" t="str">
        <f>VLOOKUP(Tabla5[[#This Row],[Producto]],Referencia!$E$2:$F$238,2,0)</f>
        <v>P37</v>
      </c>
      <c r="J48" t="s">
        <v>72</v>
      </c>
      <c r="K48" s="47">
        <v>1</v>
      </c>
      <c r="L48" t="s">
        <v>1066</v>
      </c>
      <c r="M48" s="23">
        <v>53780</v>
      </c>
      <c r="N48" s="23">
        <v>100000</v>
      </c>
      <c r="O48" s="23">
        <v>46220</v>
      </c>
      <c r="P48" t="s">
        <v>27</v>
      </c>
    </row>
    <row r="49" spans="1:16" x14ac:dyDescent="0.35">
      <c r="A49" s="18">
        <v>45820</v>
      </c>
      <c r="B49" s="18" t="s">
        <v>1132</v>
      </c>
      <c r="C49" t="s">
        <v>1130</v>
      </c>
      <c r="D49" t="s">
        <v>9</v>
      </c>
      <c r="E49" t="s">
        <v>140</v>
      </c>
      <c r="F49" t="s">
        <v>619</v>
      </c>
      <c r="G49" s="46">
        <v>14</v>
      </c>
      <c r="H49" t="s">
        <v>147</v>
      </c>
      <c r="I49" t="str">
        <f>VLOOKUP(Tabla5[[#This Row],[Producto]],Referencia!$E$2:$F$238,2,0)</f>
        <v>P38</v>
      </c>
      <c r="J49" t="s">
        <v>73</v>
      </c>
      <c r="K49" s="47">
        <v>1</v>
      </c>
      <c r="L49" t="s">
        <v>74</v>
      </c>
      <c r="M49" s="23">
        <v>280000</v>
      </c>
      <c r="N49" s="23">
        <v>580000</v>
      </c>
      <c r="O49" s="23">
        <v>300000</v>
      </c>
      <c r="P49" t="s">
        <v>27</v>
      </c>
    </row>
    <row r="50" spans="1:16" x14ac:dyDescent="0.35">
      <c r="A50" s="18">
        <v>45820</v>
      </c>
      <c r="B50" s="18" t="s">
        <v>1132</v>
      </c>
      <c r="C50" t="s">
        <v>1130</v>
      </c>
      <c r="D50" t="s">
        <v>9</v>
      </c>
      <c r="E50" t="s">
        <v>140</v>
      </c>
      <c r="F50" t="s">
        <v>619</v>
      </c>
      <c r="G50" s="46">
        <v>11</v>
      </c>
      <c r="H50" t="s">
        <v>529</v>
      </c>
      <c r="I50" t="str">
        <f>VLOOKUP(Tabla5[[#This Row],[Producto]],Referencia!$E$2:$F$238,2,0)</f>
        <v>P39</v>
      </c>
      <c r="J50" t="s">
        <v>633</v>
      </c>
      <c r="K50" s="47">
        <v>1</v>
      </c>
      <c r="L50" t="s">
        <v>1078</v>
      </c>
      <c r="M50" s="23">
        <v>120000</v>
      </c>
      <c r="N50" s="23">
        <v>210000</v>
      </c>
      <c r="O50" s="23">
        <v>90000</v>
      </c>
      <c r="P50" t="s">
        <v>27</v>
      </c>
    </row>
    <row r="51" spans="1:16" x14ac:dyDescent="0.35">
      <c r="A51" s="18">
        <v>45820</v>
      </c>
      <c r="B51" s="18" t="s">
        <v>1132</v>
      </c>
      <c r="C51" t="s">
        <v>1130</v>
      </c>
      <c r="D51" t="s">
        <v>9</v>
      </c>
      <c r="E51" t="s">
        <v>140</v>
      </c>
      <c r="F51" t="s">
        <v>619</v>
      </c>
      <c r="G51" s="46">
        <v>11</v>
      </c>
      <c r="H51" t="s">
        <v>529</v>
      </c>
      <c r="I51" t="str">
        <f>VLOOKUP(Tabla5[[#This Row],[Producto]],Referencia!$E$2:$F$238,2,0)</f>
        <v>P40</v>
      </c>
      <c r="J51" t="s">
        <v>75</v>
      </c>
      <c r="K51" s="47">
        <v>1</v>
      </c>
      <c r="L51" t="s">
        <v>1063</v>
      </c>
      <c r="M51" s="23">
        <v>217005</v>
      </c>
      <c r="N51" s="23">
        <v>370000</v>
      </c>
      <c r="O51" s="23">
        <v>152995</v>
      </c>
      <c r="P51" t="s">
        <v>27</v>
      </c>
    </row>
    <row r="52" spans="1:16" x14ac:dyDescent="0.35">
      <c r="A52" s="18">
        <v>45820</v>
      </c>
      <c r="B52" s="18" t="s">
        <v>1132</v>
      </c>
      <c r="C52" t="s">
        <v>1130</v>
      </c>
      <c r="D52" t="s">
        <v>9</v>
      </c>
      <c r="E52" t="s">
        <v>140</v>
      </c>
      <c r="F52" t="s">
        <v>619</v>
      </c>
      <c r="G52" s="46">
        <v>11</v>
      </c>
      <c r="H52" t="s">
        <v>529</v>
      </c>
      <c r="I52" t="str">
        <f>VLOOKUP(Tabla5[[#This Row],[Producto]],Referencia!$E$2:$F$238,2,0)</f>
        <v>P41</v>
      </c>
      <c r="J52" t="s">
        <v>76</v>
      </c>
      <c r="K52" s="47">
        <v>1</v>
      </c>
      <c r="L52" t="s">
        <v>1078</v>
      </c>
      <c r="M52" s="23">
        <v>60000</v>
      </c>
      <c r="N52" s="23">
        <v>130000</v>
      </c>
      <c r="O52" s="23">
        <v>70000</v>
      </c>
      <c r="P52" t="s">
        <v>27</v>
      </c>
    </row>
    <row r="53" spans="1:16" x14ac:dyDescent="0.35">
      <c r="A53" s="18">
        <v>45820</v>
      </c>
      <c r="B53" s="18" t="s">
        <v>1132</v>
      </c>
      <c r="C53" t="s">
        <v>1130</v>
      </c>
      <c r="D53" t="s">
        <v>8</v>
      </c>
      <c r="E53" t="s">
        <v>416</v>
      </c>
      <c r="F53" t="s">
        <v>619</v>
      </c>
      <c r="G53" s="46">
        <v>49</v>
      </c>
      <c r="H53" t="s">
        <v>77</v>
      </c>
      <c r="I53" t="str">
        <f>VLOOKUP(Tabla5[[#This Row],[Producto]],Referencia!$E$2:$F$238,2,0)</f>
        <v>P42</v>
      </c>
      <c r="J53" t="s">
        <v>78</v>
      </c>
      <c r="K53" s="47">
        <v>1</v>
      </c>
      <c r="L53" t="s">
        <v>1064</v>
      </c>
      <c r="M53" s="23">
        <v>351050</v>
      </c>
      <c r="N53" s="23">
        <v>520000</v>
      </c>
      <c r="O53" s="23">
        <v>168950</v>
      </c>
      <c r="P53" t="s">
        <v>27</v>
      </c>
    </row>
    <row r="54" spans="1:16" x14ac:dyDescent="0.35">
      <c r="A54" s="18">
        <v>45820</v>
      </c>
      <c r="B54" s="18" t="s">
        <v>1132</v>
      </c>
      <c r="C54" t="s">
        <v>1130</v>
      </c>
      <c r="D54" t="s">
        <v>9</v>
      </c>
      <c r="E54" t="s">
        <v>122</v>
      </c>
      <c r="F54" t="s">
        <v>619</v>
      </c>
      <c r="G54" s="46">
        <v>16</v>
      </c>
      <c r="H54" t="s">
        <v>79</v>
      </c>
      <c r="I54" t="str">
        <f>VLOOKUP(Tabla5[[#This Row],[Producto]],Referencia!$E$2:$F$238,2,0)</f>
        <v>P43</v>
      </c>
      <c r="J54" t="s">
        <v>80</v>
      </c>
      <c r="K54" s="47">
        <v>1</v>
      </c>
      <c r="L54" t="s">
        <v>1078</v>
      </c>
      <c r="M54" s="23">
        <v>100000</v>
      </c>
      <c r="N54" s="23">
        <v>220000</v>
      </c>
      <c r="O54" s="23">
        <v>120000</v>
      </c>
      <c r="P54" t="s">
        <v>27</v>
      </c>
    </row>
    <row r="55" spans="1:16" x14ac:dyDescent="0.35">
      <c r="A55" s="18">
        <v>45821</v>
      </c>
      <c r="B55" s="18" t="s">
        <v>1132</v>
      </c>
      <c r="C55" t="s">
        <v>1130</v>
      </c>
      <c r="D55" t="s">
        <v>9</v>
      </c>
      <c r="E55" t="s">
        <v>122</v>
      </c>
      <c r="F55" t="s">
        <v>619</v>
      </c>
      <c r="G55" s="46">
        <v>9</v>
      </c>
      <c r="H55" t="s">
        <v>50</v>
      </c>
      <c r="I55" t="str">
        <f>VLOOKUP(Tabla5[[#This Row],[Producto]],Referencia!$E$2:$F$238,2,0)</f>
        <v>P44</v>
      </c>
      <c r="J55" t="s">
        <v>81</v>
      </c>
      <c r="K55" s="47">
        <v>1</v>
      </c>
      <c r="L55" t="s">
        <v>1078</v>
      </c>
      <c r="M55" s="23">
        <v>135000</v>
      </c>
      <c r="N55" s="23">
        <v>190000</v>
      </c>
      <c r="O55" s="23">
        <v>55000</v>
      </c>
      <c r="P55" t="s">
        <v>27</v>
      </c>
    </row>
    <row r="56" spans="1:16" x14ac:dyDescent="0.35">
      <c r="A56" s="18">
        <v>45821</v>
      </c>
      <c r="B56" s="18" t="s">
        <v>1132</v>
      </c>
      <c r="C56" t="s">
        <v>1130</v>
      </c>
      <c r="D56" t="s">
        <v>415</v>
      </c>
      <c r="E56" t="s">
        <v>82</v>
      </c>
      <c r="F56" t="s">
        <v>619</v>
      </c>
      <c r="G56" s="46">
        <v>21</v>
      </c>
      <c r="H56" t="s">
        <v>52</v>
      </c>
      <c r="I56" t="str">
        <f>VLOOKUP(Tabla5[[#This Row],[Producto]],Referencia!$E$2:$F$238,2,0)</f>
        <v>P45</v>
      </c>
      <c r="J56" t="s">
        <v>83</v>
      </c>
      <c r="K56" s="47">
        <v>3</v>
      </c>
      <c r="L56" t="s">
        <v>1066</v>
      </c>
      <c r="M56" s="23">
        <v>76950</v>
      </c>
      <c r="N56" s="23">
        <v>100000</v>
      </c>
      <c r="O56" s="23">
        <v>23050</v>
      </c>
      <c r="P56" t="s">
        <v>27</v>
      </c>
    </row>
    <row r="57" spans="1:16" x14ac:dyDescent="0.35">
      <c r="A57" s="18">
        <v>45821</v>
      </c>
      <c r="B57" s="18" t="s">
        <v>1132</v>
      </c>
      <c r="C57" t="s">
        <v>1130</v>
      </c>
      <c r="D57" t="s">
        <v>415</v>
      </c>
      <c r="E57" t="s">
        <v>82</v>
      </c>
      <c r="F57" t="s">
        <v>619</v>
      </c>
      <c r="G57" s="46">
        <v>21</v>
      </c>
      <c r="H57" t="s">
        <v>52</v>
      </c>
      <c r="I57" t="str">
        <f>VLOOKUP(Tabla5[[#This Row],[Producto]],Referencia!$E$2:$F$238,2,0)</f>
        <v>P14</v>
      </c>
      <c r="J57" t="s">
        <v>42</v>
      </c>
      <c r="K57" s="47">
        <v>3</v>
      </c>
      <c r="L57" t="s">
        <v>1066</v>
      </c>
      <c r="M57" s="23">
        <v>64254</v>
      </c>
      <c r="N57" s="23">
        <v>120000</v>
      </c>
      <c r="O57" s="23">
        <v>55746</v>
      </c>
      <c r="P57" t="s">
        <v>27</v>
      </c>
    </row>
    <row r="58" spans="1:16" x14ac:dyDescent="0.35">
      <c r="A58" s="18">
        <v>45821</v>
      </c>
      <c r="B58" s="18" t="s">
        <v>1132</v>
      </c>
      <c r="C58" t="s">
        <v>1130</v>
      </c>
      <c r="D58" t="s">
        <v>415</v>
      </c>
      <c r="E58" t="s">
        <v>82</v>
      </c>
      <c r="F58" t="s">
        <v>619</v>
      </c>
      <c r="G58" s="46">
        <v>21</v>
      </c>
      <c r="H58" t="s">
        <v>52</v>
      </c>
      <c r="I58" t="str">
        <f>VLOOKUP(Tabla5[[#This Row],[Producto]],Referencia!$E$2:$F$238,2,0)</f>
        <v>P46</v>
      </c>
      <c r="J58" t="s">
        <v>607</v>
      </c>
      <c r="K58" s="47">
        <v>3</v>
      </c>
      <c r="L58" t="s">
        <v>1078</v>
      </c>
      <c r="M58" s="23">
        <v>102000</v>
      </c>
      <c r="N58" s="23">
        <v>145000</v>
      </c>
      <c r="O58" s="23">
        <v>43000</v>
      </c>
      <c r="P58" t="s">
        <v>27</v>
      </c>
    </row>
    <row r="59" spans="1:16" x14ac:dyDescent="0.35">
      <c r="A59" s="18">
        <v>45821</v>
      </c>
      <c r="B59" s="18" t="s">
        <v>1132</v>
      </c>
      <c r="C59" t="s">
        <v>1130</v>
      </c>
      <c r="D59" t="s">
        <v>415</v>
      </c>
      <c r="E59" t="s">
        <v>82</v>
      </c>
      <c r="F59" t="s">
        <v>619</v>
      </c>
      <c r="G59" s="46">
        <v>21</v>
      </c>
      <c r="H59" t="s">
        <v>52</v>
      </c>
      <c r="I59" t="str">
        <f>VLOOKUP(Tabla5[[#This Row],[Producto]],Referencia!$E$2:$F$238,2,0)</f>
        <v>P47</v>
      </c>
      <c r="J59" t="s">
        <v>448</v>
      </c>
      <c r="K59" s="47">
        <v>1</v>
      </c>
      <c r="L59" t="s">
        <v>1063</v>
      </c>
      <c r="M59" s="23">
        <v>98000</v>
      </c>
      <c r="N59" s="23">
        <v>110000</v>
      </c>
      <c r="O59" s="23">
        <v>12000</v>
      </c>
      <c r="P59" t="s">
        <v>27</v>
      </c>
    </row>
    <row r="60" spans="1:16" x14ac:dyDescent="0.35">
      <c r="A60" s="18">
        <v>45821</v>
      </c>
      <c r="B60" s="18" t="s">
        <v>1132</v>
      </c>
      <c r="C60" t="s">
        <v>1130</v>
      </c>
      <c r="D60" t="s">
        <v>415</v>
      </c>
      <c r="E60" t="s">
        <v>82</v>
      </c>
      <c r="F60" t="s">
        <v>619</v>
      </c>
      <c r="G60" s="46">
        <v>21</v>
      </c>
      <c r="H60" t="s">
        <v>52</v>
      </c>
      <c r="I60" t="str">
        <f>VLOOKUP(Tabla5[[#This Row],[Producto]],Referencia!$E$2:$F$238,2,0)</f>
        <v>P48</v>
      </c>
      <c r="J60" t="s">
        <v>84</v>
      </c>
      <c r="K60" s="47">
        <v>3</v>
      </c>
      <c r="L60" t="s">
        <v>1063</v>
      </c>
      <c r="M60" s="23">
        <v>43800</v>
      </c>
      <c r="N60" s="23">
        <v>75000</v>
      </c>
      <c r="O60" s="23">
        <v>31200</v>
      </c>
      <c r="P60" t="s">
        <v>27</v>
      </c>
    </row>
    <row r="61" spans="1:16" x14ac:dyDescent="0.35">
      <c r="A61" s="18">
        <v>45821</v>
      </c>
      <c r="B61" s="18" t="s">
        <v>1132</v>
      </c>
      <c r="C61" t="s">
        <v>1130</v>
      </c>
      <c r="D61" t="s">
        <v>415</v>
      </c>
      <c r="E61" t="s">
        <v>82</v>
      </c>
      <c r="F61" t="s">
        <v>619</v>
      </c>
      <c r="G61" s="46">
        <v>21</v>
      </c>
      <c r="H61" t="s">
        <v>52</v>
      </c>
      <c r="I61" t="str">
        <f>VLOOKUP(Tabla5[[#This Row],[Producto]],Referencia!$E$2:$F$238,2,0)</f>
        <v>P49</v>
      </c>
      <c r="J61" t="s">
        <v>85</v>
      </c>
      <c r="K61" s="47">
        <v>3</v>
      </c>
      <c r="L61" t="s">
        <v>1064</v>
      </c>
      <c r="M61" s="23">
        <v>199800</v>
      </c>
      <c r="N61" s="23">
        <v>340000</v>
      </c>
      <c r="O61" s="23">
        <v>140200</v>
      </c>
      <c r="P61" t="s">
        <v>27</v>
      </c>
    </row>
    <row r="62" spans="1:16" x14ac:dyDescent="0.35">
      <c r="A62" s="18">
        <v>45821</v>
      </c>
      <c r="B62" s="18" t="s">
        <v>1132</v>
      </c>
      <c r="C62" t="s">
        <v>1130</v>
      </c>
      <c r="D62" t="s">
        <v>415</v>
      </c>
      <c r="E62" t="s">
        <v>82</v>
      </c>
      <c r="F62" t="s">
        <v>619</v>
      </c>
      <c r="G62" s="46">
        <v>21</v>
      </c>
      <c r="H62" t="s">
        <v>52</v>
      </c>
      <c r="I62" t="str">
        <f>VLOOKUP(Tabla5[[#This Row],[Producto]],Referencia!$E$2:$F$238,2,0)</f>
        <v>P50</v>
      </c>
      <c r="J62" t="s">
        <v>86</v>
      </c>
      <c r="K62" s="47">
        <v>3</v>
      </c>
      <c r="L62" t="s">
        <v>1066</v>
      </c>
      <c r="M62" s="23">
        <v>90003</v>
      </c>
      <c r="N62" s="23">
        <v>130000</v>
      </c>
      <c r="O62" s="23">
        <v>39997</v>
      </c>
      <c r="P62" t="s">
        <v>27</v>
      </c>
    </row>
    <row r="63" spans="1:16" x14ac:dyDescent="0.35">
      <c r="A63" s="18">
        <v>45821</v>
      </c>
      <c r="B63" s="18" t="s">
        <v>1132</v>
      </c>
      <c r="C63" t="s">
        <v>1130</v>
      </c>
      <c r="D63" t="s">
        <v>415</v>
      </c>
      <c r="E63" t="s">
        <v>82</v>
      </c>
      <c r="F63" t="s">
        <v>619</v>
      </c>
      <c r="G63" s="46">
        <v>21</v>
      </c>
      <c r="H63" t="s">
        <v>52</v>
      </c>
      <c r="I63" t="str">
        <f>VLOOKUP(Tabla5[[#This Row],[Producto]],Referencia!$E$2:$F$238,2,0)</f>
        <v>P51</v>
      </c>
      <c r="J63" t="s">
        <v>87</v>
      </c>
      <c r="K63" s="47">
        <v>1</v>
      </c>
      <c r="L63" t="s">
        <v>1063</v>
      </c>
      <c r="M63" s="23">
        <v>28000</v>
      </c>
      <c r="N63" s="23">
        <v>0</v>
      </c>
      <c r="O63" s="23">
        <v>-28000</v>
      </c>
      <c r="P63" t="s">
        <v>27</v>
      </c>
    </row>
    <row r="64" spans="1:16" x14ac:dyDescent="0.35">
      <c r="A64" s="18">
        <v>45821</v>
      </c>
      <c r="B64" s="18" t="s">
        <v>1132</v>
      </c>
      <c r="C64" t="s">
        <v>1130</v>
      </c>
      <c r="D64" t="s">
        <v>415</v>
      </c>
      <c r="E64" t="s">
        <v>82</v>
      </c>
      <c r="F64" t="s">
        <v>619</v>
      </c>
      <c r="G64" s="46">
        <v>21</v>
      </c>
      <c r="H64" t="s">
        <v>52</v>
      </c>
      <c r="I64" t="str">
        <f>VLOOKUP(Tabla5[[#This Row],[Producto]],Referencia!$E$2:$F$238,2,0)</f>
        <v>P52</v>
      </c>
      <c r="J64" t="s">
        <v>88</v>
      </c>
      <c r="K64" s="47">
        <v>3</v>
      </c>
      <c r="L64" t="s">
        <v>1064</v>
      </c>
      <c r="M64" s="23">
        <v>165000</v>
      </c>
      <c r="N64" s="23">
        <v>300000</v>
      </c>
      <c r="O64" s="23">
        <v>135000</v>
      </c>
      <c r="P64" t="s">
        <v>27</v>
      </c>
    </row>
    <row r="65" spans="1:16" x14ac:dyDescent="0.35">
      <c r="A65" s="18">
        <v>45821</v>
      </c>
      <c r="B65" s="18" t="s">
        <v>1132</v>
      </c>
      <c r="C65" t="s">
        <v>1130</v>
      </c>
      <c r="D65" t="s">
        <v>415</v>
      </c>
      <c r="E65" t="s">
        <v>82</v>
      </c>
      <c r="F65" t="s">
        <v>619</v>
      </c>
      <c r="G65" s="46">
        <v>21</v>
      </c>
      <c r="H65" t="s">
        <v>52</v>
      </c>
      <c r="I65" t="str">
        <f>VLOOKUP(Tabla5[[#This Row],[Producto]],Referencia!$E$2:$F$238,2,0)</f>
        <v>P53</v>
      </c>
      <c r="J65" t="s">
        <v>629</v>
      </c>
      <c r="K65" s="47">
        <v>3</v>
      </c>
      <c r="L65" t="s">
        <v>1078</v>
      </c>
      <c r="M65" s="23">
        <v>195000</v>
      </c>
      <c r="N65" s="23">
        <v>300000</v>
      </c>
      <c r="O65" s="23">
        <v>105000</v>
      </c>
      <c r="P65" t="s">
        <v>27</v>
      </c>
    </row>
    <row r="66" spans="1:16" x14ac:dyDescent="0.35">
      <c r="A66" s="18">
        <v>45821</v>
      </c>
      <c r="B66" s="18" t="s">
        <v>1132</v>
      </c>
      <c r="C66" t="s">
        <v>1130</v>
      </c>
      <c r="D66" t="s">
        <v>415</v>
      </c>
      <c r="E66" t="s">
        <v>82</v>
      </c>
      <c r="F66" t="s">
        <v>619</v>
      </c>
      <c r="G66" s="46">
        <v>21</v>
      </c>
      <c r="H66" t="s">
        <v>52</v>
      </c>
      <c r="I66" t="str">
        <f>VLOOKUP(Tabla5[[#This Row],[Producto]],Referencia!$E$2:$F$238,2,0)</f>
        <v>P54</v>
      </c>
      <c r="J66" t="s">
        <v>505</v>
      </c>
      <c r="K66" s="47">
        <v>3</v>
      </c>
      <c r="L66" t="s">
        <v>1063</v>
      </c>
      <c r="M66" s="23">
        <v>88800</v>
      </c>
      <c r="N66" s="23">
        <v>90000</v>
      </c>
      <c r="O66" s="23">
        <v>1200</v>
      </c>
      <c r="P66" t="s">
        <v>27</v>
      </c>
    </row>
    <row r="67" spans="1:16" x14ac:dyDescent="0.35">
      <c r="A67" s="18">
        <v>45821</v>
      </c>
      <c r="B67" s="18" t="s">
        <v>1132</v>
      </c>
      <c r="C67" t="s">
        <v>1130</v>
      </c>
      <c r="D67" t="s">
        <v>415</v>
      </c>
      <c r="E67" t="s">
        <v>82</v>
      </c>
      <c r="F67" t="s">
        <v>619</v>
      </c>
      <c r="G67" s="46">
        <v>21</v>
      </c>
      <c r="H67" t="s">
        <v>52</v>
      </c>
      <c r="I67" t="str">
        <f>VLOOKUP(Tabla5[[#This Row],[Producto]],Referencia!$E$2:$F$238,2,0)</f>
        <v>P55</v>
      </c>
      <c r="J67" t="s">
        <v>89</v>
      </c>
      <c r="K67" s="47">
        <v>1</v>
      </c>
      <c r="L67" t="s">
        <v>1063</v>
      </c>
      <c r="M67" s="23">
        <v>20000</v>
      </c>
      <c r="N67" s="23">
        <v>0</v>
      </c>
      <c r="O67" s="23">
        <v>-20000</v>
      </c>
      <c r="P67" t="s">
        <v>27</v>
      </c>
    </row>
    <row r="68" spans="1:16" x14ac:dyDescent="0.35">
      <c r="A68" s="18">
        <v>45821</v>
      </c>
      <c r="B68" s="18" t="s">
        <v>1132</v>
      </c>
      <c r="C68" t="s">
        <v>1130</v>
      </c>
      <c r="D68" t="s">
        <v>9</v>
      </c>
      <c r="E68" t="s">
        <v>122</v>
      </c>
      <c r="F68" t="s">
        <v>619</v>
      </c>
      <c r="G68" s="46">
        <v>64</v>
      </c>
      <c r="H68" t="s">
        <v>90</v>
      </c>
      <c r="I68" t="str">
        <f>VLOOKUP(Tabla5[[#This Row],[Producto]],Referencia!$E$2:$F$238,2,0)</f>
        <v>P56</v>
      </c>
      <c r="J68" t="s">
        <v>91</v>
      </c>
      <c r="K68" s="47">
        <v>1</v>
      </c>
      <c r="L68" t="s">
        <v>1078</v>
      </c>
      <c r="M68" s="23">
        <v>45000</v>
      </c>
      <c r="N68" s="23">
        <v>80000</v>
      </c>
      <c r="O68" s="23">
        <v>35000</v>
      </c>
      <c r="P68" t="s">
        <v>23</v>
      </c>
    </row>
    <row r="69" spans="1:16" x14ac:dyDescent="0.35">
      <c r="A69" s="18">
        <v>45821</v>
      </c>
      <c r="B69" s="18" t="s">
        <v>1132</v>
      </c>
      <c r="C69" t="s">
        <v>1130</v>
      </c>
      <c r="D69" t="s">
        <v>9</v>
      </c>
      <c r="E69" t="s">
        <v>122</v>
      </c>
      <c r="F69" t="s">
        <v>619</v>
      </c>
      <c r="G69" s="46">
        <v>64</v>
      </c>
      <c r="H69" t="s">
        <v>90</v>
      </c>
      <c r="I69" t="str">
        <f>VLOOKUP(Tabla5[[#This Row],[Producto]],Referencia!$E$2:$F$238,2,0)</f>
        <v>P57</v>
      </c>
      <c r="J69" t="s">
        <v>92</v>
      </c>
      <c r="K69" s="47">
        <v>1</v>
      </c>
      <c r="L69" t="s">
        <v>1078</v>
      </c>
      <c r="M69" s="23">
        <v>40000</v>
      </c>
      <c r="N69" s="23">
        <v>80000</v>
      </c>
      <c r="O69" s="23">
        <v>40000</v>
      </c>
      <c r="P69" t="s">
        <v>23</v>
      </c>
    </row>
    <row r="70" spans="1:16" x14ac:dyDescent="0.35">
      <c r="A70" s="18">
        <v>45821</v>
      </c>
      <c r="B70" s="18" t="s">
        <v>1132</v>
      </c>
      <c r="C70" t="s">
        <v>1130</v>
      </c>
      <c r="D70" t="s">
        <v>9</v>
      </c>
      <c r="E70" t="s">
        <v>122</v>
      </c>
      <c r="F70" t="s">
        <v>619</v>
      </c>
      <c r="G70" s="46">
        <v>64</v>
      </c>
      <c r="H70" t="s">
        <v>90</v>
      </c>
      <c r="I70" t="str">
        <f>VLOOKUP(Tabla5[[#This Row],[Producto]],Referencia!$E$2:$F$238,2,0)</f>
        <v>P58</v>
      </c>
      <c r="J70" t="s">
        <v>93</v>
      </c>
      <c r="K70" s="47">
        <v>1</v>
      </c>
      <c r="L70" t="s">
        <v>1078</v>
      </c>
      <c r="M70" s="23">
        <v>10000</v>
      </c>
      <c r="N70" s="23">
        <v>20000</v>
      </c>
      <c r="O70" s="23">
        <v>10000</v>
      </c>
      <c r="P70" t="s">
        <v>23</v>
      </c>
    </row>
    <row r="71" spans="1:16" x14ac:dyDescent="0.35">
      <c r="A71" s="18">
        <v>45821</v>
      </c>
      <c r="B71" s="18" t="s">
        <v>1132</v>
      </c>
      <c r="C71" t="s">
        <v>1130</v>
      </c>
      <c r="D71" t="s">
        <v>9</v>
      </c>
      <c r="E71" t="s">
        <v>122</v>
      </c>
      <c r="F71" t="s">
        <v>619</v>
      </c>
      <c r="G71" s="46">
        <v>64</v>
      </c>
      <c r="H71" t="s">
        <v>90</v>
      </c>
      <c r="I71" t="str">
        <f>VLOOKUP(Tabla5[[#This Row],[Producto]],Referencia!$E$2:$F$238,2,0)</f>
        <v>P59</v>
      </c>
      <c r="J71" t="s">
        <v>94</v>
      </c>
      <c r="K71" s="47">
        <v>1</v>
      </c>
      <c r="L71" t="s">
        <v>1066</v>
      </c>
      <c r="M71" s="23">
        <v>50003</v>
      </c>
      <c r="N71" s="23">
        <v>0</v>
      </c>
      <c r="O71" s="23">
        <v>-50003</v>
      </c>
      <c r="P71" t="s">
        <v>23</v>
      </c>
    </row>
    <row r="72" spans="1:16" x14ac:dyDescent="0.35">
      <c r="A72" s="18">
        <v>45821</v>
      </c>
      <c r="B72" s="18" t="s">
        <v>1132</v>
      </c>
      <c r="C72" t="s">
        <v>1130</v>
      </c>
      <c r="D72" t="s">
        <v>9</v>
      </c>
      <c r="E72" t="s">
        <v>122</v>
      </c>
      <c r="F72" t="s">
        <v>619</v>
      </c>
      <c r="G72" s="46">
        <v>64</v>
      </c>
      <c r="H72" t="s">
        <v>90</v>
      </c>
      <c r="I72" t="str">
        <f>VLOOKUP(Tabla5[[#This Row],[Producto]],Referencia!$E$2:$F$238,2,0)</f>
        <v>P60</v>
      </c>
      <c r="J72" t="s">
        <v>95</v>
      </c>
      <c r="K72" s="47">
        <v>1</v>
      </c>
      <c r="L72" t="s">
        <v>1063</v>
      </c>
      <c r="M72" s="23">
        <v>128500</v>
      </c>
      <c r="N72" s="23">
        <v>210000</v>
      </c>
      <c r="O72" s="23">
        <v>81500</v>
      </c>
      <c r="P72" t="s">
        <v>27</v>
      </c>
    </row>
    <row r="73" spans="1:16" x14ac:dyDescent="0.35">
      <c r="A73" s="18">
        <v>45821</v>
      </c>
      <c r="B73" s="18" t="s">
        <v>1132</v>
      </c>
      <c r="C73" t="s">
        <v>1130</v>
      </c>
      <c r="D73" t="s">
        <v>9</v>
      </c>
      <c r="E73" t="s">
        <v>122</v>
      </c>
      <c r="F73" t="s">
        <v>619</v>
      </c>
      <c r="G73" s="46">
        <v>15</v>
      </c>
      <c r="H73" t="s">
        <v>96</v>
      </c>
      <c r="I73" t="str">
        <f>VLOOKUP(Tabla5[[#This Row],[Producto]],Referencia!$E$2:$F$238,2,0)</f>
        <v>P61</v>
      </c>
      <c r="J73" t="s">
        <v>97</v>
      </c>
      <c r="K73" s="47">
        <v>1</v>
      </c>
      <c r="L73" t="s">
        <v>1066</v>
      </c>
      <c r="M73" s="23">
        <v>311226</v>
      </c>
      <c r="N73" s="23">
        <v>620000</v>
      </c>
      <c r="O73" s="23">
        <v>308774</v>
      </c>
      <c r="P73" t="s">
        <v>27</v>
      </c>
    </row>
    <row r="74" spans="1:16" x14ac:dyDescent="0.35">
      <c r="A74" s="18">
        <v>45821</v>
      </c>
      <c r="B74" s="18" t="s">
        <v>1132</v>
      </c>
      <c r="C74" t="s">
        <v>1130</v>
      </c>
      <c r="D74" t="s">
        <v>9</v>
      </c>
      <c r="E74" t="s">
        <v>140</v>
      </c>
      <c r="F74" t="s">
        <v>619</v>
      </c>
      <c r="G74" s="46">
        <v>25</v>
      </c>
      <c r="H74" t="s">
        <v>160</v>
      </c>
      <c r="I74" t="str">
        <f>VLOOKUP(Tabla5[[#This Row],[Producto]],Referencia!$E$2:$F$238,2,0)</f>
        <v>P50</v>
      </c>
      <c r="J74" t="s">
        <v>86</v>
      </c>
      <c r="K74" s="47">
        <v>1</v>
      </c>
      <c r="L74" t="s">
        <v>1066</v>
      </c>
      <c r="M74" s="23">
        <v>30001</v>
      </c>
      <c r="N74" s="23">
        <v>60000</v>
      </c>
      <c r="O74" s="23">
        <v>29999</v>
      </c>
      <c r="P74" t="s">
        <v>27</v>
      </c>
    </row>
    <row r="75" spans="1:16" x14ac:dyDescent="0.35">
      <c r="A75" s="18">
        <v>45821</v>
      </c>
      <c r="B75" s="18" t="s">
        <v>1132</v>
      </c>
      <c r="C75" t="s">
        <v>1130</v>
      </c>
      <c r="D75" t="s">
        <v>9</v>
      </c>
      <c r="E75" t="s">
        <v>140</v>
      </c>
      <c r="F75" t="s">
        <v>619</v>
      </c>
      <c r="G75" s="46">
        <v>24</v>
      </c>
      <c r="H75" t="s">
        <v>98</v>
      </c>
      <c r="I75" t="str">
        <f>VLOOKUP(Tabla5[[#This Row],[Producto]],Referencia!$E$2:$F$238,2,0)</f>
        <v>P62</v>
      </c>
      <c r="J75" t="s">
        <v>99</v>
      </c>
      <c r="K75" s="47">
        <v>1</v>
      </c>
      <c r="L75" t="s">
        <v>1075</v>
      </c>
      <c r="M75" s="23">
        <v>78000</v>
      </c>
      <c r="N75" s="23">
        <v>160000</v>
      </c>
      <c r="O75" s="23">
        <v>82000</v>
      </c>
      <c r="P75" t="s">
        <v>27</v>
      </c>
    </row>
    <row r="76" spans="1:16" x14ac:dyDescent="0.35">
      <c r="A76" s="18">
        <v>45826</v>
      </c>
      <c r="B76" s="18" t="s">
        <v>1132</v>
      </c>
      <c r="C76" t="s">
        <v>1130</v>
      </c>
      <c r="D76" t="s">
        <v>615</v>
      </c>
      <c r="E76" t="s">
        <v>127</v>
      </c>
      <c r="F76" t="s">
        <v>619</v>
      </c>
      <c r="G76" s="46">
        <v>17</v>
      </c>
      <c r="H76" t="s">
        <v>150</v>
      </c>
      <c r="I76" t="str">
        <f>VLOOKUP(Tabla5[[#This Row],[Producto]],Referencia!$E$2:$F$238,2,0)</f>
        <v>P27</v>
      </c>
      <c r="J76" t="s">
        <v>60</v>
      </c>
      <c r="K76" s="47">
        <v>1</v>
      </c>
      <c r="L76" t="s">
        <v>1067</v>
      </c>
      <c r="M76" s="23">
        <v>5000</v>
      </c>
      <c r="N76" s="23">
        <v>15000</v>
      </c>
      <c r="O76" s="23">
        <v>10000</v>
      </c>
      <c r="P76" t="s">
        <v>27</v>
      </c>
    </row>
    <row r="77" spans="1:16" x14ac:dyDescent="0.35">
      <c r="A77" s="18">
        <v>45826</v>
      </c>
      <c r="B77" s="18" t="s">
        <v>1132</v>
      </c>
      <c r="C77" t="s">
        <v>1130</v>
      </c>
      <c r="D77" t="s">
        <v>615</v>
      </c>
      <c r="E77" t="s">
        <v>127</v>
      </c>
      <c r="F77" t="s">
        <v>619</v>
      </c>
      <c r="G77" s="46">
        <v>37</v>
      </c>
      <c r="H77" t="s">
        <v>178</v>
      </c>
      <c r="I77" t="str">
        <f>VLOOKUP(Tabla5[[#This Row],[Producto]],Referencia!$E$2:$F$238,2,0)</f>
        <v>P63</v>
      </c>
      <c r="J77" t="s">
        <v>419</v>
      </c>
      <c r="K77" s="47">
        <v>1</v>
      </c>
      <c r="L77" t="s">
        <v>1064</v>
      </c>
      <c r="M77" s="23">
        <v>624100</v>
      </c>
      <c r="N77" s="23">
        <v>1000000</v>
      </c>
      <c r="O77" s="23">
        <v>375900</v>
      </c>
      <c r="P77" t="s">
        <v>27</v>
      </c>
    </row>
    <row r="78" spans="1:16" x14ac:dyDescent="0.35">
      <c r="A78" s="18">
        <v>45826</v>
      </c>
      <c r="B78" s="18" t="s">
        <v>1132</v>
      </c>
      <c r="C78" t="s">
        <v>1130</v>
      </c>
      <c r="D78" t="s">
        <v>615</v>
      </c>
      <c r="E78" t="s">
        <v>129</v>
      </c>
      <c r="F78" t="s">
        <v>619</v>
      </c>
      <c r="G78" s="46">
        <v>180</v>
      </c>
      <c r="H78" t="s">
        <v>463</v>
      </c>
      <c r="I78" t="str">
        <f>VLOOKUP(Tabla5[[#This Row],[Producto]],Referencia!$E$2:$F$238,2,0)</f>
        <v>P64</v>
      </c>
      <c r="J78" t="s">
        <v>420</v>
      </c>
      <c r="K78" s="47">
        <v>1</v>
      </c>
      <c r="L78" t="s">
        <v>1067</v>
      </c>
      <c r="M78" s="23">
        <v>125000</v>
      </c>
      <c r="N78" s="23">
        <v>260000</v>
      </c>
      <c r="O78" s="23">
        <v>135000</v>
      </c>
      <c r="P78" t="s">
        <v>27</v>
      </c>
    </row>
    <row r="79" spans="1:16" x14ac:dyDescent="0.35">
      <c r="A79" s="18">
        <v>45826</v>
      </c>
      <c r="B79" s="18" t="s">
        <v>1132</v>
      </c>
      <c r="C79" t="s">
        <v>1130</v>
      </c>
      <c r="D79" t="s">
        <v>615</v>
      </c>
      <c r="E79" t="s">
        <v>82</v>
      </c>
      <c r="F79" t="s">
        <v>619</v>
      </c>
      <c r="G79" s="46">
        <v>42</v>
      </c>
      <c r="H79" t="s">
        <v>185</v>
      </c>
      <c r="I79" t="str">
        <f>VLOOKUP(Tabla5[[#This Row],[Producto]],Referencia!$E$2:$F$238,2,0)</f>
        <v>P65</v>
      </c>
      <c r="J79" t="s">
        <v>421</v>
      </c>
      <c r="K79" s="47">
        <v>1</v>
      </c>
      <c r="L79" t="s">
        <v>1078</v>
      </c>
      <c r="M79" s="23">
        <v>36000</v>
      </c>
      <c r="N79" s="23">
        <v>90000</v>
      </c>
      <c r="O79" s="23">
        <v>54000</v>
      </c>
      <c r="P79" t="s">
        <v>27</v>
      </c>
    </row>
    <row r="80" spans="1:16" x14ac:dyDescent="0.35">
      <c r="A80" s="18">
        <v>45826</v>
      </c>
      <c r="B80" s="18" t="s">
        <v>1132</v>
      </c>
      <c r="C80" t="s">
        <v>1130</v>
      </c>
      <c r="D80" t="s">
        <v>615</v>
      </c>
      <c r="E80" t="s">
        <v>82</v>
      </c>
      <c r="F80" t="s">
        <v>619</v>
      </c>
      <c r="G80" s="46">
        <v>3</v>
      </c>
      <c r="H80" t="s">
        <v>422</v>
      </c>
      <c r="I80" t="str">
        <f>VLOOKUP(Tabla5[[#This Row],[Producto]],Referencia!$E$2:$F$238,2,0)</f>
        <v>P66</v>
      </c>
      <c r="J80" t="s">
        <v>423</v>
      </c>
      <c r="K80" s="47">
        <v>1</v>
      </c>
      <c r="L80" t="s">
        <v>1066</v>
      </c>
      <c r="M80" s="23">
        <v>231960</v>
      </c>
      <c r="N80" s="23">
        <v>420000</v>
      </c>
      <c r="O80" s="23">
        <v>188040</v>
      </c>
      <c r="P80" t="s">
        <v>27</v>
      </c>
    </row>
    <row r="81" spans="1:16" x14ac:dyDescent="0.35">
      <c r="A81" s="18">
        <v>45826</v>
      </c>
      <c r="B81" s="18" t="s">
        <v>1132</v>
      </c>
      <c r="C81" t="s">
        <v>1130</v>
      </c>
      <c r="D81" t="s">
        <v>615</v>
      </c>
      <c r="E81" t="s">
        <v>127</v>
      </c>
      <c r="F81" t="s">
        <v>619</v>
      </c>
      <c r="G81" s="46">
        <v>178</v>
      </c>
      <c r="H81" t="s">
        <v>424</v>
      </c>
      <c r="I81" t="str">
        <f>VLOOKUP(Tabla5[[#This Row],[Producto]],Referencia!$E$2:$F$238,2,0)</f>
        <v>P67</v>
      </c>
      <c r="J81" t="s">
        <v>435</v>
      </c>
      <c r="K81" s="47">
        <v>1</v>
      </c>
      <c r="L81" t="s">
        <v>1067</v>
      </c>
      <c r="M81" s="23">
        <v>90000</v>
      </c>
      <c r="N81" s="23">
        <v>150000</v>
      </c>
      <c r="O81" s="23">
        <v>60000</v>
      </c>
      <c r="P81" t="s">
        <v>23</v>
      </c>
    </row>
    <row r="82" spans="1:16" x14ac:dyDescent="0.35">
      <c r="A82" s="18">
        <v>45826</v>
      </c>
      <c r="B82" s="18" t="s">
        <v>1132</v>
      </c>
      <c r="C82" t="s">
        <v>1130</v>
      </c>
      <c r="D82" t="s">
        <v>615</v>
      </c>
      <c r="E82" t="s">
        <v>127</v>
      </c>
      <c r="F82" t="s">
        <v>619</v>
      </c>
      <c r="G82" s="46">
        <v>178</v>
      </c>
      <c r="H82" t="s">
        <v>424</v>
      </c>
      <c r="I82" t="str">
        <f>VLOOKUP(Tabla5[[#This Row],[Producto]],Referencia!$E$2:$F$238,2,0)</f>
        <v>P8</v>
      </c>
      <c r="J82" t="s">
        <v>33</v>
      </c>
      <c r="K82" s="47">
        <v>1</v>
      </c>
      <c r="L82" t="s">
        <v>1067</v>
      </c>
      <c r="M82" s="23">
        <v>90000</v>
      </c>
      <c r="N82" s="23">
        <v>190000</v>
      </c>
      <c r="O82" s="23">
        <v>100000</v>
      </c>
      <c r="P82" t="s">
        <v>23</v>
      </c>
    </row>
    <row r="83" spans="1:16" x14ac:dyDescent="0.35">
      <c r="A83" s="18">
        <v>45826</v>
      </c>
      <c r="B83" s="18" t="s">
        <v>1132</v>
      </c>
      <c r="C83" t="s">
        <v>1130</v>
      </c>
      <c r="D83" t="s">
        <v>615</v>
      </c>
      <c r="E83" t="s">
        <v>127</v>
      </c>
      <c r="F83" t="s">
        <v>619</v>
      </c>
      <c r="G83" s="46">
        <v>178</v>
      </c>
      <c r="H83" t="s">
        <v>424</v>
      </c>
      <c r="I83" t="str">
        <f>VLOOKUP(Tabla5[[#This Row],[Producto]],Referencia!$E$2:$F$238,2,0)</f>
        <v>P68</v>
      </c>
      <c r="J83" t="s">
        <v>427</v>
      </c>
      <c r="K83" s="47">
        <v>1</v>
      </c>
      <c r="L83" t="s">
        <v>1078</v>
      </c>
      <c r="M83" s="23">
        <v>45000</v>
      </c>
      <c r="N83" s="23">
        <v>90000</v>
      </c>
      <c r="O83" s="23">
        <v>45000</v>
      </c>
      <c r="P83" t="s">
        <v>23</v>
      </c>
    </row>
    <row r="84" spans="1:16" x14ac:dyDescent="0.35">
      <c r="A84" s="18">
        <v>45826</v>
      </c>
      <c r="B84" s="18" t="s">
        <v>1132</v>
      </c>
      <c r="C84" t="s">
        <v>1130</v>
      </c>
      <c r="D84" t="s">
        <v>615</v>
      </c>
      <c r="E84" t="s">
        <v>127</v>
      </c>
      <c r="F84" t="s">
        <v>619</v>
      </c>
      <c r="G84" s="46">
        <v>178</v>
      </c>
      <c r="H84" t="s">
        <v>424</v>
      </c>
      <c r="I84" t="str">
        <f>VLOOKUP(Tabla5[[#This Row],[Producto]],Referencia!$E$2:$F$238,2,0)</f>
        <v>P69</v>
      </c>
      <c r="J84" t="s">
        <v>428</v>
      </c>
      <c r="K84" s="47">
        <v>1</v>
      </c>
      <c r="L84" t="s">
        <v>1078</v>
      </c>
      <c r="M84" s="23">
        <v>8000</v>
      </c>
      <c r="N84" s="23">
        <v>30000</v>
      </c>
      <c r="O84" s="23">
        <v>22000</v>
      </c>
      <c r="P84" t="s">
        <v>23</v>
      </c>
    </row>
    <row r="85" spans="1:16" x14ac:dyDescent="0.35">
      <c r="A85" s="18">
        <v>45826</v>
      </c>
      <c r="B85" s="18" t="s">
        <v>1132</v>
      </c>
      <c r="C85" t="s">
        <v>1130</v>
      </c>
      <c r="D85" t="s">
        <v>615</v>
      </c>
      <c r="E85" t="s">
        <v>127</v>
      </c>
      <c r="F85" t="s">
        <v>619</v>
      </c>
      <c r="G85" s="46">
        <v>178</v>
      </c>
      <c r="H85" t="s">
        <v>424</v>
      </c>
      <c r="I85" t="str">
        <f>VLOOKUP(Tabla5[[#This Row],[Producto]],Referencia!$E$2:$F$238,2,0)</f>
        <v>P70</v>
      </c>
      <c r="J85" t="s">
        <v>429</v>
      </c>
      <c r="K85" s="47">
        <v>1</v>
      </c>
      <c r="L85" t="s">
        <v>1068</v>
      </c>
      <c r="M85" s="23">
        <v>45000</v>
      </c>
      <c r="N85" s="23">
        <v>90000</v>
      </c>
      <c r="O85" s="23">
        <v>45000</v>
      </c>
      <c r="P85" t="s">
        <v>23</v>
      </c>
    </row>
    <row r="86" spans="1:16" x14ac:dyDescent="0.35">
      <c r="A86" s="18">
        <v>45826</v>
      </c>
      <c r="B86" s="18" t="s">
        <v>1132</v>
      </c>
      <c r="C86" t="s">
        <v>1130</v>
      </c>
      <c r="D86" t="s">
        <v>615</v>
      </c>
      <c r="E86" t="s">
        <v>127</v>
      </c>
      <c r="F86" t="s">
        <v>619</v>
      </c>
      <c r="G86" s="46">
        <v>178</v>
      </c>
      <c r="H86" t="s">
        <v>424</v>
      </c>
      <c r="I86" t="str">
        <f>VLOOKUP(Tabla5[[#This Row],[Producto]],Referencia!$E$2:$F$238,2,0)</f>
        <v>P71</v>
      </c>
      <c r="J86" t="s">
        <v>431</v>
      </c>
      <c r="K86" s="47">
        <v>1</v>
      </c>
      <c r="L86" t="s">
        <v>1066</v>
      </c>
      <c r="M86" s="23">
        <v>32700</v>
      </c>
      <c r="N86" s="23">
        <v>50000</v>
      </c>
      <c r="O86" s="23">
        <v>17300</v>
      </c>
      <c r="P86" t="s">
        <v>23</v>
      </c>
    </row>
    <row r="87" spans="1:16" x14ac:dyDescent="0.35">
      <c r="A87" s="18">
        <v>45826</v>
      </c>
      <c r="B87" s="18" t="s">
        <v>1132</v>
      </c>
      <c r="C87" t="s">
        <v>1130</v>
      </c>
      <c r="D87" t="s">
        <v>615</v>
      </c>
      <c r="E87" t="s">
        <v>129</v>
      </c>
      <c r="F87" t="s">
        <v>619</v>
      </c>
      <c r="G87" s="46">
        <v>38</v>
      </c>
      <c r="H87" t="s">
        <v>179</v>
      </c>
      <c r="I87" t="str">
        <f>VLOOKUP(Tabla5[[#This Row],[Producto]],Referencia!$E$2:$F$238,2,0)</f>
        <v>P72</v>
      </c>
      <c r="J87" t="s">
        <v>432</v>
      </c>
      <c r="K87" s="47">
        <v>1</v>
      </c>
      <c r="L87" t="s">
        <v>1067</v>
      </c>
      <c r="M87" s="23">
        <v>120000</v>
      </c>
      <c r="N87" s="23">
        <v>240000</v>
      </c>
      <c r="O87" s="23">
        <v>120000</v>
      </c>
      <c r="P87" t="s">
        <v>27</v>
      </c>
    </row>
    <row r="88" spans="1:16" x14ac:dyDescent="0.35">
      <c r="A88" s="18">
        <v>45826</v>
      </c>
      <c r="B88" s="18" t="s">
        <v>1132</v>
      </c>
      <c r="C88" t="s">
        <v>1130</v>
      </c>
      <c r="D88" t="s">
        <v>615</v>
      </c>
      <c r="E88" t="s">
        <v>129</v>
      </c>
      <c r="F88" t="s">
        <v>619</v>
      </c>
      <c r="G88" s="46">
        <v>38</v>
      </c>
      <c r="H88" t="s">
        <v>179</v>
      </c>
      <c r="I88" t="str">
        <f>VLOOKUP(Tabla5[[#This Row],[Producto]],Referencia!$E$2:$F$238,2,0)</f>
        <v>P73</v>
      </c>
      <c r="J88" t="s">
        <v>433</v>
      </c>
      <c r="K88" s="47">
        <v>1</v>
      </c>
      <c r="L88" t="s">
        <v>1067</v>
      </c>
      <c r="M88" s="23">
        <v>100000</v>
      </c>
      <c r="N88" s="23">
        <v>190000</v>
      </c>
      <c r="O88" s="23">
        <v>90000</v>
      </c>
      <c r="P88" t="s">
        <v>27</v>
      </c>
    </row>
    <row r="89" spans="1:16" x14ac:dyDescent="0.35">
      <c r="A89" s="18">
        <v>45826</v>
      </c>
      <c r="B89" s="18" t="s">
        <v>1132</v>
      </c>
      <c r="C89" t="s">
        <v>1130</v>
      </c>
      <c r="D89" t="s">
        <v>615</v>
      </c>
      <c r="E89" t="s">
        <v>129</v>
      </c>
      <c r="F89" t="s">
        <v>619</v>
      </c>
      <c r="G89" s="46">
        <v>38</v>
      </c>
      <c r="H89" t="s">
        <v>179</v>
      </c>
      <c r="I89" t="str">
        <f>VLOOKUP(Tabla5[[#This Row],[Producto]],Referencia!$E$2:$F$238,2,0)</f>
        <v>P74</v>
      </c>
      <c r="J89" t="s">
        <v>434</v>
      </c>
      <c r="K89" s="47">
        <v>1</v>
      </c>
      <c r="L89" t="s">
        <v>74</v>
      </c>
      <c r="M89" s="23">
        <v>35000</v>
      </c>
      <c r="N89" s="23">
        <v>50000</v>
      </c>
      <c r="O89" s="23">
        <v>15000</v>
      </c>
      <c r="P89" t="s">
        <v>27</v>
      </c>
    </row>
    <row r="90" spans="1:16" x14ac:dyDescent="0.35">
      <c r="A90" s="18">
        <v>45827</v>
      </c>
      <c r="B90" s="18" t="s">
        <v>1132</v>
      </c>
      <c r="C90" t="s">
        <v>1130</v>
      </c>
      <c r="D90" t="s">
        <v>8</v>
      </c>
      <c r="E90" t="s">
        <v>109</v>
      </c>
      <c r="F90" t="s">
        <v>619</v>
      </c>
      <c r="G90" s="46">
        <v>1</v>
      </c>
      <c r="H90" t="s">
        <v>108</v>
      </c>
      <c r="I90" t="str">
        <f>VLOOKUP(Tabla5[[#This Row],[Producto]],Referencia!$E$2:$F$238,2,0)</f>
        <v>P75</v>
      </c>
      <c r="J90" t="s">
        <v>436</v>
      </c>
      <c r="K90" s="47">
        <v>1</v>
      </c>
      <c r="L90" t="s">
        <v>74</v>
      </c>
      <c r="M90" s="23">
        <v>135000</v>
      </c>
      <c r="N90" s="23">
        <v>195000</v>
      </c>
      <c r="O90" s="23">
        <v>60000</v>
      </c>
      <c r="P90" t="s">
        <v>27</v>
      </c>
    </row>
    <row r="91" spans="1:16" x14ac:dyDescent="0.35">
      <c r="A91" s="18">
        <v>45827</v>
      </c>
      <c r="B91" s="18" t="s">
        <v>1132</v>
      </c>
      <c r="C91" t="s">
        <v>1130</v>
      </c>
      <c r="D91" t="s">
        <v>9</v>
      </c>
      <c r="E91" t="s">
        <v>122</v>
      </c>
      <c r="F91" t="s">
        <v>619</v>
      </c>
      <c r="G91" s="46">
        <v>64</v>
      </c>
      <c r="H91" t="s">
        <v>90</v>
      </c>
      <c r="I91" t="str">
        <f>VLOOKUP(Tabla5[[#This Row],[Producto]],Referencia!$E$2:$F$238,2,0)</f>
        <v>P76</v>
      </c>
      <c r="J91" t="s">
        <v>437</v>
      </c>
      <c r="K91" s="47">
        <v>1</v>
      </c>
      <c r="L91" t="s">
        <v>1066</v>
      </c>
      <c r="M91" s="23">
        <v>303000</v>
      </c>
      <c r="N91" s="23">
        <v>490000</v>
      </c>
      <c r="O91" s="23">
        <v>187000</v>
      </c>
      <c r="P91" t="s">
        <v>27</v>
      </c>
    </row>
    <row r="92" spans="1:16" x14ac:dyDescent="0.35">
      <c r="A92" s="18">
        <v>45834</v>
      </c>
      <c r="B92" s="18" t="s">
        <v>1132</v>
      </c>
      <c r="C92" t="s">
        <v>1130</v>
      </c>
      <c r="D92" t="s">
        <v>8</v>
      </c>
      <c r="E92" t="s">
        <v>416</v>
      </c>
      <c r="F92" t="s">
        <v>619</v>
      </c>
      <c r="G92" s="46">
        <v>29</v>
      </c>
      <c r="H92" t="s">
        <v>441</v>
      </c>
      <c r="I92" t="str">
        <f>VLOOKUP(Tabla5[[#This Row],[Producto]],Referencia!$E$2:$F$238,2,0)</f>
        <v>P77</v>
      </c>
      <c r="J92" t="s">
        <v>439</v>
      </c>
      <c r="K92" s="47">
        <v>1</v>
      </c>
      <c r="L92" t="s">
        <v>1069</v>
      </c>
      <c r="M92" s="23">
        <v>89450</v>
      </c>
      <c r="N92" s="23">
        <v>80000</v>
      </c>
      <c r="O92" s="23">
        <v>-9450</v>
      </c>
      <c r="P92" t="s">
        <v>27</v>
      </c>
    </row>
    <row r="93" spans="1:16" x14ac:dyDescent="0.35">
      <c r="A93" s="18">
        <v>45834</v>
      </c>
      <c r="B93" s="18" t="s">
        <v>1132</v>
      </c>
      <c r="C93" t="s">
        <v>1130</v>
      </c>
      <c r="D93" t="s">
        <v>8</v>
      </c>
      <c r="E93" t="s">
        <v>416</v>
      </c>
      <c r="F93" t="s">
        <v>619</v>
      </c>
      <c r="G93" s="46">
        <v>29</v>
      </c>
      <c r="H93" t="s">
        <v>441</v>
      </c>
      <c r="I93" t="str">
        <f>VLOOKUP(Tabla5[[#This Row],[Producto]],Referencia!$E$2:$F$238,2,0)</f>
        <v>P78</v>
      </c>
      <c r="J93" t="s">
        <v>443</v>
      </c>
      <c r="K93" s="47">
        <v>1</v>
      </c>
      <c r="L93" t="s">
        <v>1067</v>
      </c>
      <c r="M93" s="23">
        <v>45000</v>
      </c>
      <c r="N93" s="23">
        <v>70000</v>
      </c>
      <c r="O93" s="23">
        <v>25000</v>
      </c>
      <c r="P93" t="s">
        <v>27</v>
      </c>
    </row>
    <row r="94" spans="1:16" x14ac:dyDescent="0.35">
      <c r="A94" s="18">
        <v>45834</v>
      </c>
      <c r="B94" s="18" t="s">
        <v>1132</v>
      </c>
      <c r="C94" t="s">
        <v>1130</v>
      </c>
      <c r="D94" t="s">
        <v>8</v>
      </c>
      <c r="E94" t="s">
        <v>109</v>
      </c>
      <c r="F94" t="s">
        <v>619</v>
      </c>
      <c r="G94" s="46">
        <v>2</v>
      </c>
      <c r="H94" t="s">
        <v>112</v>
      </c>
      <c r="I94" t="str">
        <f>VLOOKUP(Tabla5[[#This Row],[Producto]],Referencia!$E$2:$F$238,2,0)</f>
        <v>P79</v>
      </c>
      <c r="J94" t="s">
        <v>444</v>
      </c>
      <c r="K94" s="47">
        <v>1</v>
      </c>
      <c r="L94" t="s">
        <v>1066</v>
      </c>
      <c r="M94" s="23">
        <v>131194</v>
      </c>
      <c r="N94" s="23">
        <v>190000</v>
      </c>
      <c r="O94" s="23">
        <v>58806</v>
      </c>
      <c r="P94" t="s">
        <v>27</v>
      </c>
    </row>
    <row r="95" spans="1:16" x14ac:dyDescent="0.35">
      <c r="A95" s="18">
        <v>45834</v>
      </c>
      <c r="B95" s="18" t="s">
        <v>1132</v>
      </c>
      <c r="C95" t="s">
        <v>1130</v>
      </c>
      <c r="D95" t="s">
        <v>8</v>
      </c>
      <c r="E95" t="s">
        <v>109</v>
      </c>
      <c r="F95" t="s">
        <v>619</v>
      </c>
      <c r="G95" s="46">
        <v>2</v>
      </c>
      <c r="H95" t="s">
        <v>112</v>
      </c>
      <c r="I95" t="str">
        <f>VLOOKUP(Tabla5[[#This Row],[Producto]],Referencia!$E$2:$F$238,2,0)</f>
        <v>P78</v>
      </c>
      <c r="J95" t="s">
        <v>443</v>
      </c>
      <c r="K95" s="47">
        <v>1</v>
      </c>
      <c r="L95" t="s">
        <v>1067</v>
      </c>
      <c r="M95" s="23">
        <v>45000</v>
      </c>
      <c r="N95" s="23">
        <v>90000</v>
      </c>
      <c r="O95" s="23">
        <v>45000</v>
      </c>
      <c r="P95" t="s">
        <v>27</v>
      </c>
    </row>
    <row r="96" spans="1:16" x14ac:dyDescent="0.35">
      <c r="A96" s="18">
        <v>45834</v>
      </c>
      <c r="B96" s="18" t="s">
        <v>1132</v>
      </c>
      <c r="C96" t="s">
        <v>1130</v>
      </c>
      <c r="D96" t="s">
        <v>8</v>
      </c>
      <c r="E96" t="s">
        <v>109</v>
      </c>
      <c r="F96" t="s">
        <v>619</v>
      </c>
      <c r="G96" s="46">
        <v>2</v>
      </c>
      <c r="H96" t="s">
        <v>112</v>
      </c>
      <c r="I96" t="str">
        <f>VLOOKUP(Tabla5[[#This Row],[Producto]],Referencia!$E$2:$F$238,2,0)</f>
        <v>P80</v>
      </c>
      <c r="J96" t="s">
        <v>445</v>
      </c>
      <c r="K96" s="47">
        <v>1</v>
      </c>
      <c r="L96" t="s">
        <v>1078</v>
      </c>
      <c r="M96" s="23">
        <v>38000</v>
      </c>
      <c r="N96" s="23">
        <v>55000</v>
      </c>
      <c r="O96" s="23">
        <v>17000</v>
      </c>
      <c r="P96" t="s">
        <v>27</v>
      </c>
    </row>
    <row r="97" spans="1:16" x14ac:dyDescent="0.35">
      <c r="A97" s="18">
        <v>45834</v>
      </c>
      <c r="B97" s="18" t="s">
        <v>1132</v>
      </c>
      <c r="C97" t="s">
        <v>1130</v>
      </c>
      <c r="D97" t="s">
        <v>8</v>
      </c>
      <c r="E97" t="s">
        <v>109</v>
      </c>
      <c r="F97" t="s">
        <v>619</v>
      </c>
      <c r="G97" s="46">
        <v>2</v>
      </c>
      <c r="H97" t="s">
        <v>112</v>
      </c>
      <c r="I97" t="str">
        <f>VLOOKUP(Tabla5[[#This Row],[Producto]],Referencia!$E$2:$F$238,2,0)</f>
        <v>P81</v>
      </c>
      <c r="J97" t="s">
        <v>446</v>
      </c>
      <c r="K97" s="47">
        <v>1</v>
      </c>
      <c r="L97" t="s">
        <v>1066</v>
      </c>
      <c r="M97" s="23">
        <v>20340</v>
      </c>
      <c r="N97" s="23">
        <v>35000</v>
      </c>
      <c r="O97" s="23">
        <v>14660</v>
      </c>
      <c r="P97" t="s">
        <v>27</v>
      </c>
    </row>
    <row r="98" spans="1:16" x14ac:dyDescent="0.35">
      <c r="A98" s="18">
        <v>45834</v>
      </c>
      <c r="B98" s="18" t="s">
        <v>1132</v>
      </c>
      <c r="C98" t="s">
        <v>1130</v>
      </c>
      <c r="D98" t="s">
        <v>8</v>
      </c>
      <c r="E98" t="s">
        <v>109</v>
      </c>
      <c r="F98" t="s">
        <v>619</v>
      </c>
      <c r="G98" s="46">
        <v>2</v>
      </c>
      <c r="H98" t="s">
        <v>112</v>
      </c>
      <c r="I98" t="str">
        <f>VLOOKUP(Tabla5[[#This Row],[Producto]],Referencia!$E$2:$F$238,2,0)</f>
        <v>P225</v>
      </c>
      <c r="J98" t="s">
        <v>1112</v>
      </c>
      <c r="K98" s="47">
        <v>1</v>
      </c>
      <c r="L98" t="s">
        <v>1078</v>
      </c>
      <c r="M98" s="23">
        <v>18000</v>
      </c>
      <c r="N98" s="23">
        <v>30000</v>
      </c>
      <c r="O98" s="23">
        <v>12000</v>
      </c>
      <c r="P98" t="s">
        <v>27</v>
      </c>
    </row>
    <row r="99" spans="1:16" x14ac:dyDescent="0.35">
      <c r="A99" s="18">
        <v>45834</v>
      </c>
      <c r="B99" s="18" t="s">
        <v>1132</v>
      </c>
      <c r="C99" t="s">
        <v>1130</v>
      </c>
      <c r="D99" t="s">
        <v>8</v>
      </c>
      <c r="E99" t="s">
        <v>109</v>
      </c>
      <c r="F99" t="s">
        <v>619</v>
      </c>
      <c r="G99" s="46">
        <v>1</v>
      </c>
      <c r="H99" t="s">
        <v>108</v>
      </c>
      <c r="I99" t="str">
        <f>VLOOKUP(Tabla5[[#This Row],[Producto]],Referencia!$E$2:$F$238,2,0)</f>
        <v>P83</v>
      </c>
      <c r="J99" t="s">
        <v>449</v>
      </c>
      <c r="K99" s="47">
        <v>1</v>
      </c>
      <c r="L99" t="s">
        <v>74</v>
      </c>
      <c r="M99" s="23">
        <v>135000</v>
      </c>
      <c r="N99" s="23">
        <v>195000</v>
      </c>
      <c r="O99" s="23">
        <v>60000</v>
      </c>
      <c r="P99" t="s">
        <v>27</v>
      </c>
    </row>
    <row r="100" spans="1:16" x14ac:dyDescent="0.35">
      <c r="A100" s="18">
        <v>45834</v>
      </c>
      <c r="B100" s="18" t="s">
        <v>1132</v>
      </c>
      <c r="C100" t="s">
        <v>1130</v>
      </c>
      <c r="D100" t="s">
        <v>8</v>
      </c>
      <c r="E100" t="s">
        <v>109</v>
      </c>
      <c r="F100" t="s">
        <v>619</v>
      </c>
      <c r="G100" s="46">
        <v>1</v>
      </c>
      <c r="H100" t="s">
        <v>108</v>
      </c>
      <c r="I100" t="str">
        <f>VLOOKUP(Tabla5[[#This Row],[Producto]],Referencia!$E$2:$F$238,2,0)</f>
        <v>P84</v>
      </c>
      <c r="J100" t="s">
        <v>450</v>
      </c>
      <c r="K100" s="47">
        <v>1</v>
      </c>
      <c r="L100" t="s">
        <v>1063</v>
      </c>
      <c r="M100" s="23">
        <v>32100</v>
      </c>
      <c r="N100" s="23">
        <v>40000</v>
      </c>
      <c r="O100" s="23">
        <v>7900</v>
      </c>
      <c r="P100" t="s">
        <v>27</v>
      </c>
    </row>
    <row r="101" spans="1:16" x14ac:dyDescent="0.35">
      <c r="A101" s="18">
        <v>45834</v>
      </c>
      <c r="B101" s="18" t="s">
        <v>1132</v>
      </c>
      <c r="C101" t="s">
        <v>1130</v>
      </c>
      <c r="D101" t="s">
        <v>8</v>
      </c>
      <c r="E101" t="s">
        <v>109</v>
      </c>
      <c r="F101" t="s">
        <v>619</v>
      </c>
      <c r="G101" s="46">
        <v>1</v>
      </c>
      <c r="H101" t="s">
        <v>108</v>
      </c>
      <c r="I101" t="str">
        <f>VLOOKUP(Tabla5[[#This Row],[Producto]],Referencia!$E$2:$F$238,2,0)</f>
        <v>P85</v>
      </c>
      <c r="J101" t="s">
        <v>451</v>
      </c>
      <c r="K101" s="47">
        <v>1</v>
      </c>
      <c r="L101" t="s">
        <v>1078</v>
      </c>
      <c r="M101" s="23">
        <v>25000</v>
      </c>
      <c r="N101" s="23">
        <v>50000</v>
      </c>
      <c r="O101" s="23">
        <v>25000</v>
      </c>
      <c r="P101" t="s">
        <v>27</v>
      </c>
    </row>
    <row r="102" spans="1:16" x14ac:dyDescent="0.35">
      <c r="A102" s="18">
        <v>45834</v>
      </c>
      <c r="B102" s="18" t="s">
        <v>1132</v>
      </c>
      <c r="C102" t="s">
        <v>1130</v>
      </c>
      <c r="D102" t="s">
        <v>9</v>
      </c>
      <c r="E102" t="s">
        <v>122</v>
      </c>
      <c r="F102" t="s">
        <v>619</v>
      </c>
      <c r="G102" s="46">
        <v>10</v>
      </c>
      <c r="H102" t="s">
        <v>622</v>
      </c>
      <c r="I102" t="str">
        <f>VLOOKUP(Tabla5[[#This Row],[Producto]],Referencia!$E$2:$F$238,2,0)</f>
        <v>P86</v>
      </c>
      <c r="J102" t="s">
        <v>452</v>
      </c>
      <c r="K102" s="47">
        <v>1</v>
      </c>
      <c r="L102" t="s">
        <v>1078</v>
      </c>
      <c r="M102" s="23">
        <v>38000</v>
      </c>
      <c r="N102" s="23">
        <v>75000</v>
      </c>
      <c r="O102" s="23">
        <v>37000</v>
      </c>
      <c r="P102" t="s">
        <v>27</v>
      </c>
    </row>
    <row r="103" spans="1:16" x14ac:dyDescent="0.35">
      <c r="A103" s="18">
        <v>45840</v>
      </c>
      <c r="B103" s="18" t="s">
        <v>1132</v>
      </c>
      <c r="C103" t="s">
        <v>1130</v>
      </c>
      <c r="D103" t="s">
        <v>615</v>
      </c>
      <c r="E103" t="s">
        <v>129</v>
      </c>
      <c r="F103" t="s">
        <v>619</v>
      </c>
      <c r="G103" s="46">
        <v>7</v>
      </c>
      <c r="H103" t="s">
        <v>453</v>
      </c>
      <c r="I103" t="str">
        <f>VLOOKUP(Tabla5[[#This Row],[Producto]],Referencia!$E$2:$F$238,2,0)</f>
        <v>P87</v>
      </c>
      <c r="J103" t="s">
        <v>454</v>
      </c>
      <c r="K103" s="47">
        <v>1</v>
      </c>
      <c r="L103" t="s">
        <v>1067</v>
      </c>
      <c r="M103" s="23">
        <v>55000</v>
      </c>
      <c r="N103" s="23">
        <v>125000</v>
      </c>
      <c r="O103" s="23">
        <v>70000</v>
      </c>
      <c r="P103" t="s">
        <v>27</v>
      </c>
    </row>
    <row r="104" spans="1:16" x14ac:dyDescent="0.35">
      <c r="A104" s="18">
        <v>45840</v>
      </c>
      <c r="B104" s="18" t="s">
        <v>1132</v>
      </c>
      <c r="C104" t="s">
        <v>1130</v>
      </c>
      <c r="D104" t="s">
        <v>615</v>
      </c>
      <c r="E104" t="s">
        <v>129</v>
      </c>
      <c r="F104" t="s">
        <v>619</v>
      </c>
      <c r="G104" s="46">
        <v>7</v>
      </c>
      <c r="H104" t="s">
        <v>453</v>
      </c>
      <c r="I104" t="str">
        <f>VLOOKUP(Tabla5[[#This Row],[Producto]],Referencia!$E$2:$F$238,2,0)</f>
        <v>P88</v>
      </c>
      <c r="J104" t="s">
        <v>630</v>
      </c>
      <c r="K104" s="47">
        <v>1</v>
      </c>
      <c r="L104" t="s">
        <v>74</v>
      </c>
      <c r="M104" s="23">
        <v>7000</v>
      </c>
      <c r="N104" s="23">
        <v>18000</v>
      </c>
      <c r="O104" s="23">
        <v>11000</v>
      </c>
      <c r="P104" t="s">
        <v>27</v>
      </c>
    </row>
    <row r="105" spans="1:16" x14ac:dyDescent="0.35">
      <c r="A105" s="18">
        <v>45840</v>
      </c>
      <c r="B105" s="18" t="s">
        <v>1132</v>
      </c>
      <c r="C105" t="s">
        <v>1130</v>
      </c>
      <c r="D105" t="s">
        <v>615</v>
      </c>
      <c r="E105" t="s">
        <v>129</v>
      </c>
      <c r="F105" t="s">
        <v>619</v>
      </c>
      <c r="G105" s="46">
        <v>7</v>
      </c>
      <c r="H105" t="s">
        <v>453</v>
      </c>
      <c r="I105" t="str">
        <f>VLOOKUP(Tabla5[[#This Row],[Producto]],Referencia!$E$2:$F$238,2,0)</f>
        <v>P7</v>
      </c>
      <c r="J105" t="s">
        <v>631</v>
      </c>
      <c r="K105" s="47">
        <v>1</v>
      </c>
      <c r="L105" t="s">
        <v>1065</v>
      </c>
      <c r="M105" s="23">
        <v>11700</v>
      </c>
      <c r="N105" s="23">
        <v>18000</v>
      </c>
      <c r="O105" s="23">
        <v>6300</v>
      </c>
      <c r="P105" t="s">
        <v>27</v>
      </c>
    </row>
    <row r="106" spans="1:16" x14ac:dyDescent="0.35">
      <c r="A106" s="18">
        <v>45840</v>
      </c>
      <c r="B106" s="18" t="s">
        <v>1132</v>
      </c>
      <c r="C106" t="s">
        <v>1130</v>
      </c>
      <c r="D106" t="s">
        <v>615</v>
      </c>
      <c r="E106" t="s">
        <v>129</v>
      </c>
      <c r="F106" t="s">
        <v>619</v>
      </c>
      <c r="G106" s="46">
        <v>7</v>
      </c>
      <c r="H106" t="s">
        <v>453</v>
      </c>
      <c r="I106" t="str">
        <f>VLOOKUP(Tabla5[[#This Row],[Producto]],Referencia!$E$2:$F$238,2,0)</f>
        <v>P89</v>
      </c>
      <c r="J106" t="s">
        <v>455</v>
      </c>
      <c r="K106" s="47">
        <v>3</v>
      </c>
      <c r="L106" t="s">
        <v>1070</v>
      </c>
      <c r="M106" s="23">
        <v>16200</v>
      </c>
      <c r="N106" s="23">
        <v>27000</v>
      </c>
      <c r="O106" s="23">
        <v>10800</v>
      </c>
      <c r="P106" t="s">
        <v>27</v>
      </c>
    </row>
    <row r="107" spans="1:16" x14ac:dyDescent="0.35">
      <c r="A107" s="18">
        <v>45840</v>
      </c>
      <c r="B107" s="18" t="s">
        <v>1132</v>
      </c>
      <c r="C107" t="s">
        <v>1130</v>
      </c>
      <c r="D107" t="s">
        <v>615</v>
      </c>
      <c r="E107" t="s">
        <v>129</v>
      </c>
      <c r="F107" t="s">
        <v>619</v>
      </c>
      <c r="G107" s="46">
        <v>7</v>
      </c>
      <c r="H107" t="s">
        <v>453</v>
      </c>
      <c r="I107" t="str">
        <f>VLOOKUP(Tabla5[[#This Row],[Producto]],Referencia!$E$2:$F$238,2,0)</f>
        <v>P74</v>
      </c>
      <c r="J107" t="s">
        <v>434</v>
      </c>
      <c r="K107" s="47">
        <v>1</v>
      </c>
      <c r="L107" t="s">
        <v>74</v>
      </c>
      <c r="M107" s="23">
        <v>35000</v>
      </c>
      <c r="N107" s="23">
        <v>50000</v>
      </c>
      <c r="O107" s="23">
        <v>15000</v>
      </c>
      <c r="P107" t="s">
        <v>27</v>
      </c>
    </row>
    <row r="108" spans="1:16" x14ac:dyDescent="0.35">
      <c r="A108" s="18">
        <v>45840</v>
      </c>
      <c r="B108" s="18" t="s">
        <v>1132</v>
      </c>
      <c r="C108" t="s">
        <v>1130</v>
      </c>
      <c r="D108" t="s">
        <v>615</v>
      </c>
      <c r="E108" t="s">
        <v>129</v>
      </c>
      <c r="F108" t="s">
        <v>619</v>
      </c>
      <c r="G108" s="46">
        <v>7</v>
      </c>
      <c r="H108" t="s">
        <v>453</v>
      </c>
      <c r="I108" t="str">
        <f>VLOOKUP(Tabla5[[#This Row],[Producto]],Referencia!$E$2:$F$238,2,0)</f>
        <v>P6</v>
      </c>
      <c r="J108" t="s">
        <v>627</v>
      </c>
      <c r="K108" s="47">
        <v>1</v>
      </c>
      <c r="L108" t="s">
        <v>31</v>
      </c>
      <c r="M108" s="23">
        <v>20000</v>
      </c>
      <c r="N108" s="23">
        <v>30000</v>
      </c>
      <c r="O108" s="23">
        <v>10000</v>
      </c>
      <c r="P108" t="s">
        <v>27</v>
      </c>
    </row>
    <row r="109" spans="1:16" x14ac:dyDescent="0.35">
      <c r="A109" s="18">
        <v>45840</v>
      </c>
      <c r="B109" s="18" t="s">
        <v>1132</v>
      </c>
      <c r="C109" t="s">
        <v>1130</v>
      </c>
      <c r="D109" t="s">
        <v>615</v>
      </c>
      <c r="E109" t="s">
        <v>127</v>
      </c>
      <c r="F109" t="s">
        <v>619</v>
      </c>
      <c r="G109" s="46">
        <v>178</v>
      </c>
      <c r="H109" t="s">
        <v>424</v>
      </c>
      <c r="I109" t="str">
        <f>VLOOKUP(Tabla5[[#This Row],[Producto]],Referencia!$E$2:$F$238,2,0)</f>
        <v>P90</v>
      </c>
      <c r="J109" t="s">
        <v>457</v>
      </c>
      <c r="K109" s="47">
        <v>1</v>
      </c>
      <c r="L109" t="s">
        <v>1067</v>
      </c>
      <c r="M109" s="23">
        <v>130000</v>
      </c>
      <c r="N109" s="23">
        <v>280000</v>
      </c>
      <c r="O109" s="23">
        <v>150000</v>
      </c>
      <c r="P109" t="s">
        <v>23</v>
      </c>
    </row>
    <row r="110" spans="1:16" x14ac:dyDescent="0.35">
      <c r="A110" s="18">
        <v>45840</v>
      </c>
      <c r="B110" s="18" t="s">
        <v>1132</v>
      </c>
      <c r="C110" t="s">
        <v>1130</v>
      </c>
      <c r="D110" t="s">
        <v>615</v>
      </c>
      <c r="E110" t="s">
        <v>127</v>
      </c>
      <c r="F110" t="s">
        <v>619</v>
      </c>
      <c r="G110" s="46">
        <v>178</v>
      </c>
      <c r="H110" t="s">
        <v>424</v>
      </c>
      <c r="I110" t="str">
        <f>VLOOKUP(Tabla5[[#This Row],[Producto]],Referencia!$E$2:$F$238,2,0)</f>
        <v>P91</v>
      </c>
      <c r="J110" t="s">
        <v>458</v>
      </c>
      <c r="K110" s="47">
        <v>1</v>
      </c>
      <c r="L110" t="s">
        <v>1067</v>
      </c>
      <c r="M110" s="23">
        <v>65000</v>
      </c>
      <c r="N110" s="23">
        <v>100000</v>
      </c>
      <c r="O110" s="23">
        <v>35000</v>
      </c>
      <c r="P110" t="s">
        <v>27</v>
      </c>
    </row>
    <row r="111" spans="1:16" x14ac:dyDescent="0.35">
      <c r="A111" s="18">
        <v>45840</v>
      </c>
      <c r="B111" s="18" t="s">
        <v>1132</v>
      </c>
      <c r="C111" t="s">
        <v>1130</v>
      </c>
      <c r="D111" t="s">
        <v>615</v>
      </c>
      <c r="E111" t="s">
        <v>127</v>
      </c>
      <c r="F111" t="s">
        <v>619</v>
      </c>
      <c r="G111" s="46">
        <v>44</v>
      </c>
      <c r="H111" t="s">
        <v>459</v>
      </c>
      <c r="I111" t="str">
        <f>VLOOKUP(Tabla5[[#This Row],[Producto]],Referencia!$E$2:$F$238,2,0)</f>
        <v>P6</v>
      </c>
      <c r="J111" t="s">
        <v>627</v>
      </c>
      <c r="K111" s="47">
        <v>1</v>
      </c>
      <c r="L111" t="s">
        <v>31</v>
      </c>
      <c r="M111" s="23">
        <v>20000</v>
      </c>
      <c r="N111" s="23">
        <v>35000</v>
      </c>
      <c r="O111" s="23">
        <v>15000</v>
      </c>
      <c r="P111" t="s">
        <v>27</v>
      </c>
    </row>
    <row r="112" spans="1:16" x14ac:dyDescent="0.35">
      <c r="A112" s="18">
        <v>45840</v>
      </c>
      <c r="B112" s="18" t="s">
        <v>1132</v>
      </c>
      <c r="C112" t="s">
        <v>1130</v>
      </c>
      <c r="D112" t="s">
        <v>615</v>
      </c>
      <c r="E112" t="s">
        <v>127</v>
      </c>
      <c r="F112" t="s">
        <v>619</v>
      </c>
      <c r="G112" s="46">
        <v>44</v>
      </c>
      <c r="H112" t="s">
        <v>459</v>
      </c>
      <c r="I112" t="str">
        <f>VLOOKUP(Tabla5[[#This Row],[Producto]],Referencia!$E$2:$F$238,2,0)</f>
        <v>P92</v>
      </c>
      <c r="J112" t="s">
        <v>460</v>
      </c>
      <c r="K112" s="47">
        <v>1</v>
      </c>
      <c r="L112" t="s">
        <v>1067</v>
      </c>
      <c r="M112" s="23">
        <v>100000</v>
      </c>
      <c r="N112" s="23">
        <v>190000</v>
      </c>
      <c r="O112" s="23">
        <v>90000</v>
      </c>
      <c r="P112" t="s">
        <v>27</v>
      </c>
    </row>
    <row r="113" spans="1:16" x14ac:dyDescent="0.35">
      <c r="A113" s="18">
        <v>45840</v>
      </c>
      <c r="B113" s="18" t="s">
        <v>1132</v>
      </c>
      <c r="C113" t="s">
        <v>1130</v>
      </c>
      <c r="D113" t="s">
        <v>615</v>
      </c>
      <c r="E113" t="s">
        <v>127</v>
      </c>
      <c r="F113" t="s">
        <v>619</v>
      </c>
      <c r="G113" s="46">
        <v>37</v>
      </c>
      <c r="H113" t="s">
        <v>61</v>
      </c>
      <c r="I113" t="str">
        <f>VLOOKUP(Tabla5[[#This Row],[Producto]],Referencia!$E$2:$F$238,2,0)</f>
        <v>P27</v>
      </c>
      <c r="J113" t="s">
        <v>60</v>
      </c>
      <c r="K113" s="47">
        <v>1</v>
      </c>
      <c r="L113" t="s">
        <v>1067</v>
      </c>
      <c r="M113" s="23">
        <v>5000</v>
      </c>
      <c r="N113" s="23">
        <v>10000</v>
      </c>
      <c r="O113" s="23">
        <v>5000</v>
      </c>
      <c r="P113" t="s">
        <v>23</v>
      </c>
    </row>
    <row r="114" spans="1:16" x14ac:dyDescent="0.35">
      <c r="A114" s="18">
        <v>45840</v>
      </c>
      <c r="B114" s="18" t="s">
        <v>1132</v>
      </c>
      <c r="C114" t="s">
        <v>1130</v>
      </c>
      <c r="D114" t="s">
        <v>615</v>
      </c>
      <c r="E114" t="s">
        <v>129</v>
      </c>
      <c r="F114" t="s">
        <v>619</v>
      </c>
      <c r="G114" s="46" t="s">
        <v>618</v>
      </c>
      <c r="H114" t="s">
        <v>477</v>
      </c>
      <c r="I114" t="str">
        <f>VLOOKUP(Tabla5[[#This Row],[Producto]],Referencia!$E$2:$F$238,2,0)</f>
        <v>P93</v>
      </c>
      <c r="J114" t="s">
        <v>462</v>
      </c>
      <c r="K114" s="47">
        <v>1</v>
      </c>
      <c r="L114" t="s">
        <v>1063</v>
      </c>
      <c r="M114" s="23">
        <v>78000</v>
      </c>
      <c r="N114" s="23">
        <v>130000</v>
      </c>
      <c r="O114" s="23">
        <v>52000</v>
      </c>
      <c r="P114" t="s">
        <v>27</v>
      </c>
    </row>
    <row r="115" spans="1:16" x14ac:dyDescent="0.35">
      <c r="A115" s="18">
        <v>45840</v>
      </c>
      <c r="B115" s="18" t="s">
        <v>1132</v>
      </c>
      <c r="C115" t="s">
        <v>1130</v>
      </c>
      <c r="D115" t="s">
        <v>615</v>
      </c>
      <c r="E115" t="s">
        <v>82</v>
      </c>
      <c r="F115" t="s">
        <v>619</v>
      </c>
      <c r="G115" s="46">
        <v>33</v>
      </c>
      <c r="H115" t="s">
        <v>171</v>
      </c>
      <c r="I115" t="str">
        <f>VLOOKUP(Tabla5[[#This Row],[Producto]],Referencia!$E$2:$F$238,2,0)</f>
        <v>P94</v>
      </c>
      <c r="J115" t="s">
        <v>464</v>
      </c>
      <c r="K115" s="47">
        <v>1</v>
      </c>
      <c r="L115" t="s">
        <v>1066</v>
      </c>
      <c r="M115" s="23">
        <v>47600</v>
      </c>
      <c r="N115" s="23">
        <v>80000</v>
      </c>
      <c r="O115" s="23">
        <v>32400</v>
      </c>
      <c r="P115" t="s">
        <v>27</v>
      </c>
    </row>
    <row r="116" spans="1:16" x14ac:dyDescent="0.35">
      <c r="A116" s="18">
        <v>45840</v>
      </c>
      <c r="B116" s="18" t="s">
        <v>1132</v>
      </c>
      <c r="C116" t="s">
        <v>1130</v>
      </c>
      <c r="D116" t="s">
        <v>615</v>
      </c>
      <c r="E116" t="s">
        <v>82</v>
      </c>
      <c r="F116" t="s">
        <v>619</v>
      </c>
      <c r="G116" s="46">
        <v>33</v>
      </c>
      <c r="H116" t="s">
        <v>171</v>
      </c>
      <c r="I116" t="str">
        <f>VLOOKUP(Tabla5[[#This Row],[Producto]],Referencia!$E$2:$F$238,2,0)</f>
        <v>P95</v>
      </c>
      <c r="J116" t="s">
        <v>465</v>
      </c>
      <c r="K116" s="47">
        <v>1</v>
      </c>
      <c r="L116" t="s">
        <v>1067</v>
      </c>
      <c r="M116" s="23">
        <v>40000</v>
      </c>
      <c r="N116" s="23">
        <v>90000</v>
      </c>
      <c r="O116" s="23">
        <v>50000</v>
      </c>
      <c r="P116" t="s">
        <v>27</v>
      </c>
    </row>
    <row r="117" spans="1:16" x14ac:dyDescent="0.35">
      <c r="A117" s="18">
        <v>45840</v>
      </c>
      <c r="B117" s="18" t="s">
        <v>1132</v>
      </c>
      <c r="C117" t="s">
        <v>1130</v>
      </c>
      <c r="D117" t="s">
        <v>615</v>
      </c>
      <c r="E117" t="s">
        <v>127</v>
      </c>
      <c r="F117" t="s">
        <v>619</v>
      </c>
      <c r="G117" s="46">
        <v>6</v>
      </c>
      <c r="H117" t="s">
        <v>126</v>
      </c>
      <c r="I117" t="str">
        <f>VLOOKUP(Tabla5[[#This Row],[Producto]],Referencia!$E$2:$F$238,2,0)</f>
        <v>P33</v>
      </c>
      <c r="J117" t="s">
        <v>68</v>
      </c>
      <c r="K117" s="47">
        <v>1</v>
      </c>
      <c r="L117" t="s">
        <v>1067</v>
      </c>
      <c r="M117" s="23">
        <v>20000</v>
      </c>
      <c r="N117" s="23">
        <v>35000</v>
      </c>
      <c r="O117" s="23">
        <v>15000</v>
      </c>
      <c r="P117" t="s">
        <v>23</v>
      </c>
    </row>
    <row r="118" spans="1:16" x14ac:dyDescent="0.35">
      <c r="A118" s="18">
        <v>45840</v>
      </c>
      <c r="B118" s="18" t="s">
        <v>1132</v>
      </c>
      <c r="C118" t="s">
        <v>1130</v>
      </c>
      <c r="D118" t="s">
        <v>615</v>
      </c>
      <c r="E118" t="s">
        <v>127</v>
      </c>
      <c r="F118" t="s">
        <v>619</v>
      </c>
      <c r="G118" s="46">
        <v>6</v>
      </c>
      <c r="H118" t="s">
        <v>126</v>
      </c>
      <c r="I118" t="str">
        <f>VLOOKUP(Tabla5[[#This Row],[Producto]],Referencia!$E$2:$F$238,2,0)</f>
        <v>P96</v>
      </c>
      <c r="J118" t="s">
        <v>466</v>
      </c>
      <c r="K118" s="47">
        <v>1</v>
      </c>
      <c r="L118" t="s">
        <v>1078</v>
      </c>
      <c r="M118" s="23">
        <v>18000</v>
      </c>
      <c r="N118" s="23">
        <v>35000</v>
      </c>
      <c r="O118" s="23">
        <v>17000</v>
      </c>
      <c r="P118" t="s">
        <v>23</v>
      </c>
    </row>
    <row r="119" spans="1:16" x14ac:dyDescent="0.35">
      <c r="A119" s="18">
        <v>45841</v>
      </c>
      <c r="B119" s="18" t="s">
        <v>1132</v>
      </c>
      <c r="C119" t="s">
        <v>1130</v>
      </c>
      <c r="D119" t="s">
        <v>8</v>
      </c>
      <c r="E119" t="s">
        <v>109</v>
      </c>
      <c r="F119" t="s">
        <v>619</v>
      </c>
      <c r="G119" s="46">
        <v>2</v>
      </c>
      <c r="H119" t="s">
        <v>112</v>
      </c>
      <c r="I119" t="str">
        <f>VLOOKUP(Tabla5[[#This Row],[Producto]],Referencia!$E$2:$F$238,2,0)</f>
        <v>P27</v>
      </c>
      <c r="J119" t="s">
        <v>467</v>
      </c>
      <c r="K119" s="47">
        <v>12</v>
      </c>
      <c r="L119" t="s">
        <v>1067</v>
      </c>
      <c r="M119" s="23">
        <v>60000</v>
      </c>
      <c r="N119" s="23">
        <v>96000</v>
      </c>
      <c r="O119" s="23">
        <v>36000</v>
      </c>
      <c r="P119" t="s">
        <v>27</v>
      </c>
    </row>
    <row r="120" spans="1:16" x14ac:dyDescent="0.35">
      <c r="A120" s="18">
        <v>45841</v>
      </c>
      <c r="B120" s="18" t="s">
        <v>1132</v>
      </c>
      <c r="C120" t="s">
        <v>1130</v>
      </c>
      <c r="D120" t="s">
        <v>8</v>
      </c>
      <c r="E120" t="s">
        <v>109</v>
      </c>
      <c r="F120" t="s">
        <v>619</v>
      </c>
      <c r="G120" s="46">
        <v>2</v>
      </c>
      <c r="H120" t="s">
        <v>112</v>
      </c>
      <c r="I120" t="str">
        <f>VLOOKUP(Tabla5[[#This Row],[Producto]],Referencia!$E$2:$F$238,2,0)</f>
        <v>P97</v>
      </c>
      <c r="J120" t="s">
        <v>468</v>
      </c>
      <c r="K120" s="47">
        <v>1</v>
      </c>
      <c r="L120" t="s">
        <v>1067</v>
      </c>
      <c r="M120" s="23">
        <v>30000</v>
      </c>
      <c r="N120" s="23">
        <v>60000</v>
      </c>
      <c r="O120" s="23">
        <v>30000</v>
      </c>
      <c r="P120" t="s">
        <v>27</v>
      </c>
    </row>
    <row r="121" spans="1:16" x14ac:dyDescent="0.35">
      <c r="A121" s="18">
        <v>45841</v>
      </c>
      <c r="B121" s="18" t="s">
        <v>1132</v>
      </c>
      <c r="C121" t="s">
        <v>1130</v>
      </c>
      <c r="D121" t="s">
        <v>8</v>
      </c>
      <c r="E121" t="s">
        <v>416</v>
      </c>
      <c r="F121" t="s">
        <v>619</v>
      </c>
      <c r="G121" s="46">
        <v>179</v>
      </c>
      <c r="H121" t="s">
        <v>518</v>
      </c>
      <c r="I121" t="str">
        <f>VLOOKUP(Tabla5[[#This Row],[Producto]],Referencia!$E$2:$F$238,2,0)</f>
        <v>P98</v>
      </c>
      <c r="J121" t="s">
        <v>469</v>
      </c>
      <c r="K121" s="47">
        <v>1</v>
      </c>
      <c r="L121" t="s">
        <v>1063</v>
      </c>
      <c r="M121" s="23">
        <v>51000</v>
      </c>
      <c r="N121" s="23">
        <v>90000</v>
      </c>
      <c r="O121" s="23">
        <v>39000</v>
      </c>
      <c r="P121" t="s">
        <v>27</v>
      </c>
    </row>
    <row r="122" spans="1:16" x14ac:dyDescent="0.35">
      <c r="A122" s="18">
        <v>45841</v>
      </c>
      <c r="B122" s="18" t="s">
        <v>1132</v>
      </c>
      <c r="C122" t="s">
        <v>1130</v>
      </c>
      <c r="D122" t="s">
        <v>8</v>
      </c>
      <c r="E122" t="s">
        <v>416</v>
      </c>
      <c r="F122" t="s">
        <v>619</v>
      </c>
      <c r="G122" s="46">
        <v>179</v>
      </c>
      <c r="H122" t="s">
        <v>518</v>
      </c>
      <c r="I122" t="str">
        <f>VLOOKUP(Tabla5[[#This Row],[Producto]],Referencia!$E$2:$F$238,2,0)</f>
        <v>P17</v>
      </c>
      <c r="J122" t="s">
        <v>46</v>
      </c>
      <c r="K122" s="47">
        <v>1</v>
      </c>
      <c r="L122" t="s">
        <v>1066</v>
      </c>
      <c r="M122" s="23">
        <v>46053</v>
      </c>
      <c r="N122" s="23">
        <v>75000</v>
      </c>
      <c r="O122" s="23">
        <v>28947</v>
      </c>
      <c r="P122" t="s">
        <v>27</v>
      </c>
    </row>
    <row r="123" spans="1:16" x14ac:dyDescent="0.35">
      <c r="A123" s="18">
        <v>45841</v>
      </c>
      <c r="B123" s="18" t="s">
        <v>1132</v>
      </c>
      <c r="C123" t="s">
        <v>1130</v>
      </c>
      <c r="D123" t="s">
        <v>8</v>
      </c>
      <c r="E123" t="s">
        <v>416</v>
      </c>
      <c r="F123" t="s">
        <v>619</v>
      </c>
      <c r="G123" s="46">
        <v>179</v>
      </c>
      <c r="H123" t="s">
        <v>518</v>
      </c>
      <c r="I123" t="str">
        <f>VLOOKUP(Tabla5[[#This Row],[Producto]],Referencia!$E$2:$F$238,2,0)</f>
        <v>P99</v>
      </c>
      <c r="J123" t="s">
        <v>470</v>
      </c>
      <c r="K123" s="47">
        <v>1</v>
      </c>
      <c r="L123" t="s">
        <v>1063</v>
      </c>
      <c r="M123" s="23">
        <v>4650</v>
      </c>
      <c r="N123" s="23">
        <v>7000</v>
      </c>
      <c r="O123" s="23">
        <v>2350</v>
      </c>
      <c r="P123" t="s">
        <v>27</v>
      </c>
    </row>
    <row r="124" spans="1:16" x14ac:dyDescent="0.35">
      <c r="A124" s="18">
        <v>45841</v>
      </c>
      <c r="B124" s="18" t="s">
        <v>1132</v>
      </c>
      <c r="C124" t="s">
        <v>1130</v>
      </c>
      <c r="D124" t="s">
        <v>8</v>
      </c>
      <c r="E124" t="s">
        <v>416</v>
      </c>
      <c r="F124" t="s">
        <v>619</v>
      </c>
      <c r="G124" s="46">
        <v>49</v>
      </c>
      <c r="H124" t="s">
        <v>77</v>
      </c>
      <c r="I124" t="str">
        <f>VLOOKUP(Tabla5[[#This Row],[Producto]],Referencia!$E$2:$F$238,2,0)</f>
        <v>P74</v>
      </c>
      <c r="J124" t="s">
        <v>434</v>
      </c>
      <c r="K124" s="47">
        <v>1</v>
      </c>
      <c r="L124" t="s">
        <v>74</v>
      </c>
      <c r="M124" s="23">
        <v>35000</v>
      </c>
      <c r="N124" s="23">
        <v>60000</v>
      </c>
      <c r="O124" s="23">
        <v>25000</v>
      </c>
      <c r="P124" t="s">
        <v>27</v>
      </c>
    </row>
    <row r="125" spans="1:16" x14ac:dyDescent="0.35">
      <c r="A125" s="18">
        <v>45841</v>
      </c>
      <c r="B125" s="18" t="s">
        <v>1132</v>
      </c>
      <c r="C125" t="s">
        <v>1130</v>
      </c>
      <c r="D125" t="s">
        <v>8</v>
      </c>
      <c r="E125" t="s">
        <v>174</v>
      </c>
      <c r="F125" t="s">
        <v>619</v>
      </c>
      <c r="G125" s="46">
        <v>78</v>
      </c>
      <c r="H125" t="s">
        <v>471</v>
      </c>
      <c r="I125" t="str">
        <f>VLOOKUP(Tabla5[[#This Row],[Producto]],Referencia!$E$2:$F$238,2,0)</f>
        <v>P100</v>
      </c>
      <c r="J125" t="s">
        <v>472</v>
      </c>
      <c r="K125" s="47">
        <v>1</v>
      </c>
      <c r="L125" t="s">
        <v>1067</v>
      </c>
      <c r="M125" s="23">
        <v>140000</v>
      </c>
      <c r="N125" s="23">
        <v>200000</v>
      </c>
      <c r="O125" s="23">
        <v>60000</v>
      </c>
      <c r="P125" t="s">
        <v>27</v>
      </c>
    </row>
    <row r="126" spans="1:16" x14ac:dyDescent="0.35">
      <c r="A126" s="18">
        <v>45841</v>
      </c>
      <c r="B126" s="18" t="s">
        <v>1132</v>
      </c>
      <c r="C126" t="s">
        <v>1130</v>
      </c>
      <c r="D126" t="s">
        <v>8</v>
      </c>
      <c r="E126" t="s">
        <v>174</v>
      </c>
      <c r="F126" t="s">
        <v>619</v>
      </c>
      <c r="G126" s="46">
        <v>78</v>
      </c>
      <c r="H126" t="s">
        <v>471</v>
      </c>
      <c r="I126" t="str">
        <f>VLOOKUP(Tabla5[[#This Row],[Producto]],Referencia!$E$2:$F$238,2,0)</f>
        <v>P101</v>
      </c>
      <c r="J126" t="s">
        <v>473</v>
      </c>
      <c r="K126" s="47">
        <v>1</v>
      </c>
      <c r="L126" t="s">
        <v>1067</v>
      </c>
      <c r="M126" s="23">
        <v>100000</v>
      </c>
      <c r="N126" s="23">
        <v>200000</v>
      </c>
      <c r="O126" s="23">
        <v>100000</v>
      </c>
      <c r="P126" t="s">
        <v>27</v>
      </c>
    </row>
    <row r="127" spans="1:16" x14ac:dyDescent="0.35">
      <c r="A127" s="18">
        <v>45841</v>
      </c>
      <c r="B127" s="18" t="s">
        <v>1132</v>
      </c>
      <c r="C127" t="s">
        <v>1130</v>
      </c>
      <c r="D127" t="s">
        <v>8</v>
      </c>
      <c r="E127" t="s">
        <v>174</v>
      </c>
      <c r="F127" t="s">
        <v>619</v>
      </c>
      <c r="G127" s="46">
        <v>35</v>
      </c>
      <c r="H127" t="s">
        <v>173</v>
      </c>
      <c r="I127" t="str">
        <f>VLOOKUP(Tabla5[[#This Row],[Producto]],Referencia!$E$2:$F$238,2,0)</f>
        <v>P92</v>
      </c>
      <c r="J127" t="s">
        <v>460</v>
      </c>
      <c r="K127" s="47">
        <v>1</v>
      </c>
      <c r="L127" t="s">
        <v>1067</v>
      </c>
      <c r="M127" s="23">
        <v>100000</v>
      </c>
      <c r="N127" s="23">
        <v>190000</v>
      </c>
      <c r="O127" s="23">
        <v>90000</v>
      </c>
      <c r="P127" t="s">
        <v>27</v>
      </c>
    </row>
    <row r="128" spans="1:16" x14ac:dyDescent="0.35">
      <c r="A128" s="18">
        <v>45847</v>
      </c>
      <c r="B128" s="18" t="s">
        <v>1132</v>
      </c>
      <c r="C128" t="s">
        <v>1130</v>
      </c>
      <c r="D128" t="s">
        <v>415</v>
      </c>
      <c r="E128" t="s">
        <v>82</v>
      </c>
      <c r="F128" t="s">
        <v>619</v>
      </c>
      <c r="G128" s="46">
        <v>67</v>
      </c>
      <c r="H128" t="s">
        <v>217</v>
      </c>
      <c r="I128" t="str">
        <f>VLOOKUP(Tabla5[[#This Row],[Producto]],Referencia!$E$2:$F$238,2,0)</f>
        <v>P73</v>
      </c>
      <c r="J128" t="s">
        <v>433</v>
      </c>
      <c r="K128" s="47">
        <v>1</v>
      </c>
      <c r="L128" t="s">
        <v>1067</v>
      </c>
      <c r="M128" s="23">
        <v>100000</v>
      </c>
      <c r="N128" s="23">
        <v>185000</v>
      </c>
      <c r="O128" s="23">
        <v>85000</v>
      </c>
      <c r="P128" t="s">
        <v>23</v>
      </c>
    </row>
    <row r="129" spans="1:16" x14ac:dyDescent="0.35">
      <c r="A129" s="18">
        <v>45847</v>
      </c>
      <c r="B129" s="18" t="s">
        <v>1132</v>
      </c>
      <c r="C129" t="s">
        <v>1130</v>
      </c>
      <c r="D129" t="s">
        <v>415</v>
      </c>
      <c r="E129" t="s">
        <v>82</v>
      </c>
      <c r="F129" t="s">
        <v>619</v>
      </c>
      <c r="G129" s="46">
        <v>67</v>
      </c>
      <c r="H129" t="s">
        <v>217</v>
      </c>
      <c r="I129" t="str">
        <f>VLOOKUP(Tabla5[[#This Row],[Producto]],Referencia!$E$2:$F$238,2,0)</f>
        <v>P102</v>
      </c>
      <c r="J129" t="s">
        <v>475</v>
      </c>
      <c r="K129" s="47">
        <v>1</v>
      </c>
      <c r="L129" t="s">
        <v>1064</v>
      </c>
      <c r="M129" s="23">
        <v>38560</v>
      </c>
      <c r="N129" s="23">
        <v>75000</v>
      </c>
      <c r="O129" s="23">
        <v>36440</v>
      </c>
      <c r="P129" t="s">
        <v>23</v>
      </c>
    </row>
    <row r="130" spans="1:16" x14ac:dyDescent="0.35">
      <c r="A130" s="18">
        <v>45847</v>
      </c>
      <c r="B130" s="18" t="s">
        <v>1132</v>
      </c>
      <c r="C130" t="s">
        <v>1130</v>
      </c>
      <c r="D130" t="s">
        <v>9</v>
      </c>
      <c r="E130" t="s">
        <v>122</v>
      </c>
      <c r="F130" t="s">
        <v>619</v>
      </c>
      <c r="G130" s="46">
        <v>8</v>
      </c>
      <c r="H130" t="s">
        <v>476</v>
      </c>
      <c r="I130" t="str">
        <f>VLOOKUP(Tabla5[[#This Row],[Producto]],Referencia!$E$2:$F$238,2,0)</f>
        <v>P27</v>
      </c>
      <c r="J130" t="s">
        <v>60</v>
      </c>
      <c r="K130" s="47">
        <v>1</v>
      </c>
      <c r="L130" t="s">
        <v>1067</v>
      </c>
      <c r="M130" s="23">
        <v>105000</v>
      </c>
      <c r="N130" s="23">
        <v>150000</v>
      </c>
      <c r="O130" s="23">
        <v>45000</v>
      </c>
      <c r="P130" t="s">
        <v>23</v>
      </c>
    </row>
    <row r="131" spans="1:16" x14ac:dyDescent="0.35">
      <c r="A131" s="18">
        <v>45847</v>
      </c>
      <c r="B131" s="18" t="s">
        <v>1132</v>
      </c>
      <c r="C131" t="s">
        <v>1130</v>
      </c>
      <c r="D131" t="s">
        <v>615</v>
      </c>
      <c r="E131" t="s">
        <v>129</v>
      </c>
      <c r="F131" t="s">
        <v>617</v>
      </c>
      <c r="G131" s="46" t="s">
        <v>618</v>
      </c>
      <c r="H131" t="s">
        <v>477</v>
      </c>
      <c r="I131" t="str">
        <f>VLOOKUP(Tabla5[[#This Row],[Producto]],Referencia!$E$2:$F$238,2,0)</f>
        <v>P64</v>
      </c>
      <c r="J131" t="s">
        <v>420</v>
      </c>
      <c r="K131" s="47">
        <v>1</v>
      </c>
      <c r="L131" t="s">
        <v>1067</v>
      </c>
      <c r="M131" s="23">
        <v>125000</v>
      </c>
      <c r="N131" s="23">
        <v>220000</v>
      </c>
      <c r="O131" s="23">
        <v>95000</v>
      </c>
      <c r="P131" t="s">
        <v>23</v>
      </c>
    </row>
    <row r="132" spans="1:16" x14ac:dyDescent="0.35">
      <c r="A132" s="18">
        <v>45847</v>
      </c>
      <c r="B132" s="18" t="s">
        <v>1132</v>
      </c>
      <c r="C132" t="s">
        <v>1130</v>
      </c>
      <c r="D132" t="s">
        <v>615</v>
      </c>
      <c r="E132" t="s">
        <v>127</v>
      </c>
      <c r="F132" t="s">
        <v>619</v>
      </c>
      <c r="G132" s="46">
        <v>6</v>
      </c>
      <c r="H132" t="s">
        <v>126</v>
      </c>
      <c r="I132" t="str">
        <f>VLOOKUP(Tabla5[[#This Row],[Producto]],Referencia!$E$2:$F$238,2,0)</f>
        <v>P103</v>
      </c>
      <c r="J132" t="s">
        <v>478</v>
      </c>
      <c r="K132" s="47">
        <v>1</v>
      </c>
      <c r="L132" t="s">
        <v>1069</v>
      </c>
      <c r="M132" s="23">
        <v>41650</v>
      </c>
      <c r="N132" s="23">
        <v>70000</v>
      </c>
      <c r="O132" s="23">
        <v>28350</v>
      </c>
      <c r="P132" t="s">
        <v>27</v>
      </c>
    </row>
    <row r="133" spans="1:16" x14ac:dyDescent="0.35">
      <c r="A133" s="18">
        <v>45847</v>
      </c>
      <c r="B133" s="18" t="s">
        <v>1132</v>
      </c>
      <c r="C133" t="s">
        <v>1130</v>
      </c>
      <c r="D133" t="s">
        <v>615</v>
      </c>
      <c r="E133" t="s">
        <v>129</v>
      </c>
      <c r="F133" t="s">
        <v>617</v>
      </c>
      <c r="G133" s="46" t="s">
        <v>618</v>
      </c>
      <c r="H133" t="s">
        <v>477</v>
      </c>
      <c r="I133" t="str">
        <f>VLOOKUP(Tabla5[[#This Row],[Producto]],Referencia!$E$2:$F$238,2,0)</f>
        <v>P104</v>
      </c>
      <c r="J133" t="s">
        <v>479</v>
      </c>
      <c r="K133" s="47">
        <v>1</v>
      </c>
      <c r="L133" t="s">
        <v>1067</v>
      </c>
      <c r="M133" s="23">
        <v>110000</v>
      </c>
      <c r="N133" s="23">
        <v>250000</v>
      </c>
      <c r="O133" s="23">
        <v>140000</v>
      </c>
      <c r="P133" t="s">
        <v>23</v>
      </c>
    </row>
    <row r="134" spans="1:16" x14ac:dyDescent="0.35">
      <c r="A134" s="18">
        <v>45847</v>
      </c>
      <c r="B134" s="18" t="s">
        <v>1132</v>
      </c>
      <c r="C134" t="s">
        <v>1130</v>
      </c>
      <c r="D134" t="s">
        <v>415</v>
      </c>
      <c r="E134" t="s">
        <v>82</v>
      </c>
      <c r="F134" t="s">
        <v>619</v>
      </c>
      <c r="G134" s="46">
        <v>19</v>
      </c>
      <c r="H134" t="s">
        <v>154</v>
      </c>
      <c r="I134" t="str">
        <f>VLOOKUP(Tabla5[[#This Row],[Producto]],Referencia!$E$2:$F$238,2,0)</f>
        <v>P7</v>
      </c>
      <c r="J134" t="s">
        <v>631</v>
      </c>
      <c r="K134" s="47">
        <v>1</v>
      </c>
      <c r="L134" t="s">
        <v>1065</v>
      </c>
      <c r="M134" s="23">
        <v>138000</v>
      </c>
      <c r="N134" s="23">
        <v>216000</v>
      </c>
      <c r="O134" s="23">
        <v>78000</v>
      </c>
      <c r="P134" t="s">
        <v>27</v>
      </c>
    </row>
    <row r="135" spans="1:16" x14ac:dyDescent="0.35">
      <c r="A135" s="18">
        <v>45847</v>
      </c>
      <c r="B135" s="18" t="s">
        <v>1132</v>
      </c>
      <c r="C135" t="s">
        <v>1130</v>
      </c>
      <c r="D135" t="s">
        <v>615</v>
      </c>
      <c r="E135" t="s">
        <v>129</v>
      </c>
      <c r="F135" t="s">
        <v>619</v>
      </c>
      <c r="G135" s="46">
        <v>23</v>
      </c>
      <c r="H135" t="s">
        <v>480</v>
      </c>
      <c r="I135" t="str">
        <f>VLOOKUP(Tabla5[[#This Row],[Producto]],Referencia!$E$2:$F$238,2,0)</f>
        <v>P105</v>
      </c>
      <c r="J135" t="s">
        <v>481</v>
      </c>
      <c r="K135" s="47">
        <v>1</v>
      </c>
      <c r="L135" t="s">
        <v>1075</v>
      </c>
      <c r="M135" s="23">
        <v>25300</v>
      </c>
      <c r="N135" s="23">
        <v>45000</v>
      </c>
      <c r="O135" s="23">
        <v>19700</v>
      </c>
      <c r="P135" t="s">
        <v>27</v>
      </c>
    </row>
    <row r="136" spans="1:16" x14ac:dyDescent="0.35">
      <c r="A136" s="18">
        <v>45847</v>
      </c>
      <c r="B136" s="18" t="s">
        <v>1132</v>
      </c>
      <c r="C136" t="s">
        <v>1130</v>
      </c>
      <c r="D136" t="s">
        <v>615</v>
      </c>
      <c r="E136" t="s">
        <v>129</v>
      </c>
      <c r="F136" t="s">
        <v>619</v>
      </c>
      <c r="G136" s="46">
        <v>23</v>
      </c>
      <c r="H136" t="s">
        <v>480</v>
      </c>
      <c r="I136" t="str">
        <f>VLOOKUP(Tabla5[[#This Row],[Producto]],Referencia!$E$2:$F$238,2,0)</f>
        <v>P106</v>
      </c>
      <c r="J136" t="s">
        <v>482</v>
      </c>
      <c r="K136" s="47">
        <v>1</v>
      </c>
      <c r="L136" t="s">
        <v>1075</v>
      </c>
      <c r="M136" s="23">
        <v>87800</v>
      </c>
      <c r="N136" s="23">
        <v>110000</v>
      </c>
      <c r="O136" s="23">
        <v>22200</v>
      </c>
      <c r="P136" t="s">
        <v>27</v>
      </c>
    </row>
    <row r="137" spans="1:16" x14ac:dyDescent="0.35">
      <c r="A137" s="18">
        <v>45847</v>
      </c>
      <c r="B137" s="18" t="s">
        <v>1132</v>
      </c>
      <c r="C137" t="s">
        <v>1130</v>
      </c>
      <c r="D137" t="s">
        <v>615</v>
      </c>
      <c r="E137" t="s">
        <v>129</v>
      </c>
      <c r="F137" t="s">
        <v>619</v>
      </c>
      <c r="G137" s="46">
        <v>23</v>
      </c>
      <c r="H137" t="s">
        <v>480</v>
      </c>
      <c r="I137" t="str">
        <f>VLOOKUP(Tabla5[[#This Row],[Producto]],Referencia!$E$2:$F$238,2,0)</f>
        <v>P107</v>
      </c>
      <c r="J137" t="s">
        <v>483</v>
      </c>
      <c r="K137" s="47">
        <v>1</v>
      </c>
      <c r="L137" t="s">
        <v>1063</v>
      </c>
      <c r="M137" s="23">
        <v>20800</v>
      </c>
      <c r="N137" s="23">
        <v>50000</v>
      </c>
      <c r="O137" s="23">
        <v>29200</v>
      </c>
      <c r="P137" t="s">
        <v>27</v>
      </c>
    </row>
    <row r="138" spans="1:16" x14ac:dyDescent="0.35">
      <c r="A138" s="18">
        <v>45847</v>
      </c>
      <c r="B138" s="18" t="s">
        <v>1132</v>
      </c>
      <c r="C138" t="s">
        <v>1130</v>
      </c>
      <c r="D138" t="s">
        <v>615</v>
      </c>
      <c r="E138" t="s">
        <v>127</v>
      </c>
      <c r="F138" t="s">
        <v>619</v>
      </c>
      <c r="G138" s="46">
        <v>178</v>
      </c>
      <c r="H138" t="s">
        <v>424</v>
      </c>
      <c r="I138" t="str">
        <f>VLOOKUP(Tabla5[[#This Row],[Producto]],Referencia!$E$2:$F$238,2,0)</f>
        <v>P108</v>
      </c>
      <c r="J138" t="s">
        <v>484</v>
      </c>
      <c r="K138" s="47">
        <v>1</v>
      </c>
      <c r="L138" t="s">
        <v>1075</v>
      </c>
      <c r="M138" s="23">
        <v>363188</v>
      </c>
      <c r="N138" s="23">
        <v>390000</v>
      </c>
      <c r="O138" s="23">
        <v>26812</v>
      </c>
      <c r="P138" t="s">
        <v>23</v>
      </c>
    </row>
    <row r="139" spans="1:16" x14ac:dyDescent="0.35">
      <c r="A139" s="18">
        <v>45848</v>
      </c>
      <c r="B139" s="18" t="s">
        <v>1132</v>
      </c>
      <c r="C139" t="s">
        <v>1130</v>
      </c>
      <c r="D139" t="s">
        <v>8</v>
      </c>
      <c r="E139" t="s">
        <v>109</v>
      </c>
      <c r="F139" t="s">
        <v>619</v>
      </c>
      <c r="G139" s="46">
        <v>2</v>
      </c>
      <c r="H139" t="s">
        <v>112</v>
      </c>
      <c r="I139" t="str">
        <f>VLOOKUP(Tabla5[[#This Row],[Producto]],Referencia!$E$2:$F$238,2,0)</f>
        <v>P18</v>
      </c>
      <c r="J139" t="s">
        <v>47</v>
      </c>
      <c r="K139" s="47">
        <v>1</v>
      </c>
      <c r="L139" t="s">
        <v>1063</v>
      </c>
      <c r="M139" s="23">
        <v>116000</v>
      </c>
      <c r="N139" s="23">
        <v>190000</v>
      </c>
      <c r="O139" s="23">
        <v>74000</v>
      </c>
      <c r="P139" t="s">
        <v>27</v>
      </c>
    </row>
    <row r="140" spans="1:16" x14ac:dyDescent="0.35">
      <c r="A140" s="18">
        <v>45848</v>
      </c>
      <c r="B140" s="18" t="s">
        <v>1132</v>
      </c>
      <c r="C140" t="s">
        <v>1130</v>
      </c>
      <c r="D140" t="s">
        <v>8</v>
      </c>
      <c r="E140" t="s">
        <v>109</v>
      </c>
      <c r="F140" t="s">
        <v>619</v>
      </c>
      <c r="G140" s="46">
        <v>2</v>
      </c>
      <c r="H140" t="s">
        <v>112</v>
      </c>
      <c r="I140" t="str">
        <f>VLOOKUP(Tabla5[[#This Row],[Producto]],Referencia!$E$2:$F$238,2,0)</f>
        <v>P109</v>
      </c>
      <c r="J140" t="s">
        <v>486</v>
      </c>
      <c r="K140" s="47">
        <v>3</v>
      </c>
      <c r="L140" t="s">
        <v>1064</v>
      </c>
      <c r="M140" s="23">
        <v>146400</v>
      </c>
      <c r="N140" s="23">
        <v>180000</v>
      </c>
      <c r="O140" s="23">
        <v>33600</v>
      </c>
      <c r="P140" t="s">
        <v>27</v>
      </c>
    </row>
    <row r="141" spans="1:16" x14ac:dyDescent="0.35">
      <c r="A141" s="18">
        <v>45848</v>
      </c>
      <c r="B141" s="18" t="s">
        <v>1132</v>
      </c>
      <c r="C141" t="s">
        <v>1130</v>
      </c>
      <c r="D141" t="s">
        <v>8</v>
      </c>
      <c r="E141" t="s">
        <v>109</v>
      </c>
      <c r="F141" t="s">
        <v>619</v>
      </c>
      <c r="G141" s="46">
        <v>1</v>
      </c>
      <c r="H141" t="s">
        <v>108</v>
      </c>
      <c r="I141" t="str">
        <f>VLOOKUP(Tabla5[[#This Row],[Producto]],Referencia!$E$2:$F$238,2,0)</f>
        <v>P40</v>
      </c>
      <c r="J141" t="s">
        <v>75</v>
      </c>
      <c r="K141" s="47">
        <v>1</v>
      </c>
      <c r="L141" t="s">
        <v>1063</v>
      </c>
      <c r="M141" s="23">
        <v>217005</v>
      </c>
      <c r="N141" s="23">
        <v>380000</v>
      </c>
      <c r="O141" s="23">
        <v>162995</v>
      </c>
      <c r="P141" t="s">
        <v>27</v>
      </c>
    </row>
    <row r="142" spans="1:16" x14ac:dyDescent="0.35">
      <c r="A142" s="18">
        <v>45848</v>
      </c>
      <c r="B142" s="18" t="s">
        <v>1132</v>
      </c>
      <c r="C142" t="s">
        <v>1130</v>
      </c>
      <c r="D142" t="s">
        <v>8</v>
      </c>
      <c r="E142" t="s">
        <v>416</v>
      </c>
      <c r="F142" t="s">
        <v>619</v>
      </c>
      <c r="G142" s="46">
        <v>49</v>
      </c>
      <c r="H142" t="s">
        <v>77</v>
      </c>
      <c r="I142" t="str">
        <f>VLOOKUP(Tabla5[[#This Row],[Producto]],Referencia!$E$2:$F$238,2,0)</f>
        <v>P110</v>
      </c>
      <c r="J142" t="s">
        <v>487</v>
      </c>
      <c r="K142" s="47">
        <v>1</v>
      </c>
      <c r="L142" t="s">
        <v>1067</v>
      </c>
      <c r="M142" s="23">
        <v>150000</v>
      </c>
      <c r="N142" s="23">
        <v>290000</v>
      </c>
      <c r="O142" s="23">
        <v>140000</v>
      </c>
      <c r="P142" t="s">
        <v>27</v>
      </c>
    </row>
    <row r="143" spans="1:16" x14ac:dyDescent="0.35">
      <c r="A143" s="18">
        <v>45848</v>
      </c>
      <c r="B143" s="18" t="s">
        <v>1132</v>
      </c>
      <c r="C143" t="s">
        <v>1130</v>
      </c>
      <c r="D143" t="s">
        <v>8</v>
      </c>
      <c r="E143" t="s">
        <v>416</v>
      </c>
      <c r="F143" t="s">
        <v>619</v>
      </c>
      <c r="G143" s="46">
        <v>49</v>
      </c>
      <c r="H143" t="s">
        <v>77</v>
      </c>
      <c r="I143" t="str">
        <f>VLOOKUP(Tabla5[[#This Row],[Producto]],Referencia!$E$2:$F$238,2,0)</f>
        <v>P27</v>
      </c>
      <c r="J143" t="s">
        <v>60</v>
      </c>
      <c r="K143" s="47">
        <v>1</v>
      </c>
      <c r="L143" t="s">
        <v>1067</v>
      </c>
      <c r="M143" s="23">
        <v>5000</v>
      </c>
      <c r="N143" s="23">
        <v>0</v>
      </c>
      <c r="O143" s="23">
        <v>-5000</v>
      </c>
      <c r="P143" t="s">
        <v>27</v>
      </c>
    </row>
    <row r="144" spans="1:16" x14ac:dyDescent="0.35">
      <c r="A144" s="18">
        <v>45848</v>
      </c>
      <c r="B144" s="18" t="s">
        <v>1132</v>
      </c>
      <c r="C144" t="s">
        <v>1130</v>
      </c>
      <c r="D144" t="s">
        <v>8</v>
      </c>
      <c r="E144" t="s">
        <v>416</v>
      </c>
      <c r="F144" t="s">
        <v>619</v>
      </c>
      <c r="G144" s="46">
        <v>49</v>
      </c>
      <c r="H144" t="s">
        <v>77</v>
      </c>
      <c r="I144" t="str">
        <f>VLOOKUP(Tabla5[[#This Row],[Producto]],Referencia!$E$2:$F$238,2,0)</f>
        <v>P111</v>
      </c>
      <c r="J144" t="s">
        <v>488</v>
      </c>
      <c r="K144" s="47">
        <v>1</v>
      </c>
      <c r="L144" t="s">
        <v>1063</v>
      </c>
      <c r="M144" s="23">
        <v>20111</v>
      </c>
      <c r="N144" s="23">
        <v>35000</v>
      </c>
      <c r="O144" s="23">
        <v>14889</v>
      </c>
      <c r="P144" t="s">
        <v>27</v>
      </c>
    </row>
    <row r="145" spans="1:16" x14ac:dyDescent="0.35">
      <c r="A145" s="18">
        <v>45848</v>
      </c>
      <c r="B145" s="18" t="s">
        <v>1132</v>
      </c>
      <c r="C145" t="s">
        <v>1130</v>
      </c>
      <c r="D145" t="s">
        <v>8</v>
      </c>
      <c r="E145" t="s">
        <v>416</v>
      </c>
      <c r="F145" t="s">
        <v>619</v>
      </c>
      <c r="G145" s="46">
        <v>49</v>
      </c>
      <c r="H145" t="s">
        <v>77</v>
      </c>
      <c r="I145" t="str">
        <f>VLOOKUP(Tabla5[[#This Row],[Producto]],Referencia!$E$2:$F$238,2,0)</f>
        <v>P112</v>
      </c>
      <c r="J145" t="s">
        <v>489</v>
      </c>
      <c r="K145" s="47">
        <v>1</v>
      </c>
      <c r="L145" t="s">
        <v>1063</v>
      </c>
      <c r="M145" s="23">
        <v>4000</v>
      </c>
      <c r="N145" s="23">
        <v>6500</v>
      </c>
      <c r="O145" s="23">
        <v>2500</v>
      </c>
      <c r="P145" t="s">
        <v>27</v>
      </c>
    </row>
    <row r="146" spans="1:16" x14ac:dyDescent="0.35">
      <c r="A146" s="18">
        <v>45848</v>
      </c>
      <c r="B146" s="18" t="s">
        <v>1132</v>
      </c>
      <c r="C146" t="s">
        <v>1130</v>
      </c>
      <c r="D146" t="s">
        <v>8</v>
      </c>
      <c r="E146" t="s">
        <v>416</v>
      </c>
      <c r="F146" t="s">
        <v>619</v>
      </c>
      <c r="G146" s="46">
        <v>29</v>
      </c>
      <c r="H146" t="s">
        <v>441</v>
      </c>
      <c r="I146" t="str">
        <f>VLOOKUP(Tabla5[[#This Row],[Producto]],Referencia!$E$2:$F$238,2,0)</f>
        <v>P111</v>
      </c>
      <c r="J146" t="s">
        <v>488</v>
      </c>
      <c r="K146" s="47">
        <v>1</v>
      </c>
      <c r="L146" t="s">
        <v>1063</v>
      </c>
      <c r="M146" s="23">
        <v>20111</v>
      </c>
      <c r="N146" s="23">
        <v>35000</v>
      </c>
      <c r="O146" s="23">
        <v>14889</v>
      </c>
      <c r="P146" t="s">
        <v>27</v>
      </c>
    </row>
    <row r="147" spans="1:16" x14ac:dyDescent="0.35">
      <c r="A147" s="18">
        <v>45848</v>
      </c>
      <c r="B147" s="18" t="s">
        <v>1132</v>
      </c>
      <c r="C147" t="s">
        <v>1130</v>
      </c>
      <c r="D147" t="s">
        <v>8</v>
      </c>
      <c r="E147" t="s">
        <v>416</v>
      </c>
      <c r="F147" t="s">
        <v>619</v>
      </c>
      <c r="G147" s="46">
        <v>29</v>
      </c>
      <c r="H147" t="s">
        <v>441</v>
      </c>
      <c r="I147" t="str">
        <f>VLOOKUP(Tabla5[[#This Row],[Producto]],Referencia!$E$2:$F$238,2,0)</f>
        <v>P113</v>
      </c>
      <c r="J147" t="s">
        <v>490</v>
      </c>
      <c r="K147" s="47">
        <v>1</v>
      </c>
      <c r="L147" t="s">
        <v>1063</v>
      </c>
      <c r="M147" s="23">
        <v>36076</v>
      </c>
      <c r="N147" s="23">
        <v>70000</v>
      </c>
      <c r="O147" s="23">
        <v>33924</v>
      </c>
      <c r="P147" t="s">
        <v>27</v>
      </c>
    </row>
    <row r="148" spans="1:16" x14ac:dyDescent="0.35">
      <c r="A148" s="18">
        <v>45848</v>
      </c>
      <c r="B148" s="18" t="s">
        <v>1132</v>
      </c>
      <c r="C148" t="s">
        <v>1130</v>
      </c>
      <c r="D148" t="s">
        <v>8</v>
      </c>
      <c r="E148" t="s">
        <v>416</v>
      </c>
      <c r="F148" t="s">
        <v>619</v>
      </c>
      <c r="G148" s="46">
        <v>29</v>
      </c>
      <c r="H148" t="s">
        <v>441</v>
      </c>
      <c r="I148" t="str">
        <f>VLOOKUP(Tabla5[[#This Row],[Producto]],Referencia!$E$2:$F$238,2,0)</f>
        <v>P27</v>
      </c>
      <c r="J148" t="s">
        <v>60</v>
      </c>
      <c r="K148" s="47">
        <v>1</v>
      </c>
      <c r="L148" t="s">
        <v>1067</v>
      </c>
      <c r="M148" s="23">
        <v>5000</v>
      </c>
      <c r="N148" s="23">
        <v>10000</v>
      </c>
      <c r="O148" s="23">
        <v>5000</v>
      </c>
      <c r="P148" t="s">
        <v>27</v>
      </c>
    </row>
    <row r="149" spans="1:16" x14ac:dyDescent="0.35">
      <c r="A149" s="18">
        <v>45848</v>
      </c>
      <c r="B149" s="18" t="s">
        <v>1132</v>
      </c>
      <c r="C149" t="s">
        <v>1130</v>
      </c>
      <c r="D149" t="s">
        <v>8</v>
      </c>
      <c r="E149" t="s">
        <v>416</v>
      </c>
      <c r="F149" t="s">
        <v>619</v>
      </c>
      <c r="G149" s="46">
        <v>29</v>
      </c>
      <c r="H149" t="s">
        <v>441</v>
      </c>
      <c r="I149" t="str">
        <f>VLOOKUP(Tabla5[[#This Row],[Producto]],Referencia!$E$2:$F$238,2,0)</f>
        <v>P74</v>
      </c>
      <c r="J149" t="s">
        <v>434</v>
      </c>
      <c r="K149" s="47">
        <v>1</v>
      </c>
      <c r="L149" t="s">
        <v>74</v>
      </c>
      <c r="M149" s="23">
        <v>35000</v>
      </c>
      <c r="N149" s="23">
        <v>60000</v>
      </c>
      <c r="O149" s="23">
        <v>25000</v>
      </c>
      <c r="P149" t="s">
        <v>27</v>
      </c>
    </row>
    <row r="150" spans="1:16" x14ac:dyDescent="0.35">
      <c r="A150" s="18">
        <v>45848</v>
      </c>
      <c r="B150" s="18" t="s">
        <v>1132</v>
      </c>
      <c r="C150" t="s">
        <v>1130</v>
      </c>
      <c r="D150" t="s">
        <v>8</v>
      </c>
      <c r="E150" t="s">
        <v>109</v>
      </c>
      <c r="F150" t="s">
        <v>617</v>
      </c>
      <c r="G150" s="46" t="s">
        <v>618</v>
      </c>
      <c r="H150" t="s">
        <v>477</v>
      </c>
      <c r="I150" t="str">
        <f>VLOOKUP(Tabla5[[#This Row],[Producto]],Referencia!$E$2:$F$238,2,0)</f>
        <v>P114</v>
      </c>
      <c r="J150" t="s">
        <v>491</v>
      </c>
      <c r="K150" s="47">
        <v>1</v>
      </c>
      <c r="L150" t="s">
        <v>1078</v>
      </c>
      <c r="M150" s="23">
        <v>55000</v>
      </c>
      <c r="N150" s="23">
        <v>90000</v>
      </c>
      <c r="O150" s="23">
        <v>35000</v>
      </c>
      <c r="P150" t="s">
        <v>23</v>
      </c>
    </row>
    <row r="151" spans="1:16" x14ac:dyDescent="0.35">
      <c r="A151" s="18">
        <v>45848</v>
      </c>
      <c r="B151" s="18" t="s">
        <v>1132</v>
      </c>
      <c r="C151" t="s">
        <v>1130</v>
      </c>
      <c r="D151" t="s">
        <v>8</v>
      </c>
      <c r="E151" t="s">
        <v>174</v>
      </c>
      <c r="F151" t="s">
        <v>619</v>
      </c>
      <c r="G151" s="46">
        <v>76</v>
      </c>
      <c r="H151" t="s">
        <v>492</v>
      </c>
      <c r="I151" t="str">
        <f>VLOOKUP(Tabla5[[#This Row],[Producto]],Referencia!$E$2:$F$238,2,0)</f>
        <v>P6</v>
      </c>
      <c r="J151" t="s">
        <v>627</v>
      </c>
      <c r="K151" s="47">
        <v>1</v>
      </c>
      <c r="L151" t="s">
        <v>31</v>
      </c>
      <c r="M151" s="23">
        <v>20000</v>
      </c>
      <c r="N151" s="23">
        <v>30000</v>
      </c>
      <c r="O151" s="23">
        <v>10000</v>
      </c>
      <c r="P151" t="s">
        <v>23</v>
      </c>
    </row>
    <row r="152" spans="1:16" x14ac:dyDescent="0.35">
      <c r="A152" s="18">
        <v>45848</v>
      </c>
      <c r="B152" s="18" t="s">
        <v>1132</v>
      </c>
      <c r="C152" t="s">
        <v>1130</v>
      </c>
      <c r="D152" t="s">
        <v>8</v>
      </c>
      <c r="E152" t="s">
        <v>174</v>
      </c>
      <c r="F152" t="s">
        <v>619</v>
      </c>
      <c r="G152" s="46">
        <v>76</v>
      </c>
      <c r="H152" t="s">
        <v>492</v>
      </c>
      <c r="I152" t="str">
        <f>VLOOKUP(Tabla5[[#This Row],[Producto]],Referencia!$E$2:$F$238,2,0)</f>
        <v>P115</v>
      </c>
      <c r="J152" t="s">
        <v>493</v>
      </c>
      <c r="K152" s="47">
        <v>1</v>
      </c>
      <c r="L152" t="s">
        <v>1063</v>
      </c>
      <c r="M152" s="23">
        <v>75000</v>
      </c>
      <c r="N152" s="23">
        <v>160000</v>
      </c>
      <c r="O152" s="23">
        <v>85000</v>
      </c>
      <c r="P152" t="s">
        <v>27</v>
      </c>
    </row>
    <row r="153" spans="1:16" x14ac:dyDescent="0.35">
      <c r="A153" s="18">
        <v>45848</v>
      </c>
      <c r="B153" s="18" t="s">
        <v>1132</v>
      </c>
      <c r="C153" t="s">
        <v>1130</v>
      </c>
      <c r="D153" t="s">
        <v>8</v>
      </c>
      <c r="E153" t="s">
        <v>174</v>
      </c>
      <c r="F153" t="s">
        <v>619</v>
      </c>
      <c r="G153" s="46">
        <v>76</v>
      </c>
      <c r="H153" t="s">
        <v>492</v>
      </c>
      <c r="I153" t="str">
        <f>VLOOKUP(Tabla5[[#This Row],[Producto]],Referencia!$E$2:$F$238,2,0)</f>
        <v>P116</v>
      </c>
      <c r="J153" t="s">
        <v>494</v>
      </c>
      <c r="K153" s="47">
        <v>1</v>
      </c>
      <c r="L153" t="s">
        <v>1063</v>
      </c>
      <c r="M153" s="23">
        <v>15605</v>
      </c>
      <c r="N153" s="23">
        <v>25000</v>
      </c>
      <c r="O153" s="23">
        <v>9395</v>
      </c>
      <c r="P153" t="s">
        <v>27</v>
      </c>
    </row>
    <row r="154" spans="1:16" x14ac:dyDescent="0.35">
      <c r="A154" s="18">
        <v>45848</v>
      </c>
      <c r="B154" s="18" t="s">
        <v>1132</v>
      </c>
      <c r="C154" t="s">
        <v>1130</v>
      </c>
      <c r="D154" t="s">
        <v>8</v>
      </c>
      <c r="E154" t="s">
        <v>174</v>
      </c>
      <c r="F154" t="s">
        <v>619</v>
      </c>
      <c r="G154" s="46">
        <v>76</v>
      </c>
      <c r="H154" t="s">
        <v>492</v>
      </c>
      <c r="I154" t="str">
        <f>VLOOKUP(Tabla5[[#This Row],[Producto]],Referencia!$E$2:$F$238,2,0)</f>
        <v>P117</v>
      </c>
      <c r="J154" t="s">
        <v>495</v>
      </c>
      <c r="K154" s="47">
        <v>1</v>
      </c>
      <c r="L154" t="s">
        <v>1067</v>
      </c>
      <c r="M154" s="23">
        <v>40000</v>
      </c>
      <c r="N154" s="23">
        <v>80000</v>
      </c>
      <c r="O154" s="23">
        <v>40000</v>
      </c>
      <c r="P154" t="s">
        <v>27</v>
      </c>
    </row>
    <row r="155" spans="1:16" x14ac:dyDescent="0.35">
      <c r="A155" s="18">
        <v>45849</v>
      </c>
      <c r="B155" s="18" t="s">
        <v>1132</v>
      </c>
      <c r="C155" t="s">
        <v>1130</v>
      </c>
      <c r="D155" t="s">
        <v>9</v>
      </c>
      <c r="E155" t="s">
        <v>122</v>
      </c>
      <c r="F155" t="s">
        <v>619</v>
      </c>
      <c r="G155" s="46">
        <v>16</v>
      </c>
      <c r="H155" t="s">
        <v>79</v>
      </c>
      <c r="I155" t="str">
        <f>VLOOKUP(Tabla5[[#This Row],[Producto]],Referencia!$E$2:$F$238,2,0)</f>
        <v>P118</v>
      </c>
      <c r="J155" t="s">
        <v>497</v>
      </c>
      <c r="K155" s="47">
        <v>1</v>
      </c>
      <c r="L155" t="s">
        <v>1067</v>
      </c>
      <c r="M155" s="23">
        <v>180000</v>
      </c>
      <c r="N155" s="23">
        <v>315000</v>
      </c>
      <c r="O155" s="23">
        <v>135000</v>
      </c>
      <c r="P155" t="s">
        <v>27</v>
      </c>
    </row>
    <row r="156" spans="1:16" x14ac:dyDescent="0.35">
      <c r="A156" s="18">
        <v>45849</v>
      </c>
      <c r="B156" s="18" t="s">
        <v>1132</v>
      </c>
      <c r="C156" t="s">
        <v>1130</v>
      </c>
      <c r="D156" t="s">
        <v>8</v>
      </c>
      <c r="E156" t="s">
        <v>174</v>
      </c>
      <c r="F156" t="s">
        <v>619</v>
      </c>
      <c r="G156" s="46">
        <v>35</v>
      </c>
      <c r="H156" t="s">
        <v>173</v>
      </c>
      <c r="I156" t="str">
        <f>VLOOKUP(Tabla5[[#This Row],[Producto]],Referencia!$E$2:$F$238,2,0)</f>
        <v>P119</v>
      </c>
      <c r="J156" t="s">
        <v>498</v>
      </c>
      <c r="K156" s="47">
        <v>1</v>
      </c>
      <c r="L156" t="s">
        <v>1063</v>
      </c>
      <c r="M156" s="23">
        <v>152681</v>
      </c>
      <c r="N156" s="23">
        <v>240000</v>
      </c>
      <c r="O156" s="23">
        <v>87319</v>
      </c>
      <c r="P156" t="s">
        <v>23</v>
      </c>
    </row>
    <row r="157" spans="1:16" x14ac:dyDescent="0.35">
      <c r="A157" s="18">
        <v>45849</v>
      </c>
      <c r="B157" s="18" t="s">
        <v>1132</v>
      </c>
      <c r="C157" t="s">
        <v>1130</v>
      </c>
      <c r="D157" t="s">
        <v>8</v>
      </c>
      <c r="E157" t="s">
        <v>174</v>
      </c>
      <c r="F157" t="s">
        <v>619</v>
      </c>
      <c r="G157" s="46">
        <v>35</v>
      </c>
      <c r="H157" t="s">
        <v>173</v>
      </c>
      <c r="I157" t="str">
        <f>VLOOKUP(Tabla5[[#This Row],[Producto]],Referencia!$E$2:$F$238,2,0)</f>
        <v>P120</v>
      </c>
      <c r="J157" t="s">
        <v>499</v>
      </c>
      <c r="K157" s="47">
        <v>1</v>
      </c>
      <c r="L157" t="s">
        <v>1063</v>
      </c>
      <c r="M157" s="23">
        <v>45000</v>
      </c>
      <c r="N157" s="23">
        <v>80000</v>
      </c>
      <c r="O157" s="23">
        <v>35000</v>
      </c>
      <c r="P157" t="s">
        <v>23</v>
      </c>
    </row>
    <row r="158" spans="1:16" x14ac:dyDescent="0.35">
      <c r="A158" s="18">
        <v>45849</v>
      </c>
      <c r="B158" s="18" t="s">
        <v>1132</v>
      </c>
      <c r="C158" t="s">
        <v>1130</v>
      </c>
      <c r="D158" t="s">
        <v>8</v>
      </c>
      <c r="E158" t="s">
        <v>174</v>
      </c>
      <c r="F158" t="s">
        <v>619</v>
      </c>
      <c r="G158" s="46">
        <v>35</v>
      </c>
      <c r="H158" t="s">
        <v>173</v>
      </c>
      <c r="I158" t="str">
        <f>VLOOKUP(Tabla5[[#This Row],[Producto]],Referencia!$E$2:$F$238,2,0)</f>
        <v>P4</v>
      </c>
      <c r="J158" t="s">
        <v>29</v>
      </c>
      <c r="K158" s="47">
        <v>1</v>
      </c>
      <c r="L158" t="s">
        <v>1063</v>
      </c>
      <c r="M158" s="23">
        <v>15100</v>
      </c>
      <c r="N158" s="23">
        <v>25000</v>
      </c>
      <c r="O158" s="23">
        <v>9900</v>
      </c>
      <c r="P158" t="s">
        <v>23</v>
      </c>
    </row>
    <row r="159" spans="1:16" x14ac:dyDescent="0.35">
      <c r="A159" s="18">
        <v>45849</v>
      </c>
      <c r="B159" s="18" t="s">
        <v>1132</v>
      </c>
      <c r="C159" t="s">
        <v>1130</v>
      </c>
      <c r="D159" t="s">
        <v>8</v>
      </c>
      <c r="E159" t="s">
        <v>174</v>
      </c>
      <c r="F159" t="s">
        <v>619</v>
      </c>
      <c r="G159" s="46">
        <v>35</v>
      </c>
      <c r="H159" t="s">
        <v>173</v>
      </c>
      <c r="I159" t="str">
        <f>VLOOKUP(Tabla5[[#This Row],[Producto]],Referencia!$E$2:$F$238,2,0)</f>
        <v>P121</v>
      </c>
      <c r="J159" t="s">
        <v>500</v>
      </c>
      <c r="K159" s="47">
        <v>2</v>
      </c>
      <c r="L159" t="s">
        <v>1068</v>
      </c>
      <c r="M159" s="23">
        <v>13000</v>
      </c>
      <c r="N159" s="23">
        <v>20000</v>
      </c>
      <c r="O159" s="23">
        <v>7000</v>
      </c>
      <c r="P159" t="s">
        <v>23</v>
      </c>
    </row>
    <row r="160" spans="1:16" x14ac:dyDescent="0.35">
      <c r="A160" s="18">
        <v>45849</v>
      </c>
      <c r="B160" s="18" t="s">
        <v>1132</v>
      </c>
      <c r="C160" t="s">
        <v>1130</v>
      </c>
      <c r="D160" t="s">
        <v>8</v>
      </c>
      <c r="E160" t="s">
        <v>174</v>
      </c>
      <c r="F160" t="s">
        <v>619</v>
      </c>
      <c r="G160" s="46">
        <v>35</v>
      </c>
      <c r="H160" t="s">
        <v>173</v>
      </c>
      <c r="I160" t="str">
        <f>VLOOKUP(Tabla5[[#This Row],[Producto]],Referencia!$E$2:$F$238,2,0)</f>
        <v>P122</v>
      </c>
      <c r="J160" t="s">
        <v>501</v>
      </c>
      <c r="K160" s="47">
        <v>2</v>
      </c>
      <c r="L160" t="s">
        <v>1068</v>
      </c>
      <c r="M160" s="23">
        <v>18000</v>
      </c>
      <c r="N160" s="23">
        <v>0</v>
      </c>
      <c r="O160" s="23">
        <v>-18000</v>
      </c>
      <c r="P160" t="s">
        <v>23</v>
      </c>
    </row>
    <row r="161" spans="1:16" x14ac:dyDescent="0.35">
      <c r="A161" s="18">
        <v>45849</v>
      </c>
      <c r="B161" s="18" t="s">
        <v>1132</v>
      </c>
      <c r="C161" t="s">
        <v>1130</v>
      </c>
      <c r="D161" t="s">
        <v>8</v>
      </c>
      <c r="E161" t="s">
        <v>174</v>
      </c>
      <c r="F161" t="s">
        <v>619</v>
      </c>
      <c r="G161" s="46">
        <v>35</v>
      </c>
      <c r="H161" t="s">
        <v>173</v>
      </c>
      <c r="I161" t="str">
        <f>VLOOKUP(Tabla5[[#This Row],[Producto]],Referencia!$E$2:$F$238,2,0)</f>
        <v>P123</v>
      </c>
      <c r="J161" t="s">
        <v>502</v>
      </c>
      <c r="K161" s="47">
        <v>1</v>
      </c>
      <c r="L161" t="s">
        <v>1067</v>
      </c>
      <c r="M161" s="23">
        <v>220000</v>
      </c>
      <c r="N161" s="23">
        <v>260000</v>
      </c>
      <c r="O161" s="23">
        <v>40000</v>
      </c>
      <c r="P161" t="s">
        <v>23</v>
      </c>
    </row>
    <row r="162" spans="1:16" x14ac:dyDescent="0.35">
      <c r="A162" s="18">
        <v>45849</v>
      </c>
      <c r="B162" s="18" t="s">
        <v>1132</v>
      </c>
      <c r="C162" t="s">
        <v>1130</v>
      </c>
      <c r="D162" t="s">
        <v>8</v>
      </c>
      <c r="E162" t="s">
        <v>174</v>
      </c>
      <c r="F162" t="s">
        <v>619</v>
      </c>
      <c r="G162" s="46">
        <v>35</v>
      </c>
      <c r="H162" t="s">
        <v>173</v>
      </c>
      <c r="I162" t="str">
        <f>VLOOKUP(Tabla5[[#This Row],[Producto]],Referencia!$E$2:$F$238,2,0)</f>
        <v>P124</v>
      </c>
      <c r="J162" t="s">
        <v>503</v>
      </c>
      <c r="K162" s="47">
        <v>1</v>
      </c>
      <c r="L162" t="s">
        <v>1068</v>
      </c>
      <c r="M162" s="23">
        <v>34000</v>
      </c>
      <c r="N162" s="23">
        <v>50000</v>
      </c>
      <c r="O162" s="23">
        <v>16000</v>
      </c>
      <c r="P162" t="s">
        <v>23</v>
      </c>
    </row>
    <row r="163" spans="1:16" x14ac:dyDescent="0.35">
      <c r="A163" s="18">
        <v>45849</v>
      </c>
      <c r="B163" s="18" t="s">
        <v>1132</v>
      </c>
      <c r="C163" t="s">
        <v>1130</v>
      </c>
      <c r="D163" t="s">
        <v>8</v>
      </c>
      <c r="E163" t="s">
        <v>174</v>
      </c>
      <c r="F163" t="s">
        <v>619</v>
      </c>
      <c r="G163" s="46">
        <v>35</v>
      </c>
      <c r="H163" t="s">
        <v>173</v>
      </c>
      <c r="I163" t="str">
        <f>VLOOKUP(Tabla5[[#This Row],[Producto]],Referencia!$E$2:$F$238,2,0)</f>
        <v>P125</v>
      </c>
      <c r="J163" t="s">
        <v>504</v>
      </c>
      <c r="K163" s="47">
        <v>1</v>
      </c>
      <c r="L163" t="s">
        <v>1068</v>
      </c>
      <c r="M163" s="23">
        <v>60000</v>
      </c>
      <c r="N163" s="23">
        <v>100000</v>
      </c>
      <c r="O163" s="23">
        <v>40000</v>
      </c>
      <c r="P163" t="s">
        <v>23</v>
      </c>
    </row>
    <row r="164" spans="1:16" x14ac:dyDescent="0.35">
      <c r="A164" s="18">
        <v>45849</v>
      </c>
      <c r="B164" s="18" t="s">
        <v>1132</v>
      </c>
      <c r="C164" t="s">
        <v>1130</v>
      </c>
      <c r="D164" t="s">
        <v>8</v>
      </c>
      <c r="E164" t="s">
        <v>174</v>
      </c>
      <c r="F164" t="s">
        <v>619</v>
      </c>
      <c r="G164" s="46">
        <v>35</v>
      </c>
      <c r="H164" t="s">
        <v>173</v>
      </c>
      <c r="I164" t="str">
        <f>VLOOKUP(Tabla5[[#This Row],[Producto]],Referencia!$E$2:$F$238,2,0)</f>
        <v>P6</v>
      </c>
      <c r="J164" t="s">
        <v>627</v>
      </c>
      <c r="K164" s="47">
        <v>1</v>
      </c>
      <c r="L164" t="s">
        <v>31</v>
      </c>
      <c r="M164" s="23">
        <v>20000</v>
      </c>
      <c r="N164" s="23">
        <v>30000</v>
      </c>
      <c r="O164" s="23">
        <v>10000</v>
      </c>
      <c r="P164" t="s">
        <v>23</v>
      </c>
    </row>
    <row r="165" spans="1:16" x14ac:dyDescent="0.35">
      <c r="A165" s="18">
        <v>45849</v>
      </c>
      <c r="B165" s="18" t="s">
        <v>1132</v>
      </c>
      <c r="C165" t="s">
        <v>1130</v>
      </c>
      <c r="D165" t="s">
        <v>8</v>
      </c>
      <c r="E165" t="s">
        <v>174</v>
      </c>
      <c r="F165" t="s">
        <v>619</v>
      </c>
      <c r="G165" s="46">
        <v>35</v>
      </c>
      <c r="H165" t="s">
        <v>173</v>
      </c>
      <c r="I165" t="str">
        <f>VLOOKUP(Tabla5[[#This Row],[Producto]],Referencia!$E$2:$F$238,2,0)</f>
        <v>P54</v>
      </c>
      <c r="J165" t="s">
        <v>505</v>
      </c>
      <c r="K165" s="47">
        <v>1</v>
      </c>
      <c r="L165" t="s">
        <v>1063</v>
      </c>
      <c r="M165" s="23">
        <v>29600</v>
      </c>
      <c r="N165" s="23">
        <v>50000</v>
      </c>
      <c r="O165" s="23">
        <v>20400</v>
      </c>
      <c r="P165" t="s">
        <v>23</v>
      </c>
    </row>
    <row r="166" spans="1:16" x14ac:dyDescent="0.35">
      <c r="A166" s="18">
        <v>45849</v>
      </c>
      <c r="B166" s="18" t="s">
        <v>1132</v>
      </c>
      <c r="C166" t="s">
        <v>1130</v>
      </c>
      <c r="D166" t="s">
        <v>8</v>
      </c>
      <c r="E166" t="s">
        <v>174</v>
      </c>
      <c r="F166" t="s">
        <v>619</v>
      </c>
      <c r="G166" s="46">
        <v>35</v>
      </c>
      <c r="H166" t="s">
        <v>173</v>
      </c>
      <c r="I166" t="str">
        <f>VLOOKUP(Tabla5[[#This Row],[Producto]],Referencia!$E$2:$F$238,2,0)</f>
        <v>P126</v>
      </c>
      <c r="J166" t="s">
        <v>506</v>
      </c>
      <c r="K166" s="47">
        <v>1</v>
      </c>
      <c r="L166" t="s">
        <v>1063</v>
      </c>
      <c r="M166" s="23">
        <v>0</v>
      </c>
      <c r="N166" s="23">
        <v>15000</v>
      </c>
      <c r="O166" s="23">
        <v>15000</v>
      </c>
      <c r="P166" t="s">
        <v>23</v>
      </c>
    </row>
    <row r="167" spans="1:16" x14ac:dyDescent="0.35">
      <c r="A167" s="18">
        <v>45849</v>
      </c>
      <c r="B167" s="18" t="s">
        <v>1132</v>
      </c>
      <c r="C167" t="s">
        <v>1130</v>
      </c>
      <c r="D167" t="s">
        <v>8</v>
      </c>
      <c r="E167" t="s">
        <v>174</v>
      </c>
      <c r="F167" t="s">
        <v>619</v>
      </c>
      <c r="G167" s="46">
        <v>35</v>
      </c>
      <c r="H167" t="s">
        <v>173</v>
      </c>
      <c r="I167" t="str">
        <f>VLOOKUP(Tabla5[[#This Row],[Producto]],Referencia!$E$2:$F$238,2,0)</f>
        <v>P127</v>
      </c>
      <c r="J167" t="s">
        <v>507</v>
      </c>
      <c r="K167" s="47">
        <v>1</v>
      </c>
      <c r="L167" t="s">
        <v>1078</v>
      </c>
      <c r="M167" s="23">
        <v>11000</v>
      </c>
      <c r="N167" s="23">
        <v>30000</v>
      </c>
      <c r="O167" s="23">
        <v>19000</v>
      </c>
      <c r="P167" t="s">
        <v>23</v>
      </c>
    </row>
    <row r="168" spans="1:16" x14ac:dyDescent="0.35">
      <c r="A168" s="18">
        <v>45849</v>
      </c>
      <c r="B168" s="18" t="s">
        <v>1132</v>
      </c>
      <c r="C168" t="s">
        <v>1130</v>
      </c>
      <c r="D168" t="s">
        <v>8</v>
      </c>
      <c r="E168" t="s">
        <v>174</v>
      </c>
      <c r="F168" t="s">
        <v>619</v>
      </c>
      <c r="G168" s="46">
        <v>35</v>
      </c>
      <c r="H168" t="s">
        <v>173</v>
      </c>
      <c r="I168" t="str">
        <f>VLOOKUP(Tabla5[[#This Row],[Producto]],Referencia!$E$2:$F$238,2,0)</f>
        <v>P17</v>
      </c>
      <c r="J168" t="s">
        <v>46</v>
      </c>
      <c r="K168" s="47">
        <v>1</v>
      </c>
      <c r="L168" t="s">
        <v>1063</v>
      </c>
      <c r="M168" s="23">
        <v>68100</v>
      </c>
      <c r="N168" s="23">
        <v>100000</v>
      </c>
      <c r="O168" s="23">
        <v>31900</v>
      </c>
      <c r="P168" t="s">
        <v>23</v>
      </c>
    </row>
    <row r="169" spans="1:16" x14ac:dyDescent="0.35">
      <c r="A169" s="18">
        <v>45850</v>
      </c>
      <c r="B169" s="18" t="s">
        <v>1132</v>
      </c>
      <c r="C169" t="s">
        <v>1130</v>
      </c>
      <c r="D169" t="s">
        <v>9</v>
      </c>
      <c r="E169" t="s">
        <v>122</v>
      </c>
      <c r="F169" t="s">
        <v>619</v>
      </c>
      <c r="G169" s="46">
        <v>15</v>
      </c>
      <c r="H169" t="s">
        <v>96</v>
      </c>
      <c r="I169" t="str">
        <f>VLOOKUP(Tabla5[[#This Row],[Producto]],Referencia!$E$2:$F$238,2,0)</f>
        <v>P128</v>
      </c>
      <c r="J169" t="s">
        <v>632</v>
      </c>
      <c r="K169" s="47">
        <v>1</v>
      </c>
      <c r="L169" t="s">
        <v>1078</v>
      </c>
      <c r="M169" s="23">
        <v>32000</v>
      </c>
      <c r="N169" s="23">
        <v>75000</v>
      </c>
      <c r="O169" s="23">
        <v>43000</v>
      </c>
      <c r="P169" t="s">
        <v>27</v>
      </c>
    </row>
    <row r="170" spans="1:16" x14ac:dyDescent="0.35">
      <c r="A170" s="18">
        <v>45850</v>
      </c>
      <c r="B170" s="18" t="s">
        <v>1132</v>
      </c>
      <c r="C170" t="s">
        <v>1130</v>
      </c>
      <c r="D170" t="s">
        <v>9</v>
      </c>
      <c r="E170" t="s">
        <v>122</v>
      </c>
      <c r="F170" t="s">
        <v>619</v>
      </c>
      <c r="G170" s="46">
        <v>15</v>
      </c>
      <c r="H170" t="s">
        <v>96</v>
      </c>
      <c r="I170" t="str">
        <f>VLOOKUP(Tabla5[[#This Row],[Producto]],Referencia!$E$2:$F$238,2,0)</f>
        <v>P129</v>
      </c>
      <c r="J170" t="s">
        <v>508</v>
      </c>
      <c r="K170" s="47">
        <v>1</v>
      </c>
      <c r="L170" t="s">
        <v>1065</v>
      </c>
      <c r="M170" s="23">
        <v>11340</v>
      </c>
      <c r="N170" s="23">
        <v>18000</v>
      </c>
      <c r="O170" s="23">
        <v>6660</v>
      </c>
      <c r="P170" t="s">
        <v>27</v>
      </c>
    </row>
    <row r="171" spans="1:16" x14ac:dyDescent="0.35">
      <c r="A171" s="18">
        <v>45850</v>
      </c>
      <c r="B171" s="18" t="s">
        <v>1132</v>
      </c>
      <c r="C171" t="s">
        <v>1130</v>
      </c>
      <c r="D171" t="s">
        <v>9</v>
      </c>
      <c r="E171" t="s">
        <v>122</v>
      </c>
      <c r="F171" t="s">
        <v>619</v>
      </c>
      <c r="G171" s="46">
        <v>15</v>
      </c>
      <c r="H171" t="s">
        <v>96</v>
      </c>
      <c r="I171" t="str">
        <f>VLOOKUP(Tabla5[[#This Row],[Producto]],Referencia!$E$2:$F$238,2,0)</f>
        <v>P48</v>
      </c>
      <c r="J171" t="s">
        <v>84</v>
      </c>
      <c r="K171" s="47">
        <v>1</v>
      </c>
      <c r="L171" t="s">
        <v>1063</v>
      </c>
      <c r="M171" s="23">
        <v>14600</v>
      </c>
      <c r="N171" s="23">
        <v>25000</v>
      </c>
      <c r="O171" s="23">
        <v>10400</v>
      </c>
      <c r="P171" t="s">
        <v>27</v>
      </c>
    </row>
    <row r="172" spans="1:16" x14ac:dyDescent="0.35">
      <c r="A172" s="18">
        <v>45850</v>
      </c>
      <c r="B172" s="18" t="s">
        <v>1132</v>
      </c>
      <c r="C172" t="s">
        <v>1130</v>
      </c>
      <c r="D172" t="s">
        <v>9</v>
      </c>
      <c r="E172" t="s">
        <v>122</v>
      </c>
      <c r="F172" t="s">
        <v>619</v>
      </c>
      <c r="G172" s="46">
        <v>127</v>
      </c>
      <c r="H172" t="s">
        <v>509</v>
      </c>
      <c r="I172" t="str">
        <f>VLOOKUP(Tabla5[[#This Row],[Producto]],Referencia!$E$2:$F$238,2,0)</f>
        <v>P130</v>
      </c>
      <c r="J172" t="s">
        <v>578</v>
      </c>
      <c r="K172" s="47">
        <v>1</v>
      </c>
      <c r="L172" t="s">
        <v>1063</v>
      </c>
      <c r="M172" s="23">
        <v>373700</v>
      </c>
      <c r="N172" s="23">
        <v>490000</v>
      </c>
      <c r="O172" s="23">
        <v>116300</v>
      </c>
      <c r="P172" t="s">
        <v>27</v>
      </c>
    </row>
    <row r="173" spans="1:16" x14ac:dyDescent="0.35">
      <c r="A173" s="18">
        <v>45850</v>
      </c>
      <c r="B173" s="18" t="s">
        <v>1132</v>
      </c>
      <c r="C173" t="s">
        <v>1130</v>
      </c>
      <c r="D173" t="s">
        <v>9</v>
      </c>
      <c r="E173" t="s">
        <v>122</v>
      </c>
      <c r="F173" t="s">
        <v>619</v>
      </c>
      <c r="G173" s="46">
        <v>16</v>
      </c>
      <c r="H173" t="s">
        <v>79</v>
      </c>
      <c r="I173" t="str">
        <f>VLOOKUP(Tabla5[[#This Row],[Producto]],Referencia!$E$2:$F$238,2,0)</f>
        <v>P44</v>
      </c>
      <c r="J173" t="s">
        <v>81</v>
      </c>
      <c r="K173" s="47">
        <v>1</v>
      </c>
      <c r="L173" t="s">
        <v>1078</v>
      </c>
      <c r="M173" s="23">
        <v>135000</v>
      </c>
      <c r="N173" s="23">
        <v>190000</v>
      </c>
      <c r="O173" s="23">
        <v>55000</v>
      </c>
      <c r="P173" t="s">
        <v>27</v>
      </c>
    </row>
    <row r="174" spans="1:16" x14ac:dyDescent="0.35">
      <c r="A174" s="18">
        <v>45850</v>
      </c>
      <c r="B174" s="18" t="s">
        <v>1132</v>
      </c>
      <c r="C174" t="s">
        <v>1130</v>
      </c>
      <c r="D174" t="s">
        <v>9</v>
      </c>
      <c r="E174" t="s">
        <v>122</v>
      </c>
      <c r="F174" t="s">
        <v>619</v>
      </c>
      <c r="G174" s="46">
        <v>12</v>
      </c>
      <c r="H174" t="s">
        <v>141</v>
      </c>
      <c r="I174" t="str">
        <f>VLOOKUP(Tabla5[[#This Row],[Producto]],Referencia!$E$2:$F$238,2,0)</f>
        <v>P7</v>
      </c>
      <c r="J174" t="s">
        <v>631</v>
      </c>
      <c r="K174" s="47">
        <v>5</v>
      </c>
      <c r="L174" t="s">
        <v>1065</v>
      </c>
      <c r="M174" s="23">
        <v>52500</v>
      </c>
      <c r="N174" s="23">
        <v>90000</v>
      </c>
      <c r="O174" s="23">
        <v>37500</v>
      </c>
      <c r="P174" t="s">
        <v>27</v>
      </c>
    </row>
    <row r="175" spans="1:16" x14ac:dyDescent="0.35">
      <c r="A175" s="18">
        <v>45850</v>
      </c>
      <c r="B175" s="18" t="s">
        <v>1132</v>
      </c>
      <c r="C175" t="s">
        <v>1130</v>
      </c>
      <c r="D175" t="s">
        <v>9</v>
      </c>
      <c r="E175" t="s">
        <v>122</v>
      </c>
      <c r="F175" t="s">
        <v>619</v>
      </c>
      <c r="G175" s="46">
        <v>12</v>
      </c>
      <c r="H175" t="s">
        <v>141</v>
      </c>
      <c r="I175" t="str">
        <f>VLOOKUP(Tabla5[[#This Row],[Producto]],Referencia!$E$2:$F$238,2,0)</f>
        <v>P131</v>
      </c>
      <c r="J175" t="s">
        <v>510</v>
      </c>
      <c r="K175" s="47">
        <v>1</v>
      </c>
      <c r="L175" t="s">
        <v>1068</v>
      </c>
      <c r="M175" s="23">
        <v>2500</v>
      </c>
      <c r="N175" s="23">
        <v>5000</v>
      </c>
      <c r="O175" s="23">
        <v>2500</v>
      </c>
      <c r="P175" t="s">
        <v>27</v>
      </c>
    </row>
    <row r="176" spans="1:16" x14ac:dyDescent="0.35">
      <c r="A176" s="18">
        <v>45850</v>
      </c>
      <c r="B176" s="18" t="s">
        <v>1132</v>
      </c>
      <c r="C176" t="s">
        <v>1130</v>
      </c>
      <c r="D176" t="s">
        <v>9</v>
      </c>
      <c r="E176" t="s">
        <v>122</v>
      </c>
      <c r="F176" t="s">
        <v>619</v>
      </c>
      <c r="G176" s="46">
        <v>8</v>
      </c>
      <c r="H176" t="s">
        <v>511</v>
      </c>
      <c r="I176" t="str">
        <f>VLOOKUP(Tabla5[[#This Row],[Producto]],Referencia!$E$2:$F$238,2,0)</f>
        <v>P27</v>
      </c>
      <c r="J176" t="s">
        <v>60</v>
      </c>
      <c r="K176" s="47">
        <v>5</v>
      </c>
      <c r="L176" t="s">
        <v>1067</v>
      </c>
      <c r="M176" s="23">
        <v>25000</v>
      </c>
      <c r="N176" s="23">
        <v>37500</v>
      </c>
      <c r="O176" s="23">
        <v>12500</v>
      </c>
      <c r="P176" t="s">
        <v>27</v>
      </c>
    </row>
    <row r="177" spans="1:16" x14ac:dyDescent="0.35">
      <c r="A177" s="18">
        <v>45854</v>
      </c>
      <c r="B177" s="18" t="s">
        <v>1132</v>
      </c>
      <c r="C177" t="s">
        <v>1130</v>
      </c>
      <c r="D177" t="s">
        <v>615</v>
      </c>
      <c r="E177" t="s">
        <v>127</v>
      </c>
      <c r="F177" t="s">
        <v>619</v>
      </c>
      <c r="G177" s="46">
        <v>6</v>
      </c>
      <c r="H177" t="s">
        <v>126</v>
      </c>
      <c r="I177" t="str">
        <f>VLOOKUP(Tabla5[[#This Row],[Producto]],Referencia!$E$2:$F$238,2,0)</f>
        <v>P103</v>
      </c>
      <c r="J177" t="s">
        <v>478</v>
      </c>
      <c r="K177" s="47">
        <v>1</v>
      </c>
      <c r="L177" t="s">
        <v>1069</v>
      </c>
      <c r="M177" s="23">
        <v>41650</v>
      </c>
      <c r="N177" s="23">
        <v>70000</v>
      </c>
      <c r="O177" s="23">
        <v>28350</v>
      </c>
      <c r="P177" t="s">
        <v>27</v>
      </c>
    </row>
    <row r="178" spans="1:16" x14ac:dyDescent="0.35">
      <c r="A178" s="18">
        <v>45854</v>
      </c>
      <c r="B178" s="18" t="s">
        <v>1132</v>
      </c>
      <c r="C178" t="s">
        <v>1130</v>
      </c>
      <c r="D178" t="s">
        <v>615</v>
      </c>
      <c r="E178" t="s">
        <v>127</v>
      </c>
      <c r="F178" t="s">
        <v>619</v>
      </c>
      <c r="G178" s="46">
        <v>6</v>
      </c>
      <c r="H178" t="s">
        <v>126</v>
      </c>
      <c r="I178" t="str">
        <f>VLOOKUP(Tabla5[[#This Row],[Producto]],Referencia!$E$2:$F$238,2,0)</f>
        <v>P132</v>
      </c>
      <c r="J178" t="s">
        <v>513</v>
      </c>
      <c r="K178" s="47">
        <v>1</v>
      </c>
      <c r="L178" t="s">
        <v>1067</v>
      </c>
      <c r="M178" s="23">
        <v>60000</v>
      </c>
      <c r="N178" s="23">
        <v>110000</v>
      </c>
      <c r="O178" s="23">
        <v>50000</v>
      </c>
      <c r="P178" t="s">
        <v>27</v>
      </c>
    </row>
    <row r="179" spans="1:16" x14ac:dyDescent="0.35">
      <c r="A179" s="18">
        <v>45854</v>
      </c>
      <c r="B179" s="18" t="s">
        <v>1132</v>
      </c>
      <c r="C179" t="s">
        <v>1130</v>
      </c>
      <c r="D179" t="s">
        <v>615</v>
      </c>
      <c r="E179" t="s">
        <v>129</v>
      </c>
      <c r="F179" t="s">
        <v>619</v>
      </c>
      <c r="G179" s="46">
        <v>181</v>
      </c>
      <c r="H179" t="s">
        <v>63</v>
      </c>
      <c r="I179" t="str">
        <f>VLOOKUP(Tabla5[[#This Row],[Producto]],Referencia!$E$2:$F$238,2,0)</f>
        <v>P116</v>
      </c>
      <c r="J179" t="s">
        <v>494</v>
      </c>
      <c r="K179" s="47">
        <v>1</v>
      </c>
      <c r="L179" t="s">
        <v>1064</v>
      </c>
      <c r="M179" s="23">
        <v>0</v>
      </c>
      <c r="N179" s="23">
        <v>20000</v>
      </c>
      <c r="O179" s="23">
        <v>20000</v>
      </c>
      <c r="P179" t="s">
        <v>23</v>
      </c>
    </row>
    <row r="180" spans="1:16" x14ac:dyDescent="0.35">
      <c r="A180" s="18">
        <v>45854</v>
      </c>
      <c r="B180" s="18" t="s">
        <v>1132</v>
      </c>
      <c r="C180" t="s">
        <v>1130</v>
      </c>
      <c r="D180" t="s">
        <v>615</v>
      </c>
      <c r="E180" t="s">
        <v>129</v>
      </c>
      <c r="F180" t="s">
        <v>619</v>
      </c>
      <c r="G180" s="46">
        <v>181</v>
      </c>
      <c r="H180" t="s">
        <v>63</v>
      </c>
      <c r="I180" t="str">
        <f>VLOOKUP(Tabla5[[#This Row],[Producto]],Referencia!$E$2:$F$238,2,0)</f>
        <v>P35</v>
      </c>
      <c r="J180" t="s">
        <v>70</v>
      </c>
      <c r="K180" s="47">
        <v>1</v>
      </c>
      <c r="L180" t="s">
        <v>1063</v>
      </c>
      <c r="M180" s="23">
        <v>4800</v>
      </c>
      <c r="N180" s="23">
        <v>8000</v>
      </c>
      <c r="O180" s="23">
        <v>3200</v>
      </c>
      <c r="P180" t="s">
        <v>23</v>
      </c>
    </row>
    <row r="181" spans="1:16" x14ac:dyDescent="0.35">
      <c r="A181" s="18">
        <v>45854</v>
      </c>
      <c r="B181" s="18" t="s">
        <v>1132</v>
      </c>
      <c r="C181" t="s">
        <v>1130</v>
      </c>
      <c r="D181" t="s">
        <v>415</v>
      </c>
      <c r="E181" t="s">
        <v>82</v>
      </c>
      <c r="F181" t="s">
        <v>617</v>
      </c>
      <c r="G181" s="46" t="s">
        <v>618</v>
      </c>
      <c r="H181" t="s">
        <v>477</v>
      </c>
      <c r="I181" t="str">
        <f>VLOOKUP(Tabla5[[#This Row],[Producto]],Referencia!$E$2:$F$238,2,0)</f>
        <v>P37</v>
      </c>
      <c r="J181" t="s">
        <v>72</v>
      </c>
      <c r="K181" s="47">
        <v>1</v>
      </c>
      <c r="L181" t="s">
        <v>1063</v>
      </c>
      <c r="M181" s="23">
        <v>75000</v>
      </c>
      <c r="N181" s="23">
        <v>140000</v>
      </c>
      <c r="O181" s="23">
        <v>65000</v>
      </c>
      <c r="P181" t="s">
        <v>23</v>
      </c>
    </row>
    <row r="182" spans="1:16" x14ac:dyDescent="0.35">
      <c r="A182" s="18">
        <v>45855</v>
      </c>
      <c r="B182" s="18" t="s">
        <v>1132</v>
      </c>
      <c r="C182" t="s">
        <v>1130</v>
      </c>
      <c r="D182" t="s">
        <v>8</v>
      </c>
      <c r="E182" t="s">
        <v>109</v>
      </c>
      <c r="F182" t="s">
        <v>619</v>
      </c>
      <c r="G182" s="46">
        <v>2</v>
      </c>
      <c r="H182" t="s">
        <v>112</v>
      </c>
      <c r="I182" t="str">
        <f>VLOOKUP(Tabla5[[#This Row],[Producto]],Referencia!$E$2:$F$238,2,0)</f>
        <v>P23</v>
      </c>
      <c r="J182" t="s">
        <v>54</v>
      </c>
      <c r="K182" s="47">
        <v>1</v>
      </c>
      <c r="L182" t="s">
        <v>1063</v>
      </c>
      <c r="M182" s="23">
        <v>12162</v>
      </c>
      <c r="N182" s="23">
        <v>20000</v>
      </c>
      <c r="O182" s="23">
        <v>7838</v>
      </c>
      <c r="P182" t="s">
        <v>27</v>
      </c>
    </row>
    <row r="183" spans="1:16" x14ac:dyDescent="0.35">
      <c r="A183" s="18">
        <v>45855</v>
      </c>
      <c r="B183" s="18" t="s">
        <v>1132</v>
      </c>
      <c r="C183" t="s">
        <v>1130</v>
      </c>
      <c r="D183" t="s">
        <v>8</v>
      </c>
      <c r="E183" t="s">
        <v>109</v>
      </c>
      <c r="F183" t="s">
        <v>619</v>
      </c>
      <c r="G183" s="46">
        <v>2</v>
      </c>
      <c r="H183" t="s">
        <v>112</v>
      </c>
      <c r="I183" t="str">
        <f>VLOOKUP(Tabla5[[#This Row],[Producto]],Referencia!$E$2:$F$238,2,0)</f>
        <v>P24</v>
      </c>
      <c r="J183" t="s">
        <v>55</v>
      </c>
      <c r="K183" s="47">
        <v>1</v>
      </c>
      <c r="L183" t="s">
        <v>1063</v>
      </c>
      <c r="M183" s="23">
        <v>11665</v>
      </c>
      <c r="N183" s="23">
        <v>15000</v>
      </c>
      <c r="O183" s="23">
        <v>3335</v>
      </c>
      <c r="P183" t="s">
        <v>27</v>
      </c>
    </row>
    <row r="184" spans="1:16" x14ac:dyDescent="0.35">
      <c r="A184" s="18">
        <v>45855</v>
      </c>
      <c r="B184" s="18" t="s">
        <v>1132</v>
      </c>
      <c r="C184" t="s">
        <v>1130</v>
      </c>
      <c r="D184" t="s">
        <v>8</v>
      </c>
      <c r="E184" t="s">
        <v>109</v>
      </c>
      <c r="F184" t="s">
        <v>619</v>
      </c>
      <c r="G184" s="46">
        <v>2</v>
      </c>
      <c r="H184" t="s">
        <v>112</v>
      </c>
      <c r="I184" t="str">
        <f>VLOOKUP(Tabla5[[#This Row],[Producto]],Referencia!$E$2:$F$238,2,0)</f>
        <v>P25</v>
      </c>
      <c r="J184" t="s">
        <v>56</v>
      </c>
      <c r="K184" s="47">
        <v>1</v>
      </c>
      <c r="L184" t="s">
        <v>1063</v>
      </c>
      <c r="M184" s="23">
        <v>11580</v>
      </c>
      <c r="N184" s="23">
        <v>15000</v>
      </c>
      <c r="O184" s="23">
        <v>3420</v>
      </c>
      <c r="P184" t="s">
        <v>27</v>
      </c>
    </row>
    <row r="185" spans="1:16" x14ac:dyDescent="0.35">
      <c r="A185" s="18">
        <v>45855</v>
      </c>
      <c r="B185" s="18" t="s">
        <v>1132</v>
      </c>
      <c r="C185" t="s">
        <v>1130</v>
      </c>
      <c r="D185" t="s">
        <v>8</v>
      </c>
      <c r="E185" t="s">
        <v>109</v>
      </c>
      <c r="F185" t="s">
        <v>619</v>
      </c>
      <c r="G185" s="46">
        <v>2</v>
      </c>
      <c r="H185" t="s">
        <v>112</v>
      </c>
      <c r="I185" t="str">
        <f>VLOOKUP(Tabla5[[#This Row],[Producto]],Referencia!$E$2:$F$238,2,0)</f>
        <v>P133</v>
      </c>
      <c r="J185" t="s">
        <v>515</v>
      </c>
      <c r="K185" s="47">
        <v>1</v>
      </c>
      <c r="L185" t="s">
        <v>1078</v>
      </c>
      <c r="M185" s="23">
        <v>63000</v>
      </c>
      <c r="N185" s="23">
        <v>125000</v>
      </c>
      <c r="O185" s="23">
        <v>62000</v>
      </c>
      <c r="P185" t="s">
        <v>27</v>
      </c>
    </row>
    <row r="186" spans="1:16" x14ac:dyDescent="0.35">
      <c r="A186" s="18">
        <v>45855</v>
      </c>
      <c r="B186" s="18" t="s">
        <v>1132</v>
      </c>
      <c r="C186" t="s">
        <v>1130</v>
      </c>
      <c r="D186" t="s">
        <v>8</v>
      </c>
      <c r="E186" t="s">
        <v>122</v>
      </c>
      <c r="F186" t="s">
        <v>619</v>
      </c>
      <c r="G186" s="46">
        <v>5</v>
      </c>
      <c r="H186" t="s">
        <v>121</v>
      </c>
      <c r="I186" t="str">
        <f>VLOOKUP(Tabla5[[#This Row],[Producto]],Referencia!$E$2:$F$238,2,0)</f>
        <v>P134</v>
      </c>
      <c r="J186" t="s">
        <v>516</v>
      </c>
      <c r="K186" s="47">
        <v>1</v>
      </c>
      <c r="L186" t="s">
        <v>1078</v>
      </c>
      <c r="M186" s="23">
        <v>8500</v>
      </c>
      <c r="N186" s="23">
        <v>25000</v>
      </c>
      <c r="O186" s="23">
        <v>16500</v>
      </c>
      <c r="P186" t="s">
        <v>27</v>
      </c>
    </row>
    <row r="187" spans="1:16" x14ac:dyDescent="0.35">
      <c r="A187" s="18">
        <v>45855</v>
      </c>
      <c r="B187" s="18" t="s">
        <v>1132</v>
      </c>
      <c r="C187" t="s">
        <v>1130</v>
      </c>
      <c r="D187" t="s">
        <v>8</v>
      </c>
      <c r="E187" t="s">
        <v>109</v>
      </c>
      <c r="F187" t="s">
        <v>619</v>
      </c>
      <c r="G187" s="46">
        <v>1</v>
      </c>
      <c r="H187" t="s">
        <v>108</v>
      </c>
      <c r="I187" t="str">
        <f>VLOOKUP(Tabla5[[#This Row],[Producto]],Referencia!$E$2:$F$238,2,0)</f>
        <v>P64</v>
      </c>
      <c r="J187" t="s">
        <v>420</v>
      </c>
      <c r="K187" s="47">
        <v>1</v>
      </c>
      <c r="L187" t="s">
        <v>1067</v>
      </c>
      <c r="M187" s="23">
        <v>125000</v>
      </c>
      <c r="N187" s="23">
        <v>220000</v>
      </c>
      <c r="O187" s="23">
        <v>95000</v>
      </c>
      <c r="P187" t="s">
        <v>27</v>
      </c>
    </row>
    <row r="188" spans="1:16" x14ac:dyDescent="0.35">
      <c r="A188" s="18">
        <v>45855</v>
      </c>
      <c r="B188" s="18" t="s">
        <v>1132</v>
      </c>
      <c r="C188" t="s">
        <v>1130</v>
      </c>
      <c r="D188" t="s">
        <v>8</v>
      </c>
      <c r="E188" t="s">
        <v>174</v>
      </c>
      <c r="F188" t="s">
        <v>619</v>
      </c>
      <c r="G188" s="46">
        <v>78</v>
      </c>
      <c r="H188" t="s">
        <v>471</v>
      </c>
      <c r="I188" t="str">
        <f>VLOOKUP(Tabla5[[#This Row],[Producto]],Referencia!$E$2:$F$238,2,0)</f>
        <v>P27</v>
      </c>
      <c r="J188" t="s">
        <v>60</v>
      </c>
      <c r="K188" s="47">
        <v>4</v>
      </c>
      <c r="L188" t="s">
        <v>1067</v>
      </c>
      <c r="M188" s="23">
        <v>20000</v>
      </c>
      <c r="N188" s="23">
        <v>40000</v>
      </c>
      <c r="O188" s="23">
        <v>20000</v>
      </c>
      <c r="P188" t="s">
        <v>23</v>
      </c>
    </row>
    <row r="189" spans="1:16" x14ac:dyDescent="0.35">
      <c r="A189" s="18">
        <v>45855</v>
      </c>
      <c r="B189" s="18" t="s">
        <v>1132</v>
      </c>
      <c r="C189" t="s">
        <v>1130</v>
      </c>
      <c r="D189" t="s">
        <v>8</v>
      </c>
      <c r="E189" t="s">
        <v>416</v>
      </c>
      <c r="F189" t="s">
        <v>619</v>
      </c>
      <c r="G189" s="46">
        <v>49</v>
      </c>
      <c r="H189" t="s">
        <v>77</v>
      </c>
      <c r="I189" t="str">
        <f>VLOOKUP(Tabla5[[#This Row],[Producto]],Referencia!$E$2:$F$238,2,0)</f>
        <v>P135</v>
      </c>
      <c r="J189" t="s">
        <v>517</v>
      </c>
      <c r="K189" s="47">
        <v>1</v>
      </c>
      <c r="L189" t="s">
        <v>1063</v>
      </c>
      <c r="M189" s="23">
        <v>3451</v>
      </c>
      <c r="N189" s="23">
        <v>7000</v>
      </c>
      <c r="O189" s="23">
        <v>3549</v>
      </c>
      <c r="P189" t="s">
        <v>27</v>
      </c>
    </row>
    <row r="190" spans="1:16" x14ac:dyDescent="0.35">
      <c r="A190" s="18">
        <v>45855</v>
      </c>
      <c r="B190" s="18" t="s">
        <v>1132</v>
      </c>
      <c r="C190" t="s">
        <v>1130</v>
      </c>
      <c r="D190" t="s">
        <v>8</v>
      </c>
      <c r="E190" t="s">
        <v>416</v>
      </c>
      <c r="F190" t="s">
        <v>619</v>
      </c>
      <c r="G190" s="46">
        <v>179</v>
      </c>
      <c r="H190" t="s">
        <v>518</v>
      </c>
      <c r="I190" t="str">
        <f>VLOOKUP(Tabla5[[#This Row],[Producto]],Referencia!$E$2:$F$238,2,0)</f>
        <v>P46</v>
      </c>
      <c r="J190" t="s">
        <v>607</v>
      </c>
      <c r="K190" s="47">
        <v>1</v>
      </c>
      <c r="L190" t="s">
        <v>1078</v>
      </c>
      <c r="M190" s="23">
        <v>34000</v>
      </c>
      <c r="N190" s="23">
        <v>50000</v>
      </c>
      <c r="O190" s="23">
        <v>16000</v>
      </c>
      <c r="P190" t="s">
        <v>27</v>
      </c>
    </row>
    <row r="191" spans="1:16" x14ac:dyDescent="0.35">
      <c r="A191" s="18">
        <v>45855</v>
      </c>
      <c r="B191" s="18" t="s">
        <v>1132</v>
      </c>
      <c r="C191" t="s">
        <v>1130</v>
      </c>
      <c r="D191" t="s">
        <v>8</v>
      </c>
      <c r="E191" t="s">
        <v>416</v>
      </c>
      <c r="F191" t="s">
        <v>619</v>
      </c>
      <c r="G191" s="46">
        <v>179</v>
      </c>
      <c r="H191" t="s">
        <v>518</v>
      </c>
      <c r="I191" t="str">
        <f>VLOOKUP(Tabla5[[#This Row],[Producto]],Referencia!$E$2:$F$238,2,0)</f>
        <v>P136</v>
      </c>
      <c r="J191" t="s">
        <v>519</v>
      </c>
      <c r="K191" s="47">
        <v>1</v>
      </c>
      <c r="L191" t="s">
        <v>1078</v>
      </c>
      <c r="M191" s="23">
        <v>0</v>
      </c>
      <c r="N191" s="23">
        <v>20000</v>
      </c>
      <c r="O191" s="23">
        <v>20000</v>
      </c>
      <c r="P191" t="s">
        <v>27</v>
      </c>
    </row>
    <row r="192" spans="1:16" x14ac:dyDescent="0.35">
      <c r="A192" s="18">
        <v>45855</v>
      </c>
      <c r="B192" s="18" t="s">
        <v>1132</v>
      </c>
      <c r="C192" t="s">
        <v>1130</v>
      </c>
      <c r="D192" t="s">
        <v>8</v>
      </c>
      <c r="E192" t="s">
        <v>155</v>
      </c>
      <c r="F192" t="s">
        <v>619</v>
      </c>
      <c r="G192" s="46">
        <v>20</v>
      </c>
      <c r="H192" t="s">
        <v>520</v>
      </c>
      <c r="I192" t="str">
        <f>VLOOKUP(Tabla5[[#This Row],[Producto]],Referencia!$E$2:$F$238,2,0)</f>
        <v>P137</v>
      </c>
      <c r="J192" t="s">
        <v>628</v>
      </c>
      <c r="K192" s="47">
        <v>1</v>
      </c>
      <c r="L192" t="s">
        <v>31</v>
      </c>
      <c r="M192" s="23">
        <v>50000</v>
      </c>
      <c r="N192" s="23">
        <v>100000</v>
      </c>
      <c r="O192" s="23">
        <v>50000</v>
      </c>
      <c r="P192" t="s">
        <v>27</v>
      </c>
    </row>
    <row r="193" spans="1:16" x14ac:dyDescent="0.35">
      <c r="A193" s="18">
        <v>45855</v>
      </c>
      <c r="B193" s="18" t="s">
        <v>1132</v>
      </c>
      <c r="C193" t="s">
        <v>1130</v>
      </c>
      <c r="D193" t="s">
        <v>415</v>
      </c>
      <c r="E193" t="s">
        <v>82</v>
      </c>
      <c r="F193" t="s">
        <v>619</v>
      </c>
      <c r="G193" s="46">
        <v>3</v>
      </c>
      <c r="H193" t="s">
        <v>422</v>
      </c>
      <c r="I193" t="str">
        <f>VLOOKUP(Tabla5[[#This Row],[Producto]],Referencia!$E$2:$F$238,2,0)</f>
        <v>P138</v>
      </c>
      <c r="J193" t="s">
        <v>521</v>
      </c>
      <c r="K193" s="47">
        <v>1</v>
      </c>
      <c r="L193" t="s">
        <v>1078</v>
      </c>
      <c r="M193" s="23">
        <v>20000</v>
      </c>
      <c r="N193" s="23">
        <v>40000</v>
      </c>
      <c r="O193" s="23">
        <v>20000</v>
      </c>
      <c r="P193" t="s">
        <v>27</v>
      </c>
    </row>
    <row r="194" spans="1:16" x14ac:dyDescent="0.35">
      <c r="A194" s="18">
        <v>45855</v>
      </c>
      <c r="B194" s="18" t="s">
        <v>1132</v>
      </c>
      <c r="C194" t="s">
        <v>1130</v>
      </c>
      <c r="D194" t="s">
        <v>415</v>
      </c>
      <c r="E194" t="s">
        <v>82</v>
      </c>
      <c r="F194" t="s">
        <v>619</v>
      </c>
      <c r="G194" s="46">
        <v>3</v>
      </c>
      <c r="H194" t="s">
        <v>422</v>
      </c>
      <c r="I194" t="str">
        <f>VLOOKUP(Tabla5[[#This Row],[Producto]],Referencia!$E$2:$F$238,2,0)</f>
        <v>P139</v>
      </c>
      <c r="J194" t="s">
        <v>522</v>
      </c>
      <c r="K194" s="47">
        <v>1</v>
      </c>
      <c r="L194" t="s">
        <v>1067</v>
      </c>
      <c r="M194" s="23">
        <v>100000</v>
      </c>
      <c r="N194" s="23">
        <v>190000</v>
      </c>
      <c r="O194" s="23">
        <v>90000</v>
      </c>
      <c r="P194" t="s">
        <v>27</v>
      </c>
    </row>
    <row r="195" spans="1:16" x14ac:dyDescent="0.35">
      <c r="A195" s="18">
        <v>45855</v>
      </c>
      <c r="B195" s="18" t="s">
        <v>1132</v>
      </c>
      <c r="C195" t="s">
        <v>1130</v>
      </c>
      <c r="D195" t="s">
        <v>415</v>
      </c>
      <c r="E195" t="s">
        <v>82</v>
      </c>
      <c r="F195" t="s">
        <v>619</v>
      </c>
      <c r="G195" s="46">
        <v>3</v>
      </c>
      <c r="H195" t="s">
        <v>422</v>
      </c>
      <c r="I195" t="str">
        <f>VLOOKUP(Tabla5[[#This Row],[Producto]],Referencia!$E$2:$F$238,2,0)</f>
        <v>P140</v>
      </c>
      <c r="J195" t="s">
        <v>523</v>
      </c>
      <c r="K195" s="47">
        <v>1</v>
      </c>
      <c r="L195" t="s">
        <v>1067</v>
      </c>
      <c r="M195" s="23">
        <v>50000</v>
      </c>
      <c r="N195" s="23">
        <v>90000</v>
      </c>
      <c r="O195" s="23">
        <v>40000</v>
      </c>
      <c r="P195" t="s">
        <v>27</v>
      </c>
    </row>
    <row r="196" spans="1:16" x14ac:dyDescent="0.35">
      <c r="A196" s="18">
        <v>45855</v>
      </c>
      <c r="B196" s="18" t="s">
        <v>1132</v>
      </c>
      <c r="C196" t="s">
        <v>1130</v>
      </c>
      <c r="D196" t="s">
        <v>415</v>
      </c>
      <c r="E196" t="s">
        <v>82</v>
      </c>
      <c r="F196" t="s">
        <v>619</v>
      </c>
      <c r="G196" s="46">
        <v>21</v>
      </c>
      <c r="H196" t="s">
        <v>52</v>
      </c>
      <c r="I196" t="str">
        <f>VLOOKUP(Tabla5[[#This Row],[Producto]],Referencia!$E$2:$F$238,2,0)</f>
        <v>P141</v>
      </c>
      <c r="J196" t="s">
        <v>524</v>
      </c>
      <c r="K196" s="47">
        <v>1</v>
      </c>
      <c r="L196" t="s">
        <v>74</v>
      </c>
      <c r="M196" s="23">
        <v>230000</v>
      </c>
      <c r="N196" s="23">
        <v>380000</v>
      </c>
      <c r="O196" s="23">
        <v>150000</v>
      </c>
      <c r="P196" t="s">
        <v>27</v>
      </c>
    </row>
    <row r="197" spans="1:16" x14ac:dyDescent="0.35">
      <c r="A197" s="18">
        <v>45856</v>
      </c>
      <c r="B197" s="18" t="s">
        <v>1132</v>
      </c>
      <c r="C197" t="s">
        <v>1130</v>
      </c>
      <c r="D197" t="s">
        <v>9</v>
      </c>
      <c r="E197" t="s">
        <v>122</v>
      </c>
      <c r="F197" t="s">
        <v>619</v>
      </c>
      <c r="G197" s="46">
        <v>15</v>
      </c>
      <c r="H197" t="s">
        <v>96</v>
      </c>
      <c r="I197" t="str">
        <f>VLOOKUP(Tabla5[[#This Row],[Producto]],Referencia!$E$2:$F$238,2,0)</f>
        <v>P142</v>
      </c>
      <c r="J197" t="s">
        <v>525</v>
      </c>
      <c r="K197" s="47">
        <v>25</v>
      </c>
      <c r="L197" t="s">
        <v>1063</v>
      </c>
      <c r="M197" s="23">
        <v>41650</v>
      </c>
      <c r="N197" s="23">
        <v>70000</v>
      </c>
      <c r="O197" s="23">
        <v>28350</v>
      </c>
      <c r="P197" t="s">
        <v>27</v>
      </c>
    </row>
    <row r="198" spans="1:16" x14ac:dyDescent="0.35">
      <c r="A198" s="18">
        <v>45856</v>
      </c>
      <c r="B198" s="18" t="s">
        <v>1132</v>
      </c>
      <c r="C198" t="s">
        <v>1130</v>
      </c>
      <c r="D198" t="s">
        <v>9</v>
      </c>
      <c r="E198" t="s">
        <v>122</v>
      </c>
      <c r="F198" t="s">
        <v>619</v>
      </c>
      <c r="G198" s="46">
        <v>8</v>
      </c>
      <c r="H198" t="s">
        <v>476</v>
      </c>
      <c r="I198" t="str">
        <f>VLOOKUP(Tabla5[[#This Row],[Producto]],Referencia!$E$2:$F$238,2,0)</f>
        <v>P142</v>
      </c>
      <c r="J198" t="s">
        <v>525</v>
      </c>
      <c r="K198" s="47">
        <v>25</v>
      </c>
      <c r="L198" t="s">
        <v>1063</v>
      </c>
      <c r="M198" s="23">
        <v>41650</v>
      </c>
      <c r="N198" s="23">
        <v>70000</v>
      </c>
      <c r="O198" s="23">
        <v>28350</v>
      </c>
      <c r="P198" t="s">
        <v>23</v>
      </c>
    </row>
    <row r="199" spans="1:16" x14ac:dyDescent="0.35">
      <c r="A199" s="18">
        <v>45856</v>
      </c>
      <c r="B199" s="18" t="s">
        <v>1132</v>
      </c>
      <c r="C199" t="s">
        <v>1130</v>
      </c>
      <c r="D199" t="s">
        <v>9</v>
      </c>
      <c r="E199" t="s">
        <v>122</v>
      </c>
      <c r="F199" t="s">
        <v>619</v>
      </c>
      <c r="G199" s="46">
        <v>8</v>
      </c>
      <c r="H199" t="s">
        <v>476</v>
      </c>
      <c r="I199" t="str">
        <f>VLOOKUP(Tabla5[[#This Row],[Producto]],Referencia!$E$2:$F$238,2,0)</f>
        <v>P27</v>
      </c>
      <c r="J199" t="s">
        <v>60</v>
      </c>
      <c r="K199" s="47">
        <v>4</v>
      </c>
      <c r="L199" t="s">
        <v>1067</v>
      </c>
      <c r="M199" s="23">
        <v>20000</v>
      </c>
      <c r="N199" s="23">
        <v>30000</v>
      </c>
      <c r="O199" s="23">
        <v>10000</v>
      </c>
      <c r="P199" t="s">
        <v>23</v>
      </c>
    </row>
    <row r="200" spans="1:16" x14ac:dyDescent="0.35">
      <c r="A200" s="18">
        <v>45856</v>
      </c>
      <c r="B200" s="18" t="s">
        <v>1132</v>
      </c>
      <c r="C200" t="s">
        <v>1130</v>
      </c>
      <c r="D200" t="s">
        <v>9</v>
      </c>
      <c r="E200" t="s">
        <v>122</v>
      </c>
      <c r="F200" t="s">
        <v>619</v>
      </c>
      <c r="G200" s="46">
        <v>64</v>
      </c>
      <c r="H200" t="s">
        <v>90</v>
      </c>
      <c r="I200" t="str">
        <f>VLOOKUP(Tabla5[[#This Row],[Producto]],Referencia!$E$2:$F$238,2,0)</f>
        <v>P75</v>
      </c>
      <c r="J200" t="s">
        <v>436</v>
      </c>
      <c r="K200" s="47">
        <v>1</v>
      </c>
      <c r="L200" t="s">
        <v>1078</v>
      </c>
      <c r="M200" s="23">
        <v>48000</v>
      </c>
      <c r="N200" s="23">
        <v>90000</v>
      </c>
      <c r="O200" s="23">
        <v>42000</v>
      </c>
      <c r="P200" t="s">
        <v>27</v>
      </c>
    </row>
    <row r="201" spans="1:16" x14ac:dyDescent="0.35">
      <c r="A201" s="18">
        <v>45856</v>
      </c>
      <c r="B201" s="18" t="s">
        <v>1132</v>
      </c>
      <c r="C201" t="s">
        <v>1130</v>
      </c>
      <c r="D201" t="s">
        <v>9</v>
      </c>
      <c r="E201" t="s">
        <v>122</v>
      </c>
      <c r="F201" t="s">
        <v>619</v>
      </c>
      <c r="G201" s="46">
        <v>64</v>
      </c>
      <c r="H201" t="s">
        <v>90</v>
      </c>
      <c r="I201" t="str">
        <f>VLOOKUP(Tabla5[[#This Row],[Producto]],Referencia!$E$2:$F$238,2,0)</f>
        <v>P128</v>
      </c>
      <c r="J201" t="s">
        <v>632</v>
      </c>
      <c r="K201" s="47">
        <v>1</v>
      </c>
      <c r="L201" t="s">
        <v>1078</v>
      </c>
      <c r="M201" s="23">
        <v>32000</v>
      </c>
      <c r="N201" s="23">
        <v>90000</v>
      </c>
      <c r="O201" s="23">
        <v>58000</v>
      </c>
      <c r="P201" t="s">
        <v>27</v>
      </c>
    </row>
    <row r="202" spans="1:16" x14ac:dyDescent="0.35">
      <c r="A202" s="18">
        <v>45856</v>
      </c>
      <c r="B202" s="18" t="s">
        <v>1132</v>
      </c>
      <c r="C202" t="s">
        <v>1130</v>
      </c>
      <c r="D202" t="s">
        <v>9</v>
      </c>
      <c r="E202" t="s">
        <v>122</v>
      </c>
      <c r="F202" t="s">
        <v>619</v>
      </c>
      <c r="G202" s="46">
        <v>64</v>
      </c>
      <c r="H202" t="s">
        <v>90</v>
      </c>
      <c r="I202" t="str">
        <f>VLOOKUP(Tabla5[[#This Row],[Producto]],Referencia!$E$2:$F$238,2,0)</f>
        <v>P143</v>
      </c>
      <c r="J202" t="s">
        <v>526</v>
      </c>
      <c r="K202" s="47">
        <v>1</v>
      </c>
      <c r="L202" t="s">
        <v>1066</v>
      </c>
      <c r="M202" s="23">
        <v>12500</v>
      </c>
      <c r="N202" s="23">
        <v>0</v>
      </c>
      <c r="O202" s="23">
        <v>-12500</v>
      </c>
      <c r="P202" t="s">
        <v>27</v>
      </c>
    </row>
    <row r="203" spans="1:16" x14ac:dyDescent="0.35">
      <c r="A203" s="18">
        <v>45856</v>
      </c>
      <c r="B203" s="18" t="s">
        <v>1132</v>
      </c>
      <c r="C203" t="s">
        <v>1130</v>
      </c>
      <c r="D203" t="s">
        <v>9</v>
      </c>
      <c r="E203" t="s">
        <v>122</v>
      </c>
      <c r="F203" t="s">
        <v>619</v>
      </c>
      <c r="G203" s="46">
        <v>64</v>
      </c>
      <c r="H203" t="s">
        <v>90</v>
      </c>
      <c r="I203" t="str">
        <f>VLOOKUP(Tabla5[[#This Row],[Producto]],Referencia!$E$2:$F$238,2,0)</f>
        <v>P144</v>
      </c>
      <c r="J203" t="s">
        <v>527</v>
      </c>
      <c r="K203" s="47">
        <v>1</v>
      </c>
      <c r="L203" t="s">
        <v>1078</v>
      </c>
      <c r="M203" s="23">
        <v>30000</v>
      </c>
      <c r="N203" s="23">
        <v>50000</v>
      </c>
      <c r="O203" s="23">
        <v>20000</v>
      </c>
      <c r="P203" t="s">
        <v>27</v>
      </c>
    </row>
    <row r="204" spans="1:16" x14ac:dyDescent="0.35">
      <c r="A204" s="18">
        <v>45856</v>
      </c>
      <c r="B204" s="18" t="s">
        <v>1132</v>
      </c>
      <c r="C204" t="s">
        <v>1130</v>
      </c>
      <c r="D204" t="s">
        <v>9</v>
      </c>
      <c r="E204" t="s">
        <v>122</v>
      </c>
      <c r="F204" t="s">
        <v>619</v>
      </c>
      <c r="G204" s="46">
        <v>64</v>
      </c>
      <c r="H204" t="s">
        <v>90</v>
      </c>
      <c r="I204" t="str">
        <f>VLOOKUP(Tabla5[[#This Row],[Producto]],Referencia!$E$2:$F$238,2,0)</f>
        <v>P43</v>
      </c>
      <c r="J204" t="s">
        <v>80</v>
      </c>
      <c r="K204" s="47">
        <v>1</v>
      </c>
      <c r="L204" t="s">
        <v>1078</v>
      </c>
      <c r="M204" s="23">
        <v>100000</v>
      </c>
      <c r="N204" s="23">
        <v>220000</v>
      </c>
      <c r="O204" s="23">
        <v>120000</v>
      </c>
      <c r="P204" t="s">
        <v>27</v>
      </c>
    </row>
    <row r="205" spans="1:16" x14ac:dyDescent="0.35">
      <c r="A205" s="18">
        <v>45856</v>
      </c>
      <c r="B205" s="18" t="s">
        <v>1132</v>
      </c>
      <c r="C205" t="s">
        <v>1130</v>
      </c>
      <c r="D205" t="s">
        <v>9</v>
      </c>
      <c r="E205" t="s">
        <v>122</v>
      </c>
      <c r="F205" t="s">
        <v>619</v>
      </c>
      <c r="G205" s="46">
        <v>64</v>
      </c>
      <c r="H205" t="s">
        <v>90</v>
      </c>
      <c r="I205" t="str">
        <f>VLOOKUP(Tabla5[[#This Row],[Producto]],Referencia!$E$2:$F$238,2,0)</f>
        <v>P145</v>
      </c>
      <c r="J205" t="s">
        <v>528</v>
      </c>
      <c r="K205" s="47">
        <v>1</v>
      </c>
      <c r="L205" t="s">
        <v>1066</v>
      </c>
      <c r="M205" s="23">
        <v>32700</v>
      </c>
      <c r="N205" s="23">
        <v>75000</v>
      </c>
      <c r="O205" s="23">
        <v>42300</v>
      </c>
      <c r="P205" t="s">
        <v>27</v>
      </c>
    </row>
    <row r="206" spans="1:16" x14ac:dyDescent="0.35">
      <c r="A206" s="18">
        <v>45856</v>
      </c>
      <c r="B206" s="18" t="s">
        <v>1132</v>
      </c>
      <c r="C206" t="s">
        <v>1130</v>
      </c>
      <c r="D206" t="s">
        <v>9</v>
      </c>
      <c r="E206" t="s">
        <v>140</v>
      </c>
      <c r="F206" t="s">
        <v>619</v>
      </c>
      <c r="G206" s="46">
        <v>11</v>
      </c>
      <c r="H206" t="s">
        <v>529</v>
      </c>
      <c r="I206" t="str">
        <f>VLOOKUP(Tabla5[[#This Row],[Producto]],Referencia!$E$2:$F$238,2,0)</f>
        <v>P132</v>
      </c>
      <c r="J206" t="s">
        <v>513</v>
      </c>
      <c r="K206" s="47">
        <v>1</v>
      </c>
      <c r="L206" t="s">
        <v>1078</v>
      </c>
      <c r="M206" s="23">
        <v>32000</v>
      </c>
      <c r="N206" s="23">
        <v>90000</v>
      </c>
      <c r="O206" s="23">
        <v>58000</v>
      </c>
      <c r="P206" t="s">
        <v>27</v>
      </c>
    </row>
    <row r="207" spans="1:16" x14ac:dyDescent="0.35">
      <c r="A207" s="18">
        <v>45856</v>
      </c>
      <c r="B207" s="18" t="s">
        <v>1132</v>
      </c>
      <c r="C207" t="s">
        <v>1130</v>
      </c>
      <c r="D207" t="s">
        <v>9</v>
      </c>
      <c r="E207" t="s">
        <v>140</v>
      </c>
      <c r="F207" t="s">
        <v>619</v>
      </c>
      <c r="G207" s="46">
        <v>11</v>
      </c>
      <c r="H207" t="s">
        <v>529</v>
      </c>
      <c r="I207" t="str">
        <f>VLOOKUP(Tabla5[[#This Row],[Producto]],Referencia!$E$2:$F$238,2,0)</f>
        <v>P128</v>
      </c>
      <c r="J207" t="s">
        <v>632</v>
      </c>
      <c r="K207" s="47">
        <v>1</v>
      </c>
      <c r="L207" t="s">
        <v>1078</v>
      </c>
      <c r="M207" s="23">
        <v>38000</v>
      </c>
      <c r="N207" s="23">
        <v>75000</v>
      </c>
      <c r="O207" s="23">
        <v>37000</v>
      </c>
      <c r="P207" t="s">
        <v>27</v>
      </c>
    </row>
    <row r="208" spans="1:16" x14ac:dyDescent="0.35">
      <c r="A208" s="18">
        <v>45856</v>
      </c>
      <c r="B208" s="18" t="s">
        <v>1132</v>
      </c>
      <c r="C208" t="s">
        <v>1130</v>
      </c>
      <c r="D208" t="s">
        <v>9</v>
      </c>
      <c r="E208" t="s">
        <v>140</v>
      </c>
      <c r="F208" t="s">
        <v>619</v>
      </c>
      <c r="G208" s="46">
        <v>11</v>
      </c>
      <c r="H208" t="s">
        <v>529</v>
      </c>
      <c r="I208" t="str">
        <f>VLOOKUP(Tabla5[[#This Row],[Producto]],Referencia!$E$2:$F$238,2,0)</f>
        <v>P146</v>
      </c>
      <c r="J208" t="s">
        <v>530</v>
      </c>
      <c r="K208" s="47">
        <v>1</v>
      </c>
      <c r="L208" t="s">
        <v>1078</v>
      </c>
      <c r="M208" s="23">
        <v>34000</v>
      </c>
      <c r="N208" s="23">
        <v>58000</v>
      </c>
      <c r="O208" s="23">
        <v>24000</v>
      </c>
      <c r="P208" t="s">
        <v>27</v>
      </c>
    </row>
    <row r="209" spans="1:16" x14ac:dyDescent="0.35">
      <c r="A209" s="18">
        <v>45856</v>
      </c>
      <c r="B209" s="18" t="s">
        <v>1132</v>
      </c>
      <c r="C209" t="s">
        <v>1130</v>
      </c>
      <c r="D209" t="s">
        <v>9</v>
      </c>
      <c r="E209" t="s">
        <v>140</v>
      </c>
      <c r="F209" t="s">
        <v>619</v>
      </c>
      <c r="G209" s="46">
        <v>11</v>
      </c>
      <c r="H209" t="s">
        <v>529</v>
      </c>
      <c r="I209" t="str">
        <f>VLOOKUP(Tabla5[[#This Row],[Producto]],Referencia!$E$2:$F$238,2,0)</f>
        <v>P147</v>
      </c>
      <c r="J209" t="s">
        <v>531</v>
      </c>
      <c r="K209" s="47">
        <v>1</v>
      </c>
      <c r="L209" t="s">
        <v>1067</v>
      </c>
      <c r="M209" s="23">
        <v>100000</v>
      </c>
      <c r="N209" s="23">
        <v>190000</v>
      </c>
      <c r="O209" s="23">
        <v>90000</v>
      </c>
      <c r="P209" t="s">
        <v>27</v>
      </c>
    </row>
    <row r="210" spans="1:16" x14ac:dyDescent="0.35">
      <c r="A210" s="18">
        <v>45856</v>
      </c>
      <c r="B210" s="18" t="s">
        <v>1132</v>
      </c>
      <c r="C210" t="s">
        <v>1130</v>
      </c>
      <c r="D210" t="s">
        <v>9</v>
      </c>
      <c r="E210" t="s">
        <v>140</v>
      </c>
      <c r="F210" t="s">
        <v>619</v>
      </c>
      <c r="G210" s="46">
        <v>25</v>
      </c>
      <c r="H210" t="s">
        <v>160</v>
      </c>
      <c r="I210" t="str">
        <f>VLOOKUP(Tabla5[[#This Row],[Producto]],Referencia!$E$2:$F$238,2,0)</f>
        <v>P56</v>
      </c>
      <c r="J210" t="s">
        <v>91</v>
      </c>
      <c r="K210" s="47">
        <v>1</v>
      </c>
      <c r="L210" t="s">
        <v>1078</v>
      </c>
      <c r="M210" s="23">
        <v>45000</v>
      </c>
      <c r="N210" s="23">
        <v>90000</v>
      </c>
      <c r="O210" s="23">
        <v>45000</v>
      </c>
      <c r="P210" t="s">
        <v>27</v>
      </c>
    </row>
    <row r="211" spans="1:16" x14ac:dyDescent="0.35">
      <c r="A211" s="18">
        <v>45856</v>
      </c>
      <c r="B211" s="18" t="s">
        <v>1132</v>
      </c>
      <c r="C211" t="s">
        <v>1130</v>
      </c>
      <c r="D211" t="s">
        <v>9</v>
      </c>
      <c r="E211" t="s">
        <v>140</v>
      </c>
      <c r="F211" t="s">
        <v>619</v>
      </c>
      <c r="G211" s="46">
        <v>25</v>
      </c>
      <c r="H211" t="s">
        <v>160</v>
      </c>
      <c r="I211" t="str">
        <f>VLOOKUP(Tabla5[[#This Row],[Producto]],Referencia!$E$2:$F$238,2,0)</f>
        <v>P148</v>
      </c>
      <c r="J211" t="s">
        <v>532</v>
      </c>
      <c r="K211" s="47">
        <v>1</v>
      </c>
      <c r="L211" t="s">
        <v>1078</v>
      </c>
      <c r="M211" s="23">
        <v>16000</v>
      </c>
      <c r="N211" s="23">
        <v>30000</v>
      </c>
      <c r="O211" s="23">
        <v>14000</v>
      </c>
      <c r="P211" t="s">
        <v>27</v>
      </c>
    </row>
    <row r="212" spans="1:16" x14ac:dyDescent="0.35">
      <c r="A212" s="18">
        <v>45856</v>
      </c>
      <c r="B212" s="18" t="s">
        <v>1132</v>
      </c>
      <c r="C212" t="s">
        <v>1130</v>
      </c>
      <c r="D212" t="s">
        <v>9</v>
      </c>
      <c r="E212" t="s">
        <v>140</v>
      </c>
      <c r="F212" t="s">
        <v>619</v>
      </c>
      <c r="G212" s="46">
        <v>25</v>
      </c>
      <c r="H212" t="s">
        <v>160</v>
      </c>
      <c r="I212" t="str">
        <f>VLOOKUP(Tabla5[[#This Row],[Producto]],Referencia!$E$2:$F$238,2,0)</f>
        <v>P149</v>
      </c>
      <c r="J212" t="s">
        <v>533</v>
      </c>
      <c r="K212" s="47">
        <v>1</v>
      </c>
      <c r="L212" t="s">
        <v>1078</v>
      </c>
      <c r="M212" s="23">
        <v>20000</v>
      </c>
      <c r="N212" s="23">
        <v>40000</v>
      </c>
      <c r="O212" s="23">
        <v>20000</v>
      </c>
      <c r="P212" t="s">
        <v>27</v>
      </c>
    </row>
    <row r="213" spans="1:16" x14ac:dyDescent="0.35">
      <c r="A213" s="18">
        <v>45856</v>
      </c>
      <c r="B213" s="18" t="s">
        <v>1132</v>
      </c>
      <c r="C213" t="s">
        <v>1130</v>
      </c>
      <c r="D213" t="s">
        <v>9</v>
      </c>
      <c r="E213" t="s">
        <v>140</v>
      </c>
      <c r="F213" t="s">
        <v>619</v>
      </c>
      <c r="G213" s="46">
        <v>25</v>
      </c>
      <c r="H213" t="s">
        <v>160</v>
      </c>
      <c r="I213" t="str">
        <f>VLOOKUP(Tabla5[[#This Row],[Producto]],Referencia!$E$2:$F$238,2,0)</f>
        <v>P107</v>
      </c>
      <c r="J213" t="s">
        <v>483</v>
      </c>
      <c r="K213" s="47">
        <v>1</v>
      </c>
      <c r="L213" t="s">
        <v>1063</v>
      </c>
      <c r="M213" s="23">
        <v>20800</v>
      </c>
      <c r="N213" s="23">
        <v>50000</v>
      </c>
      <c r="O213" s="23">
        <v>29200</v>
      </c>
      <c r="P213" t="s">
        <v>27</v>
      </c>
    </row>
    <row r="214" spans="1:16" x14ac:dyDescent="0.35">
      <c r="A214" s="18">
        <v>45856</v>
      </c>
      <c r="B214" s="18" t="s">
        <v>1132</v>
      </c>
      <c r="C214" t="s">
        <v>1130</v>
      </c>
      <c r="D214" t="s">
        <v>9</v>
      </c>
      <c r="E214" t="s">
        <v>122</v>
      </c>
      <c r="F214" t="s">
        <v>619</v>
      </c>
      <c r="G214" s="46">
        <v>12</v>
      </c>
      <c r="H214" t="s">
        <v>141</v>
      </c>
      <c r="I214" t="str">
        <f>VLOOKUP(Tabla5[[#This Row],[Producto]],Referencia!$E$2:$F$238,2,0)</f>
        <v>P150</v>
      </c>
      <c r="J214" t="s">
        <v>534</v>
      </c>
      <c r="K214" s="47">
        <v>1</v>
      </c>
      <c r="L214" t="s">
        <v>1066</v>
      </c>
      <c r="M214" s="23">
        <v>53780</v>
      </c>
      <c r="N214" s="23">
        <v>100000</v>
      </c>
      <c r="O214" s="23">
        <v>46220</v>
      </c>
      <c r="P214" t="s">
        <v>27</v>
      </c>
    </row>
    <row r="215" spans="1:16" x14ac:dyDescent="0.35">
      <c r="A215" s="18">
        <v>45861</v>
      </c>
      <c r="B215" s="18" t="s">
        <v>1132</v>
      </c>
      <c r="C215" t="s">
        <v>1130</v>
      </c>
      <c r="D215" t="s">
        <v>615</v>
      </c>
      <c r="E215" t="s">
        <v>129</v>
      </c>
      <c r="F215" t="s">
        <v>619</v>
      </c>
      <c r="G215" s="46">
        <v>18</v>
      </c>
      <c r="H215" t="s">
        <v>535</v>
      </c>
      <c r="I215" t="str">
        <f>VLOOKUP(Tabla5[[#This Row],[Producto]],Referencia!$E$2:$F$238,2,0)</f>
        <v>P111</v>
      </c>
      <c r="J215" t="s">
        <v>536</v>
      </c>
      <c r="K215" s="47">
        <v>1</v>
      </c>
      <c r="L215" t="s">
        <v>1064</v>
      </c>
      <c r="M215" s="23">
        <v>20111</v>
      </c>
      <c r="N215" s="23">
        <v>38000</v>
      </c>
      <c r="O215" s="23">
        <v>17889</v>
      </c>
      <c r="P215" t="s">
        <v>27</v>
      </c>
    </row>
    <row r="216" spans="1:16" x14ac:dyDescent="0.35">
      <c r="A216" s="18">
        <v>45861</v>
      </c>
      <c r="B216" s="18" t="s">
        <v>1132</v>
      </c>
      <c r="C216" t="s">
        <v>1130</v>
      </c>
      <c r="D216" t="s">
        <v>615</v>
      </c>
      <c r="E216" t="s">
        <v>127</v>
      </c>
      <c r="F216" t="s">
        <v>619</v>
      </c>
      <c r="G216" s="46">
        <v>6</v>
      </c>
      <c r="H216" t="s">
        <v>126</v>
      </c>
      <c r="I216" t="str">
        <f>VLOOKUP(Tabla5[[#This Row],[Producto]],Referencia!$E$2:$F$238,2,0)</f>
        <v>P151</v>
      </c>
      <c r="J216" t="s">
        <v>537</v>
      </c>
      <c r="K216" s="47">
        <v>1</v>
      </c>
      <c r="L216" t="s">
        <v>1067</v>
      </c>
      <c r="M216" s="23">
        <v>90000</v>
      </c>
      <c r="N216" s="23">
        <v>170000</v>
      </c>
      <c r="O216" s="23">
        <v>80000</v>
      </c>
      <c r="P216" t="s">
        <v>27</v>
      </c>
    </row>
    <row r="217" spans="1:16" x14ac:dyDescent="0.35">
      <c r="A217" s="18">
        <v>45861</v>
      </c>
      <c r="B217" s="18" t="s">
        <v>1132</v>
      </c>
      <c r="C217" t="s">
        <v>1130</v>
      </c>
      <c r="D217" t="s">
        <v>615</v>
      </c>
      <c r="E217" t="s">
        <v>127</v>
      </c>
      <c r="F217" t="s">
        <v>619</v>
      </c>
      <c r="G217" s="46">
        <v>6</v>
      </c>
      <c r="H217" t="s">
        <v>126</v>
      </c>
      <c r="I217" t="str">
        <f>VLOOKUP(Tabla5[[#This Row],[Producto]],Referencia!$E$2:$F$238,2,0)</f>
        <v>P148</v>
      </c>
      <c r="J217" t="s">
        <v>532</v>
      </c>
      <c r="K217" s="47">
        <v>1</v>
      </c>
      <c r="L217" t="s">
        <v>1078</v>
      </c>
      <c r="M217" s="23">
        <v>16000</v>
      </c>
      <c r="N217" s="23">
        <v>30000</v>
      </c>
      <c r="O217" s="23">
        <v>14000</v>
      </c>
      <c r="P217" t="s">
        <v>27</v>
      </c>
    </row>
    <row r="218" spans="1:16" x14ac:dyDescent="0.35">
      <c r="A218" s="18">
        <v>45861</v>
      </c>
      <c r="B218" s="18" t="s">
        <v>1132</v>
      </c>
      <c r="C218" t="s">
        <v>1130</v>
      </c>
      <c r="D218" t="s">
        <v>615</v>
      </c>
      <c r="E218" t="s">
        <v>127</v>
      </c>
      <c r="F218" t="s">
        <v>619</v>
      </c>
      <c r="G218" s="46">
        <v>6</v>
      </c>
      <c r="H218" t="s">
        <v>126</v>
      </c>
      <c r="I218" t="str">
        <f>VLOOKUP(Tabla5[[#This Row],[Producto]],Referencia!$E$2:$F$238,2,0)</f>
        <v>P149</v>
      </c>
      <c r="J218" t="s">
        <v>533</v>
      </c>
      <c r="K218" s="47">
        <v>1</v>
      </c>
      <c r="L218" t="s">
        <v>1078</v>
      </c>
      <c r="M218" s="23">
        <v>20000</v>
      </c>
      <c r="N218" s="23">
        <v>40000</v>
      </c>
      <c r="O218" s="23">
        <v>20000</v>
      </c>
      <c r="P218" t="s">
        <v>27</v>
      </c>
    </row>
    <row r="219" spans="1:16" x14ac:dyDescent="0.35">
      <c r="A219" s="18">
        <v>45861</v>
      </c>
      <c r="B219" s="18" t="s">
        <v>1132</v>
      </c>
      <c r="C219" t="s">
        <v>1130</v>
      </c>
      <c r="D219" t="s">
        <v>615</v>
      </c>
      <c r="E219" t="s">
        <v>129</v>
      </c>
      <c r="F219" t="s">
        <v>619</v>
      </c>
      <c r="G219" s="46">
        <v>180</v>
      </c>
      <c r="H219" t="s">
        <v>463</v>
      </c>
      <c r="I219" t="str">
        <f>VLOOKUP(Tabla5[[#This Row],[Producto]],Referencia!$E$2:$F$238,2,0)</f>
        <v>P96</v>
      </c>
      <c r="J219" t="s">
        <v>538</v>
      </c>
      <c r="K219" s="47">
        <v>1</v>
      </c>
      <c r="L219" t="s">
        <v>1078</v>
      </c>
      <c r="M219" s="23">
        <v>17000</v>
      </c>
      <c r="N219" s="23">
        <v>35000</v>
      </c>
      <c r="O219" s="23">
        <v>18000</v>
      </c>
      <c r="P219" t="s">
        <v>27</v>
      </c>
    </row>
    <row r="220" spans="1:16" x14ac:dyDescent="0.35">
      <c r="A220" s="18">
        <v>45861</v>
      </c>
      <c r="B220" s="18" t="s">
        <v>1132</v>
      </c>
      <c r="C220" t="s">
        <v>1130</v>
      </c>
      <c r="D220" t="s">
        <v>615</v>
      </c>
      <c r="E220" t="s">
        <v>129</v>
      </c>
      <c r="F220" t="s">
        <v>619</v>
      </c>
      <c r="G220" s="46">
        <v>180</v>
      </c>
      <c r="H220" t="s">
        <v>463</v>
      </c>
      <c r="I220" t="str">
        <f>VLOOKUP(Tabla5[[#This Row],[Producto]],Referencia!$E$2:$F$238,2,0)</f>
        <v>P152</v>
      </c>
      <c r="J220" t="s">
        <v>539</v>
      </c>
      <c r="K220" s="47">
        <v>1</v>
      </c>
      <c r="L220" t="s">
        <v>1066</v>
      </c>
      <c r="M220" s="23">
        <v>37800</v>
      </c>
      <c r="N220" s="23">
        <v>75000</v>
      </c>
      <c r="O220" s="23">
        <v>37200</v>
      </c>
      <c r="P220" t="s">
        <v>27</v>
      </c>
    </row>
    <row r="221" spans="1:16" x14ac:dyDescent="0.35">
      <c r="A221" s="18">
        <v>45861</v>
      </c>
      <c r="B221" s="18" t="s">
        <v>1132</v>
      </c>
      <c r="C221" t="s">
        <v>1130</v>
      </c>
      <c r="D221" t="s">
        <v>615</v>
      </c>
      <c r="E221" t="s">
        <v>129</v>
      </c>
      <c r="F221" t="s">
        <v>617</v>
      </c>
      <c r="G221" s="46" t="s">
        <v>618</v>
      </c>
      <c r="H221" t="s">
        <v>477</v>
      </c>
      <c r="I221" t="str">
        <f>VLOOKUP(Tabla5[[#This Row],[Producto]],Referencia!$E$2:$F$238,2,0)</f>
        <v>P137</v>
      </c>
      <c r="J221" t="s">
        <v>628</v>
      </c>
      <c r="K221" s="47">
        <v>1</v>
      </c>
      <c r="L221" t="s">
        <v>31</v>
      </c>
      <c r="M221" s="23">
        <v>50000</v>
      </c>
      <c r="N221" s="23">
        <v>100000</v>
      </c>
      <c r="O221" s="23">
        <v>50000</v>
      </c>
      <c r="P221" t="s">
        <v>23</v>
      </c>
    </row>
    <row r="222" spans="1:16" x14ac:dyDescent="0.35">
      <c r="A222" s="18">
        <v>45861</v>
      </c>
      <c r="B222" s="18" t="s">
        <v>1132</v>
      </c>
      <c r="C222" t="s">
        <v>1130</v>
      </c>
      <c r="D222" t="s">
        <v>415</v>
      </c>
      <c r="E222" t="s">
        <v>82</v>
      </c>
      <c r="F222" t="s">
        <v>619</v>
      </c>
      <c r="G222" s="46">
        <v>67</v>
      </c>
      <c r="H222" t="s">
        <v>217</v>
      </c>
      <c r="I222" t="str">
        <f>VLOOKUP(Tabla5[[#This Row],[Producto]],Referencia!$E$2:$F$238,2,0)</f>
        <v>P153</v>
      </c>
      <c r="J222" t="s">
        <v>634</v>
      </c>
      <c r="K222" s="47">
        <v>1</v>
      </c>
      <c r="L222" t="s">
        <v>1067</v>
      </c>
      <c r="M222" s="23">
        <v>110000</v>
      </c>
      <c r="N222" s="23">
        <v>190000</v>
      </c>
      <c r="O222" s="23">
        <v>80000</v>
      </c>
      <c r="P222" t="s">
        <v>23</v>
      </c>
    </row>
    <row r="223" spans="1:16" x14ac:dyDescent="0.35">
      <c r="A223" s="18">
        <v>45861</v>
      </c>
      <c r="B223" s="18" t="s">
        <v>1132</v>
      </c>
      <c r="C223" t="s">
        <v>1130</v>
      </c>
      <c r="D223" t="s">
        <v>415</v>
      </c>
      <c r="E223" t="s">
        <v>82</v>
      </c>
      <c r="F223" t="s">
        <v>619</v>
      </c>
      <c r="G223" s="46">
        <v>67</v>
      </c>
      <c r="H223" t="s">
        <v>217</v>
      </c>
      <c r="I223" t="str">
        <f>VLOOKUP(Tabla5[[#This Row],[Producto]],Referencia!$E$2:$F$238,2,0)</f>
        <v>P68</v>
      </c>
      <c r="J223" t="s">
        <v>427</v>
      </c>
      <c r="K223" s="47">
        <v>1</v>
      </c>
      <c r="L223" t="s">
        <v>1078</v>
      </c>
      <c r="M223" s="23">
        <v>45000</v>
      </c>
      <c r="N223" s="23">
        <v>90000</v>
      </c>
      <c r="O223" s="23">
        <v>45000</v>
      </c>
      <c r="P223" t="s">
        <v>23</v>
      </c>
    </row>
    <row r="224" spans="1:16" x14ac:dyDescent="0.35">
      <c r="A224" s="18">
        <v>45861</v>
      </c>
      <c r="B224" s="18" t="s">
        <v>1132</v>
      </c>
      <c r="C224" t="s">
        <v>1130</v>
      </c>
      <c r="D224" t="s">
        <v>415</v>
      </c>
      <c r="E224" t="s">
        <v>82</v>
      </c>
      <c r="F224" t="s">
        <v>619</v>
      </c>
      <c r="G224" s="46">
        <v>67</v>
      </c>
      <c r="H224" t="s">
        <v>217</v>
      </c>
      <c r="I224" t="str">
        <f>VLOOKUP(Tabla5[[#This Row],[Producto]],Referencia!$E$2:$F$238,2,0)</f>
        <v>P154</v>
      </c>
      <c r="J224" t="s">
        <v>540</v>
      </c>
      <c r="K224" s="47">
        <v>1</v>
      </c>
      <c r="L224" t="s">
        <v>1067</v>
      </c>
      <c r="M224" s="23">
        <v>190000</v>
      </c>
      <c r="N224" s="23">
        <v>320000</v>
      </c>
      <c r="O224" s="23">
        <v>130000</v>
      </c>
      <c r="P224" t="s">
        <v>23</v>
      </c>
    </row>
    <row r="225" spans="1:16" x14ac:dyDescent="0.35">
      <c r="A225" s="18">
        <v>45861</v>
      </c>
      <c r="B225" s="18" t="s">
        <v>1132</v>
      </c>
      <c r="C225" t="s">
        <v>1130</v>
      </c>
      <c r="D225" t="s">
        <v>415</v>
      </c>
      <c r="E225" t="s">
        <v>82</v>
      </c>
      <c r="F225" t="s">
        <v>617</v>
      </c>
      <c r="G225" s="46" t="s">
        <v>618</v>
      </c>
      <c r="H225" t="s">
        <v>477</v>
      </c>
      <c r="I225" t="str">
        <f>VLOOKUP(Tabla5[[#This Row],[Producto]],Referencia!$E$2:$F$238,2,0)</f>
        <v>P155</v>
      </c>
      <c r="J225" t="s">
        <v>541</v>
      </c>
      <c r="K225" s="47">
        <v>1</v>
      </c>
      <c r="L225" t="s">
        <v>1063</v>
      </c>
      <c r="M225" s="23">
        <v>14050</v>
      </c>
      <c r="N225" s="23">
        <v>20000</v>
      </c>
      <c r="O225" s="23">
        <v>5950</v>
      </c>
      <c r="P225" t="s">
        <v>23</v>
      </c>
    </row>
    <row r="226" spans="1:16" x14ac:dyDescent="0.35">
      <c r="A226" s="18">
        <v>45861</v>
      </c>
      <c r="B226" s="18" t="s">
        <v>1132</v>
      </c>
      <c r="C226" t="s">
        <v>1130</v>
      </c>
      <c r="D226" t="s">
        <v>415</v>
      </c>
      <c r="E226" t="s">
        <v>82</v>
      </c>
      <c r="F226" t="s">
        <v>617</v>
      </c>
      <c r="G226" s="46" t="s">
        <v>618</v>
      </c>
      <c r="H226" t="s">
        <v>477</v>
      </c>
      <c r="I226" t="str">
        <f>VLOOKUP(Tabla5[[#This Row],[Producto]],Referencia!$E$2:$F$238,2,0)</f>
        <v>P129</v>
      </c>
      <c r="J226" t="s">
        <v>508</v>
      </c>
      <c r="K226" s="47">
        <v>1</v>
      </c>
      <c r="L226" t="s">
        <v>1065</v>
      </c>
      <c r="M226" s="23">
        <v>11340</v>
      </c>
      <c r="N226" s="23">
        <v>18000</v>
      </c>
      <c r="O226" s="23">
        <v>6660</v>
      </c>
      <c r="P226" t="s">
        <v>23</v>
      </c>
    </row>
    <row r="227" spans="1:16" x14ac:dyDescent="0.35">
      <c r="A227" s="18">
        <v>45861</v>
      </c>
      <c r="B227" s="18" t="s">
        <v>1132</v>
      </c>
      <c r="C227" t="s">
        <v>1130</v>
      </c>
      <c r="D227" t="s">
        <v>415</v>
      </c>
      <c r="E227" t="s">
        <v>82</v>
      </c>
      <c r="F227" t="s">
        <v>617</v>
      </c>
      <c r="G227" s="46" t="s">
        <v>618</v>
      </c>
      <c r="H227" t="s">
        <v>477</v>
      </c>
      <c r="I227" t="str">
        <f>VLOOKUP(Tabla5[[#This Row],[Producto]],Referencia!$E$2:$F$238,2,0)</f>
        <v>P156</v>
      </c>
      <c r="J227" t="s">
        <v>542</v>
      </c>
      <c r="K227" s="47">
        <v>1</v>
      </c>
      <c r="L227" t="s">
        <v>1065</v>
      </c>
      <c r="M227" s="23">
        <v>10890</v>
      </c>
      <c r="N227" s="23">
        <v>22000</v>
      </c>
      <c r="O227" s="23">
        <v>11110</v>
      </c>
      <c r="P227" t="s">
        <v>23</v>
      </c>
    </row>
    <row r="228" spans="1:16" x14ac:dyDescent="0.35">
      <c r="A228" s="18">
        <v>45862</v>
      </c>
      <c r="B228" s="18" t="s">
        <v>1132</v>
      </c>
      <c r="C228" t="s">
        <v>1130</v>
      </c>
      <c r="D228" t="s">
        <v>8</v>
      </c>
      <c r="E228" t="s">
        <v>109</v>
      </c>
      <c r="F228" t="s">
        <v>619</v>
      </c>
      <c r="G228" s="46">
        <v>4</v>
      </c>
      <c r="H228" t="s">
        <v>118</v>
      </c>
      <c r="I228" t="str">
        <f>VLOOKUP(Tabla5[[#This Row],[Producto]],Referencia!$E$2:$F$238,2,0)</f>
        <v>P157</v>
      </c>
      <c r="J228" t="s">
        <v>543</v>
      </c>
      <c r="K228" s="47">
        <v>1</v>
      </c>
      <c r="L228" t="s">
        <v>1064</v>
      </c>
      <c r="M228" s="23">
        <v>237500</v>
      </c>
      <c r="N228" s="23">
        <v>420000</v>
      </c>
      <c r="O228" s="23">
        <v>182500</v>
      </c>
      <c r="P228" t="s">
        <v>27</v>
      </c>
    </row>
    <row r="229" spans="1:16" x14ac:dyDescent="0.35">
      <c r="A229" s="18">
        <v>45862</v>
      </c>
      <c r="B229" s="18" t="s">
        <v>1132</v>
      </c>
      <c r="C229" t="s">
        <v>1130</v>
      </c>
      <c r="D229" t="s">
        <v>8</v>
      </c>
      <c r="E229" t="s">
        <v>109</v>
      </c>
      <c r="F229" t="s">
        <v>619</v>
      </c>
      <c r="G229" s="46">
        <v>4</v>
      </c>
      <c r="H229" t="s">
        <v>118</v>
      </c>
      <c r="I229" t="str">
        <f>VLOOKUP(Tabla5[[#This Row],[Producto]],Referencia!$E$2:$F$238,2,0)</f>
        <v>P158</v>
      </c>
      <c r="J229" t="s">
        <v>544</v>
      </c>
      <c r="K229" s="47">
        <v>1</v>
      </c>
      <c r="L229" t="s">
        <v>1078</v>
      </c>
      <c r="M229" s="23">
        <v>2000</v>
      </c>
      <c r="N229" s="23">
        <v>10000</v>
      </c>
      <c r="O229" s="23">
        <v>8000</v>
      </c>
      <c r="P229" t="s">
        <v>27</v>
      </c>
    </row>
    <row r="230" spans="1:16" x14ac:dyDescent="0.35">
      <c r="A230" s="18">
        <v>45862</v>
      </c>
      <c r="B230" s="18" t="s">
        <v>1132</v>
      </c>
      <c r="C230" t="s">
        <v>1130</v>
      </c>
      <c r="D230" t="s">
        <v>8</v>
      </c>
      <c r="E230" t="s">
        <v>109</v>
      </c>
      <c r="F230" t="s">
        <v>619</v>
      </c>
      <c r="G230" s="46">
        <v>4</v>
      </c>
      <c r="H230" t="s">
        <v>118</v>
      </c>
      <c r="I230" t="str">
        <f>VLOOKUP(Tabla5[[#This Row],[Producto]],Referencia!$E$2:$F$238,2,0)</f>
        <v>P159</v>
      </c>
      <c r="J230" t="s">
        <v>545</v>
      </c>
      <c r="K230" s="47">
        <v>1</v>
      </c>
      <c r="L230" t="s">
        <v>1078</v>
      </c>
      <c r="M230" s="23">
        <v>18000</v>
      </c>
      <c r="N230" s="23">
        <v>25000</v>
      </c>
      <c r="O230" s="23">
        <v>7000</v>
      </c>
      <c r="P230" t="s">
        <v>27</v>
      </c>
    </row>
    <row r="231" spans="1:16" x14ac:dyDescent="0.35">
      <c r="A231" s="18">
        <v>45862</v>
      </c>
      <c r="B231" s="18" t="s">
        <v>1132</v>
      </c>
      <c r="C231" t="s">
        <v>1130</v>
      </c>
      <c r="D231" t="s">
        <v>8</v>
      </c>
      <c r="E231" t="s">
        <v>109</v>
      </c>
      <c r="F231" t="s">
        <v>619</v>
      </c>
      <c r="G231" s="46">
        <v>4</v>
      </c>
      <c r="H231" t="s">
        <v>118</v>
      </c>
      <c r="I231" t="str">
        <f>VLOOKUP(Tabla5[[#This Row],[Producto]],Referencia!$E$2:$F$238,2,0)</f>
        <v>P160</v>
      </c>
      <c r="J231" t="s">
        <v>546</v>
      </c>
      <c r="K231" s="47">
        <v>1</v>
      </c>
      <c r="L231" t="s">
        <v>1064</v>
      </c>
      <c r="M231" s="23">
        <v>11050</v>
      </c>
      <c r="N231" s="23">
        <v>20000</v>
      </c>
      <c r="O231" s="23">
        <v>8950</v>
      </c>
      <c r="P231" t="s">
        <v>27</v>
      </c>
    </row>
    <row r="232" spans="1:16" x14ac:dyDescent="0.35">
      <c r="A232" s="18">
        <v>45862</v>
      </c>
      <c r="B232" s="18" t="s">
        <v>1132</v>
      </c>
      <c r="C232" t="s">
        <v>1130</v>
      </c>
      <c r="D232" t="s">
        <v>8</v>
      </c>
      <c r="E232" t="s">
        <v>109</v>
      </c>
      <c r="F232" t="s">
        <v>619</v>
      </c>
      <c r="G232" s="46">
        <v>4</v>
      </c>
      <c r="H232" t="s">
        <v>118</v>
      </c>
      <c r="I232" t="str">
        <f>VLOOKUP(Tabla5[[#This Row],[Producto]],Referencia!$E$2:$F$238,2,0)</f>
        <v>P161</v>
      </c>
      <c r="J232" t="s">
        <v>547</v>
      </c>
      <c r="K232" s="47">
        <v>1</v>
      </c>
      <c r="L232" t="s">
        <v>1068</v>
      </c>
      <c r="M232" s="23">
        <v>5000</v>
      </c>
      <c r="N232" s="23">
        <v>10000</v>
      </c>
      <c r="O232" s="23">
        <v>5000</v>
      </c>
      <c r="P232" t="s">
        <v>27</v>
      </c>
    </row>
    <row r="233" spans="1:16" x14ac:dyDescent="0.35">
      <c r="A233" s="18">
        <v>45862</v>
      </c>
      <c r="B233" s="18" t="s">
        <v>1132</v>
      </c>
      <c r="C233" t="s">
        <v>1130</v>
      </c>
      <c r="D233" t="s">
        <v>8</v>
      </c>
      <c r="E233" t="s">
        <v>109</v>
      </c>
      <c r="F233" t="s">
        <v>619</v>
      </c>
      <c r="G233" s="46">
        <v>4</v>
      </c>
      <c r="H233" t="s">
        <v>118</v>
      </c>
      <c r="I233" t="str">
        <f>VLOOKUP(Tabla5[[#This Row],[Producto]],Referencia!$E$2:$F$238,2,0)</f>
        <v>P162</v>
      </c>
      <c r="J233" t="s">
        <v>548</v>
      </c>
      <c r="K233" s="47">
        <v>1</v>
      </c>
      <c r="L233" t="s">
        <v>1068</v>
      </c>
      <c r="M233" s="23">
        <v>6500</v>
      </c>
      <c r="N233" s="23">
        <v>11111</v>
      </c>
      <c r="O233" s="23">
        <v>4611</v>
      </c>
      <c r="P233" t="s">
        <v>27</v>
      </c>
    </row>
    <row r="234" spans="1:16" x14ac:dyDescent="0.35">
      <c r="A234" s="18">
        <v>45862</v>
      </c>
      <c r="B234" s="18" t="s">
        <v>1132</v>
      </c>
      <c r="C234" t="s">
        <v>1130</v>
      </c>
      <c r="D234" t="s">
        <v>8</v>
      </c>
      <c r="E234" t="s">
        <v>109</v>
      </c>
      <c r="F234" t="s">
        <v>619</v>
      </c>
      <c r="G234" s="46">
        <v>4</v>
      </c>
      <c r="H234" t="s">
        <v>118</v>
      </c>
      <c r="I234" t="str">
        <f>VLOOKUP(Tabla5[[#This Row],[Producto]],Referencia!$E$2:$F$238,2,0)</f>
        <v>P163</v>
      </c>
      <c r="J234" t="s">
        <v>549</v>
      </c>
      <c r="K234" s="47">
        <v>1</v>
      </c>
      <c r="L234" t="s">
        <v>1067</v>
      </c>
      <c r="M234" s="23">
        <v>32000</v>
      </c>
      <c r="N234" s="23">
        <v>90000</v>
      </c>
      <c r="O234" s="23">
        <v>58000</v>
      </c>
      <c r="P234" t="s">
        <v>27</v>
      </c>
    </row>
    <row r="235" spans="1:16" x14ac:dyDescent="0.35">
      <c r="A235" s="18">
        <v>45862</v>
      </c>
      <c r="B235" s="18" t="s">
        <v>1132</v>
      </c>
      <c r="C235" t="s">
        <v>1130</v>
      </c>
      <c r="D235" t="s">
        <v>8</v>
      </c>
      <c r="E235" t="s">
        <v>109</v>
      </c>
      <c r="F235" t="s">
        <v>619</v>
      </c>
      <c r="G235" s="46">
        <v>4</v>
      </c>
      <c r="H235" t="s">
        <v>118</v>
      </c>
      <c r="I235" t="str">
        <f>VLOOKUP(Tabla5[[#This Row],[Producto]],Referencia!$E$2:$F$238,2,0)</f>
        <v>P164</v>
      </c>
      <c r="J235" t="s">
        <v>550</v>
      </c>
      <c r="K235" s="47">
        <v>1</v>
      </c>
      <c r="L235" t="s">
        <v>1063</v>
      </c>
      <c r="M235" s="23">
        <v>4641</v>
      </c>
      <c r="N235" s="23">
        <v>8000</v>
      </c>
      <c r="O235" s="23">
        <v>3359</v>
      </c>
      <c r="P235" t="s">
        <v>27</v>
      </c>
    </row>
    <row r="236" spans="1:16" x14ac:dyDescent="0.35">
      <c r="A236" s="18">
        <v>45862</v>
      </c>
      <c r="B236" s="18" t="s">
        <v>1132</v>
      </c>
      <c r="C236" t="s">
        <v>1130</v>
      </c>
      <c r="D236" t="s">
        <v>8</v>
      </c>
      <c r="E236" t="s">
        <v>109</v>
      </c>
      <c r="F236" t="s">
        <v>619</v>
      </c>
      <c r="G236" s="46">
        <v>4</v>
      </c>
      <c r="H236" t="s">
        <v>118</v>
      </c>
      <c r="I236" t="str">
        <f>VLOOKUP(Tabla5[[#This Row],[Producto]],Referencia!$E$2:$F$238,2,0)</f>
        <v>P35</v>
      </c>
      <c r="J236" t="s">
        <v>70</v>
      </c>
      <c r="K236" s="47">
        <v>1</v>
      </c>
      <c r="L236" t="s">
        <v>1063</v>
      </c>
      <c r="M236" s="23">
        <v>4165</v>
      </c>
      <c r="N236" s="23">
        <v>7000</v>
      </c>
      <c r="O236" s="23">
        <v>2835</v>
      </c>
      <c r="P236" t="s">
        <v>27</v>
      </c>
    </row>
    <row r="237" spans="1:16" x14ac:dyDescent="0.35">
      <c r="A237" s="18">
        <v>45862</v>
      </c>
      <c r="B237" s="18" t="s">
        <v>1132</v>
      </c>
      <c r="C237" t="s">
        <v>1130</v>
      </c>
      <c r="D237" t="s">
        <v>8</v>
      </c>
      <c r="E237" t="s">
        <v>109</v>
      </c>
      <c r="F237" t="s">
        <v>619</v>
      </c>
      <c r="G237" s="46">
        <v>4</v>
      </c>
      <c r="H237" t="s">
        <v>118</v>
      </c>
      <c r="I237" t="str">
        <f>VLOOKUP(Tabla5[[#This Row],[Producto]],Referencia!$E$2:$F$238,2,0)</f>
        <v>P34</v>
      </c>
      <c r="J237" t="s">
        <v>69</v>
      </c>
      <c r="K237" s="47">
        <v>1</v>
      </c>
      <c r="L237" t="s">
        <v>1078</v>
      </c>
      <c r="M237" s="23">
        <v>4700</v>
      </c>
      <c r="N237" s="23">
        <v>8000</v>
      </c>
      <c r="O237" s="23">
        <v>3300</v>
      </c>
      <c r="P237" t="s">
        <v>27</v>
      </c>
    </row>
    <row r="238" spans="1:16" x14ac:dyDescent="0.35">
      <c r="A238" s="18">
        <v>45862</v>
      </c>
      <c r="B238" s="18" t="s">
        <v>1132</v>
      </c>
      <c r="C238" t="s">
        <v>1130</v>
      </c>
      <c r="D238" t="s">
        <v>8</v>
      </c>
      <c r="E238" t="s">
        <v>416</v>
      </c>
      <c r="F238" t="s">
        <v>619</v>
      </c>
      <c r="G238" s="46">
        <v>179</v>
      </c>
      <c r="H238" t="s">
        <v>518</v>
      </c>
      <c r="I238" t="str">
        <f>VLOOKUP(Tabla5[[#This Row],[Producto]],Referencia!$E$2:$F$238,2,0)</f>
        <v>P165</v>
      </c>
      <c r="J238" t="s">
        <v>551</v>
      </c>
      <c r="K238" s="47">
        <v>1</v>
      </c>
      <c r="L238" t="s">
        <v>1078</v>
      </c>
      <c r="M238" s="23">
        <v>90000</v>
      </c>
      <c r="N238" s="23">
        <v>180000</v>
      </c>
      <c r="O238" s="23">
        <v>90000</v>
      </c>
      <c r="P238" t="s">
        <v>27</v>
      </c>
    </row>
    <row r="239" spans="1:16" x14ac:dyDescent="0.35">
      <c r="A239" s="18">
        <v>45862</v>
      </c>
      <c r="B239" s="18" t="s">
        <v>1132</v>
      </c>
      <c r="C239" t="s">
        <v>1130</v>
      </c>
      <c r="D239" t="s">
        <v>8</v>
      </c>
      <c r="E239" t="s">
        <v>109</v>
      </c>
      <c r="F239" t="s">
        <v>617</v>
      </c>
      <c r="G239" s="46" t="s">
        <v>618</v>
      </c>
      <c r="H239" t="s">
        <v>477</v>
      </c>
      <c r="I239" t="str">
        <f>VLOOKUP(Tabla5[[#This Row],[Producto]],Referencia!$E$2:$F$238,2,0)</f>
        <v>P166</v>
      </c>
      <c r="J239" t="s">
        <v>552</v>
      </c>
      <c r="K239" s="47">
        <v>1</v>
      </c>
      <c r="L239" t="s">
        <v>1063</v>
      </c>
      <c r="M239" s="23">
        <v>3451</v>
      </c>
      <c r="N239" s="23">
        <v>7000</v>
      </c>
      <c r="O239" s="23">
        <v>3549</v>
      </c>
      <c r="P239" t="s">
        <v>23</v>
      </c>
    </row>
    <row r="240" spans="1:16" x14ac:dyDescent="0.35">
      <c r="A240" s="18">
        <v>45862</v>
      </c>
      <c r="B240" s="18" t="s">
        <v>1132</v>
      </c>
      <c r="C240" t="s">
        <v>1130</v>
      </c>
      <c r="D240" t="s">
        <v>8</v>
      </c>
      <c r="E240" t="s">
        <v>416</v>
      </c>
      <c r="F240" t="s">
        <v>619</v>
      </c>
      <c r="G240" s="46">
        <v>29</v>
      </c>
      <c r="H240" t="s">
        <v>441</v>
      </c>
      <c r="I240" t="str">
        <f>VLOOKUP(Tabla5[[#This Row],[Producto]],Referencia!$E$2:$F$238,2,0)</f>
        <v>P107</v>
      </c>
      <c r="J240" t="s">
        <v>483</v>
      </c>
      <c r="K240" s="47">
        <v>1</v>
      </c>
      <c r="L240" t="s">
        <v>1063</v>
      </c>
      <c r="M240" s="23">
        <v>20800</v>
      </c>
      <c r="N240" s="23">
        <v>45000</v>
      </c>
      <c r="O240" s="23">
        <v>24200</v>
      </c>
      <c r="P240" t="s">
        <v>23</v>
      </c>
    </row>
    <row r="241" spans="1:16" x14ac:dyDescent="0.35">
      <c r="A241" s="18">
        <v>45862</v>
      </c>
      <c r="B241" s="18" t="s">
        <v>1132</v>
      </c>
      <c r="C241" t="s">
        <v>1130</v>
      </c>
      <c r="D241" t="s">
        <v>8</v>
      </c>
      <c r="E241" t="s">
        <v>416</v>
      </c>
      <c r="F241" t="s">
        <v>619</v>
      </c>
      <c r="G241" s="46">
        <v>29</v>
      </c>
      <c r="H241" t="s">
        <v>441</v>
      </c>
      <c r="I241" t="str">
        <f>VLOOKUP(Tabla5[[#This Row],[Producto]],Referencia!$E$2:$F$238,2,0)</f>
        <v>P156</v>
      </c>
      <c r="J241" t="s">
        <v>542</v>
      </c>
      <c r="K241" s="47">
        <v>1</v>
      </c>
      <c r="L241" t="s">
        <v>1065</v>
      </c>
      <c r="M241" s="23">
        <v>10890</v>
      </c>
      <c r="N241" s="23">
        <v>22000</v>
      </c>
      <c r="O241" s="23">
        <v>11110</v>
      </c>
      <c r="P241" t="s">
        <v>27</v>
      </c>
    </row>
    <row r="242" spans="1:16" x14ac:dyDescent="0.35">
      <c r="A242" s="18">
        <v>45862</v>
      </c>
      <c r="B242" s="18" t="s">
        <v>1132</v>
      </c>
      <c r="C242" t="s">
        <v>1130</v>
      </c>
      <c r="D242" t="s">
        <v>8</v>
      </c>
      <c r="E242" t="s">
        <v>416</v>
      </c>
      <c r="F242" t="s">
        <v>619</v>
      </c>
      <c r="G242" s="46">
        <v>29</v>
      </c>
      <c r="H242" t="s">
        <v>441</v>
      </c>
      <c r="I242" t="str">
        <f>VLOOKUP(Tabla5[[#This Row],[Producto]],Referencia!$E$2:$F$238,2,0)</f>
        <v>P129</v>
      </c>
      <c r="J242" t="s">
        <v>508</v>
      </c>
      <c r="K242" s="47">
        <v>1</v>
      </c>
      <c r="L242" t="s">
        <v>1065</v>
      </c>
      <c r="M242" s="23">
        <v>11340</v>
      </c>
      <c r="N242" s="23">
        <v>18000</v>
      </c>
      <c r="O242" s="23">
        <v>6660</v>
      </c>
      <c r="P242" t="s">
        <v>27</v>
      </c>
    </row>
    <row r="243" spans="1:16" x14ac:dyDescent="0.35">
      <c r="A243" s="18">
        <v>45862</v>
      </c>
      <c r="B243" s="18" t="s">
        <v>1132</v>
      </c>
      <c r="C243" t="s">
        <v>1130</v>
      </c>
      <c r="D243" t="s">
        <v>9</v>
      </c>
      <c r="E243" t="s">
        <v>122</v>
      </c>
      <c r="F243" t="s">
        <v>619</v>
      </c>
      <c r="G243" s="46">
        <v>5</v>
      </c>
      <c r="H243" t="s">
        <v>121</v>
      </c>
      <c r="I243" t="str">
        <f>VLOOKUP(Tabla5[[#This Row],[Producto]],Referencia!$E$2:$F$238,2,0)</f>
        <v>P167</v>
      </c>
      <c r="J243" t="s">
        <v>553</v>
      </c>
      <c r="K243" s="47">
        <v>1</v>
      </c>
      <c r="L243" t="s">
        <v>1063</v>
      </c>
      <c r="M243" s="23">
        <v>36076</v>
      </c>
      <c r="N243" s="23">
        <v>60000</v>
      </c>
      <c r="O243" s="23">
        <v>23924</v>
      </c>
      <c r="P243" t="s">
        <v>27</v>
      </c>
    </row>
    <row r="244" spans="1:16" x14ac:dyDescent="0.35">
      <c r="A244" s="18">
        <v>45863</v>
      </c>
      <c r="B244" s="18" t="s">
        <v>1132</v>
      </c>
      <c r="C244" t="s">
        <v>1130</v>
      </c>
      <c r="D244" t="s">
        <v>9</v>
      </c>
      <c r="E244" t="s">
        <v>122</v>
      </c>
      <c r="F244" t="s">
        <v>619</v>
      </c>
      <c r="G244" s="46">
        <v>8</v>
      </c>
      <c r="H244" t="s">
        <v>511</v>
      </c>
      <c r="I244" t="str">
        <f>VLOOKUP(Tabla5[[#This Row],[Producto]],Referencia!$E$2:$F$238,2,0)</f>
        <v>P168</v>
      </c>
      <c r="J244" t="s">
        <v>554</v>
      </c>
      <c r="K244" s="47">
        <v>1</v>
      </c>
      <c r="L244" t="s">
        <v>1075</v>
      </c>
      <c r="M244" s="23">
        <v>202000</v>
      </c>
      <c r="N244" s="23">
        <v>260000</v>
      </c>
      <c r="O244" s="23">
        <v>58000</v>
      </c>
      <c r="P244" t="s">
        <v>27</v>
      </c>
    </row>
    <row r="245" spans="1:16" x14ac:dyDescent="0.35">
      <c r="A245" s="18">
        <v>45863</v>
      </c>
      <c r="B245" s="18" t="s">
        <v>1132</v>
      </c>
      <c r="C245" t="s">
        <v>1130</v>
      </c>
      <c r="D245" t="s">
        <v>9</v>
      </c>
      <c r="E245" t="s">
        <v>122</v>
      </c>
      <c r="F245" t="s">
        <v>619</v>
      </c>
      <c r="G245" s="46">
        <v>15</v>
      </c>
      <c r="H245" t="s">
        <v>96</v>
      </c>
      <c r="I245" t="str">
        <f>VLOOKUP(Tabla5[[#This Row],[Producto]],Referencia!$E$2:$F$238,2,0)</f>
        <v>P168</v>
      </c>
      <c r="J245" t="s">
        <v>554</v>
      </c>
      <c r="K245" s="47">
        <v>1</v>
      </c>
      <c r="L245" t="s">
        <v>1075</v>
      </c>
      <c r="M245" s="23">
        <v>202000</v>
      </c>
      <c r="N245" s="23">
        <v>260000</v>
      </c>
      <c r="O245" s="23">
        <v>58000</v>
      </c>
      <c r="P245" t="s">
        <v>27</v>
      </c>
    </row>
    <row r="246" spans="1:16" x14ac:dyDescent="0.35">
      <c r="A246" s="18">
        <v>45863</v>
      </c>
      <c r="B246" s="18" t="s">
        <v>1132</v>
      </c>
      <c r="C246" t="s">
        <v>1130</v>
      </c>
      <c r="D246" t="s">
        <v>9</v>
      </c>
      <c r="E246" t="s">
        <v>122</v>
      </c>
      <c r="F246" t="s">
        <v>619</v>
      </c>
      <c r="G246" s="46" t="s">
        <v>618</v>
      </c>
      <c r="H246" t="s">
        <v>477</v>
      </c>
      <c r="I246" t="str">
        <f>VLOOKUP(Tabla5[[#This Row],[Producto]],Referencia!$E$2:$F$238,2,0)</f>
        <v>P6</v>
      </c>
      <c r="J246" t="s">
        <v>627</v>
      </c>
      <c r="K246" s="47">
        <v>2</v>
      </c>
      <c r="L246" t="s">
        <v>31</v>
      </c>
      <c r="M246" s="23">
        <v>32000</v>
      </c>
      <c r="N246" s="23">
        <v>70000</v>
      </c>
      <c r="O246" s="23">
        <v>38000</v>
      </c>
      <c r="P246" t="s">
        <v>27</v>
      </c>
    </row>
    <row r="247" spans="1:16" x14ac:dyDescent="0.35">
      <c r="A247" s="18">
        <v>45863</v>
      </c>
      <c r="B247" s="18" t="s">
        <v>1132</v>
      </c>
      <c r="C247" t="s">
        <v>1130</v>
      </c>
      <c r="D247" t="s">
        <v>9</v>
      </c>
      <c r="E247" t="s">
        <v>122</v>
      </c>
      <c r="F247" t="s">
        <v>617</v>
      </c>
      <c r="G247" s="46" t="s">
        <v>618</v>
      </c>
      <c r="H247" t="s">
        <v>477</v>
      </c>
      <c r="I247" t="str">
        <f>VLOOKUP(Tabla5[[#This Row],[Producto]],Referencia!$E$2:$F$238,2,0)</f>
        <v>P35</v>
      </c>
      <c r="J247" t="s">
        <v>70</v>
      </c>
      <c r="K247" s="47">
        <v>1</v>
      </c>
      <c r="L247" t="s">
        <v>1063</v>
      </c>
      <c r="M247" s="23">
        <v>4150</v>
      </c>
      <c r="N247" s="23">
        <v>8000</v>
      </c>
      <c r="O247" s="23">
        <v>3850</v>
      </c>
      <c r="P247" t="s">
        <v>23</v>
      </c>
    </row>
    <row r="248" spans="1:16" x14ac:dyDescent="0.35">
      <c r="A248" s="18">
        <v>45863</v>
      </c>
      <c r="B248" s="18" t="s">
        <v>1132</v>
      </c>
      <c r="C248" t="s">
        <v>1130</v>
      </c>
      <c r="D248" t="s">
        <v>9</v>
      </c>
      <c r="E248" t="s">
        <v>122</v>
      </c>
      <c r="F248" t="s">
        <v>619</v>
      </c>
      <c r="G248" s="46">
        <v>16</v>
      </c>
      <c r="H248" t="s">
        <v>79</v>
      </c>
      <c r="I248" t="str">
        <f>VLOOKUP(Tabla5[[#This Row],[Producto]],Referencia!$E$2:$F$238,2,0)</f>
        <v>P132</v>
      </c>
      <c r="J248" t="s">
        <v>513</v>
      </c>
      <c r="K248" s="47">
        <v>1</v>
      </c>
      <c r="L248" t="s">
        <v>1067</v>
      </c>
      <c r="M248" s="23">
        <v>32000</v>
      </c>
      <c r="N248" s="23">
        <v>90000</v>
      </c>
      <c r="O248" s="23">
        <v>58000</v>
      </c>
      <c r="P248" t="s">
        <v>27</v>
      </c>
    </row>
    <row r="249" spans="1:16" x14ac:dyDescent="0.35">
      <c r="A249" s="18">
        <v>45863</v>
      </c>
      <c r="B249" s="18" t="s">
        <v>1132</v>
      </c>
      <c r="C249" t="s">
        <v>1130</v>
      </c>
      <c r="D249" t="s">
        <v>415</v>
      </c>
      <c r="E249" t="s">
        <v>82</v>
      </c>
      <c r="F249" t="s">
        <v>619</v>
      </c>
      <c r="G249" s="46">
        <v>19</v>
      </c>
      <c r="H249" t="s">
        <v>154</v>
      </c>
      <c r="I249" t="str">
        <f>VLOOKUP(Tabla5[[#This Row],[Producto]],Referencia!$E$2:$F$238,2,0)</f>
        <v>P169</v>
      </c>
      <c r="J249" t="s">
        <v>555</v>
      </c>
      <c r="K249" s="47">
        <v>1</v>
      </c>
      <c r="L249" t="s">
        <v>1063</v>
      </c>
      <c r="M249" s="23">
        <v>21300</v>
      </c>
      <c r="N249" s="23">
        <v>35000</v>
      </c>
      <c r="O249" s="23">
        <v>13700</v>
      </c>
      <c r="P249" t="s">
        <v>27</v>
      </c>
    </row>
    <row r="250" spans="1:16" x14ac:dyDescent="0.35">
      <c r="A250" s="18">
        <v>45863</v>
      </c>
      <c r="B250" s="18" t="s">
        <v>1132</v>
      </c>
      <c r="C250" t="s">
        <v>1130</v>
      </c>
      <c r="D250" t="s">
        <v>415</v>
      </c>
      <c r="E250" t="s">
        <v>82</v>
      </c>
      <c r="F250" t="s">
        <v>619</v>
      </c>
      <c r="G250" s="46">
        <v>19</v>
      </c>
      <c r="H250" t="s">
        <v>154</v>
      </c>
      <c r="I250" t="str">
        <f>VLOOKUP(Tabla5[[#This Row],[Producto]],Referencia!$E$2:$F$238,2,0)</f>
        <v>P170</v>
      </c>
      <c r="J250" t="s">
        <v>556</v>
      </c>
      <c r="K250" s="47">
        <v>1</v>
      </c>
      <c r="L250" t="s">
        <v>1063</v>
      </c>
      <c r="M250" s="23">
        <v>10000</v>
      </c>
      <c r="N250" s="23">
        <v>20000</v>
      </c>
      <c r="O250" s="23">
        <v>10000</v>
      </c>
      <c r="P250" t="s">
        <v>27</v>
      </c>
    </row>
    <row r="251" spans="1:16" x14ac:dyDescent="0.35">
      <c r="A251" s="18">
        <v>45863</v>
      </c>
      <c r="B251" s="18" t="s">
        <v>1132</v>
      </c>
      <c r="C251" t="s">
        <v>1130</v>
      </c>
      <c r="D251" t="s">
        <v>415</v>
      </c>
      <c r="E251" t="s">
        <v>82</v>
      </c>
      <c r="F251" t="s">
        <v>619</v>
      </c>
      <c r="G251" s="46">
        <v>19</v>
      </c>
      <c r="H251" t="s">
        <v>154</v>
      </c>
      <c r="I251" t="str">
        <f>VLOOKUP(Tabla5[[#This Row],[Producto]],Referencia!$E$2:$F$238,2,0)</f>
        <v>P171</v>
      </c>
      <c r="J251" t="s">
        <v>579</v>
      </c>
      <c r="K251" s="47">
        <v>1</v>
      </c>
      <c r="L251" t="s">
        <v>1063</v>
      </c>
      <c r="M251" s="23">
        <v>33260</v>
      </c>
      <c r="N251" s="23">
        <v>60000</v>
      </c>
      <c r="O251" s="23">
        <v>26740</v>
      </c>
      <c r="P251" t="s">
        <v>27</v>
      </c>
    </row>
    <row r="252" spans="1:16" x14ac:dyDescent="0.35">
      <c r="A252" s="18">
        <v>45863</v>
      </c>
      <c r="B252" s="18" t="s">
        <v>1132</v>
      </c>
      <c r="C252" t="s">
        <v>1130</v>
      </c>
      <c r="D252" t="s">
        <v>415</v>
      </c>
      <c r="E252" t="s">
        <v>82</v>
      </c>
      <c r="F252" t="s">
        <v>619</v>
      </c>
      <c r="G252" s="46">
        <v>19</v>
      </c>
      <c r="H252" t="s">
        <v>154</v>
      </c>
      <c r="I252" t="str">
        <f>VLOOKUP(Tabla5[[#This Row],[Producto]],Referencia!$E$2:$F$238,2,0)</f>
        <v>P172</v>
      </c>
      <c r="J252" t="s">
        <v>557</v>
      </c>
      <c r="K252" s="47">
        <v>1</v>
      </c>
      <c r="L252" t="s">
        <v>1063</v>
      </c>
      <c r="M252" s="23">
        <v>33000</v>
      </c>
      <c r="N252" s="23">
        <v>75000</v>
      </c>
      <c r="O252" s="23">
        <v>42000</v>
      </c>
      <c r="P252" t="s">
        <v>27</v>
      </c>
    </row>
    <row r="253" spans="1:16" x14ac:dyDescent="0.35">
      <c r="A253" s="18">
        <v>45868</v>
      </c>
      <c r="B253" s="18" t="s">
        <v>1132</v>
      </c>
      <c r="C253" t="s">
        <v>1130</v>
      </c>
      <c r="D253" t="s">
        <v>615</v>
      </c>
      <c r="E253" t="s">
        <v>127</v>
      </c>
      <c r="F253" t="s">
        <v>619</v>
      </c>
      <c r="G253" s="46">
        <v>178</v>
      </c>
      <c r="H253" t="s">
        <v>424</v>
      </c>
      <c r="I253" t="str">
        <f>VLOOKUP(Tabla5[[#This Row],[Producto]],Referencia!$E$2:$F$238,2,0)</f>
        <v>P173</v>
      </c>
      <c r="J253" t="s">
        <v>558</v>
      </c>
      <c r="K253" s="47">
        <v>1</v>
      </c>
      <c r="L253" t="s">
        <v>1064</v>
      </c>
      <c r="M253" s="23">
        <v>53800</v>
      </c>
      <c r="N253" s="23">
        <v>75000</v>
      </c>
      <c r="O253" s="23">
        <v>21200</v>
      </c>
      <c r="P253" t="s">
        <v>23</v>
      </c>
    </row>
    <row r="254" spans="1:16" x14ac:dyDescent="0.35">
      <c r="A254" s="18">
        <v>45868</v>
      </c>
      <c r="B254" s="18" t="s">
        <v>1132</v>
      </c>
      <c r="C254" t="s">
        <v>1130</v>
      </c>
      <c r="D254" t="s">
        <v>615</v>
      </c>
      <c r="E254" t="s">
        <v>127</v>
      </c>
      <c r="F254" t="s">
        <v>619</v>
      </c>
      <c r="G254" s="46">
        <v>37</v>
      </c>
      <c r="H254" t="s">
        <v>61</v>
      </c>
      <c r="I254" t="str">
        <f>VLOOKUP(Tabla5[[#This Row],[Producto]],Referencia!$E$2:$F$238,2,0)</f>
        <v>P54</v>
      </c>
      <c r="J254" t="s">
        <v>505</v>
      </c>
      <c r="K254" s="47">
        <v>1</v>
      </c>
      <c r="L254" t="s">
        <v>1063</v>
      </c>
      <c r="M254" s="23">
        <v>29600</v>
      </c>
      <c r="N254" s="23">
        <v>65000</v>
      </c>
      <c r="O254" s="23">
        <v>35400</v>
      </c>
      <c r="P254" t="s">
        <v>23</v>
      </c>
    </row>
    <row r="255" spans="1:16" x14ac:dyDescent="0.35">
      <c r="A255" s="18">
        <v>45868</v>
      </c>
      <c r="B255" s="18" t="s">
        <v>1132</v>
      </c>
      <c r="C255" t="s">
        <v>1130</v>
      </c>
      <c r="D255" t="s">
        <v>615</v>
      </c>
      <c r="E255" t="s">
        <v>129</v>
      </c>
      <c r="F255" t="s">
        <v>619</v>
      </c>
      <c r="G255" s="46">
        <v>23</v>
      </c>
      <c r="H255" t="s">
        <v>480</v>
      </c>
      <c r="I255" t="str">
        <f>VLOOKUP(Tabla5[[#This Row],[Producto]],Referencia!$E$2:$F$238,2,0)</f>
        <v>P6</v>
      </c>
      <c r="J255" t="s">
        <v>627</v>
      </c>
      <c r="K255" s="47">
        <v>1</v>
      </c>
      <c r="L255" t="s">
        <v>31</v>
      </c>
      <c r="M255" s="23">
        <v>20000</v>
      </c>
      <c r="N255" s="23">
        <v>35000</v>
      </c>
      <c r="O255" s="23">
        <v>15000</v>
      </c>
      <c r="P255" t="s">
        <v>23</v>
      </c>
    </row>
    <row r="256" spans="1:16" x14ac:dyDescent="0.35">
      <c r="A256" s="18">
        <v>45868</v>
      </c>
      <c r="B256" s="18" t="s">
        <v>1132</v>
      </c>
      <c r="C256" t="s">
        <v>1130</v>
      </c>
      <c r="D256" t="s">
        <v>615</v>
      </c>
      <c r="E256" t="s">
        <v>129</v>
      </c>
      <c r="F256" t="s">
        <v>619</v>
      </c>
      <c r="G256" s="46">
        <v>7</v>
      </c>
      <c r="H256" t="s">
        <v>453</v>
      </c>
      <c r="I256" t="str">
        <f>VLOOKUP(Tabla5[[#This Row],[Producto]],Referencia!$E$2:$F$238,2,0)</f>
        <v>P174</v>
      </c>
      <c r="J256" t="s">
        <v>559</v>
      </c>
      <c r="K256" s="47">
        <v>1</v>
      </c>
      <c r="L256" t="s">
        <v>74</v>
      </c>
      <c r="M256" s="23">
        <v>350000</v>
      </c>
      <c r="N256" s="23">
        <v>750000</v>
      </c>
      <c r="O256" s="23">
        <v>400000</v>
      </c>
      <c r="P256" t="s">
        <v>27</v>
      </c>
    </row>
    <row r="257" spans="1:16" x14ac:dyDescent="0.35">
      <c r="A257" s="18">
        <v>45869</v>
      </c>
      <c r="B257" s="18" t="s">
        <v>1132</v>
      </c>
      <c r="C257" t="s">
        <v>1130</v>
      </c>
      <c r="D257" t="s">
        <v>415</v>
      </c>
      <c r="E257" t="s">
        <v>82</v>
      </c>
      <c r="F257" t="s">
        <v>619</v>
      </c>
      <c r="G257" s="46">
        <v>3</v>
      </c>
      <c r="H257" t="s">
        <v>422</v>
      </c>
      <c r="I257" t="str">
        <f>VLOOKUP(Tabla5[[#This Row],[Producto]],Referencia!$E$2:$F$238,2,0)</f>
        <v>P175</v>
      </c>
      <c r="J257" t="s">
        <v>1092</v>
      </c>
      <c r="K257" s="47">
        <v>1</v>
      </c>
      <c r="L257" t="s">
        <v>1064</v>
      </c>
      <c r="M257" s="23">
        <v>183050</v>
      </c>
      <c r="N257" s="23">
        <v>320000</v>
      </c>
      <c r="O257" s="23">
        <v>136950</v>
      </c>
      <c r="P257" t="s">
        <v>27</v>
      </c>
    </row>
    <row r="258" spans="1:16" x14ac:dyDescent="0.35">
      <c r="A258" s="18">
        <v>45869</v>
      </c>
      <c r="B258" s="18" t="s">
        <v>1132</v>
      </c>
      <c r="C258" t="s">
        <v>1130</v>
      </c>
      <c r="D258" t="s">
        <v>8</v>
      </c>
      <c r="E258" t="s">
        <v>174</v>
      </c>
      <c r="F258" t="s">
        <v>619</v>
      </c>
      <c r="G258" s="46">
        <v>78</v>
      </c>
      <c r="H258" t="s">
        <v>471</v>
      </c>
      <c r="I258" t="str">
        <f>VLOOKUP(Tabla5[[#This Row],[Producto]],Referencia!$E$2:$F$238,2,0)</f>
        <v>P44</v>
      </c>
      <c r="J258" t="s">
        <v>81</v>
      </c>
      <c r="K258" s="47">
        <v>1</v>
      </c>
      <c r="L258" t="s">
        <v>1078</v>
      </c>
      <c r="M258" s="23">
        <v>135000</v>
      </c>
      <c r="N258" s="23">
        <v>220000</v>
      </c>
      <c r="O258" s="23">
        <v>85000</v>
      </c>
      <c r="P258" t="s">
        <v>27</v>
      </c>
    </row>
    <row r="259" spans="1:16" x14ac:dyDescent="0.35">
      <c r="A259" s="18">
        <v>45869</v>
      </c>
      <c r="B259" s="18" t="s">
        <v>1132</v>
      </c>
      <c r="C259" t="s">
        <v>1130</v>
      </c>
      <c r="D259" t="s">
        <v>8</v>
      </c>
      <c r="E259" t="s">
        <v>416</v>
      </c>
      <c r="F259" t="s">
        <v>619</v>
      </c>
      <c r="G259" s="46">
        <v>29</v>
      </c>
      <c r="H259" t="s">
        <v>441</v>
      </c>
      <c r="I259" t="str">
        <f>VLOOKUP(Tabla5[[#This Row],[Producto]],Referencia!$E$2:$F$238,2,0)</f>
        <v>P156</v>
      </c>
      <c r="J259" t="s">
        <v>542</v>
      </c>
      <c r="K259" s="47">
        <v>1</v>
      </c>
      <c r="L259" t="s">
        <v>1065</v>
      </c>
      <c r="M259" s="23">
        <v>10890</v>
      </c>
      <c r="N259" s="23">
        <v>22000</v>
      </c>
      <c r="O259" s="23">
        <v>11110</v>
      </c>
      <c r="P259" t="s">
        <v>27</v>
      </c>
    </row>
    <row r="260" spans="1:16" x14ac:dyDescent="0.35">
      <c r="A260" s="18">
        <v>45869</v>
      </c>
      <c r="B260" s="18" t="s">
        <v>1132</v>
      </c>
      <c r="C260" t="s">
        <v>1130</v>
      </c>
      <c r="D260" t="s">
        <v>8</v>
      </c>
      <c r="E260" t="s">
        <v>416</v>
      </c>
      <c r="F260" t="s">
        <v>619</v>
      </c>
      <c r="G260" s="46">
        <v>49</v>
      </c>
      <c r="H260" t="s">
        <v>77</v>
      </c>
      <c r="I260" t="str">
        <f>VLOOKUP(Tabla5[[#This Row],[Producto]],Referencia!$E$2:$F$238,2,0)</f>
        <v>P74</v>
      </c>
      <c r="J260" t="s">
        <v>434</v>
      </c>
      <c r="K260" s="47">
        <v>1</v>
      </c>
      <c r="L260" t="s">
        <v>74</v>
      </c>
      <c r="M260" s="23">
        <v>35000</v>
      </c>
      <c r="N260" s="23">
        <v>60000</v>
      </c>
      <c r="O260" s="23">
        <v>25000</v>
      </c>
      <c r="P260" t="s">
        <v>23</v>
      </c>
    </row>
    <row r="261" spans="1:16" x14ac:dyDescent="0.35">
      <c r="A261" s="18">
        <v>45869</v>
      </c>
      <c r="B261" s="18" t="s">
        <v>1132</v>
      </c>
      <c r="C261" t="s">
        <v>1130</v>
      </c>
      <c r="D261" t="s">
        <v>9</v>
      </c>
      <c r="E261" t="s">
        <v>155</v>
      </c>
      <c r="F261" t="s">
        <v>619</v>
      </c>
      <c r="G261" s="46">
        <v>20</v>
      </c>
      <c r="H261" t="s">
        <v>520</v>
      </c>
      <c r="I261" t="str">
        <f>VLOOKUP(Tabla5[[#This Row],[Producto]],Referencia!$E$2:$F$238,2,0)</f>
        <v>P176</v>
      </c>
      <c r="J261" t="s">
        <v>561</v>
      </c>
      <c r="K261" s="47">
        <v>1</v>
      </c>
      <c r="L261" t="s">
        <v>1066</v>
      </c>
      <c r="M261" s="23">
        <v>1200063</v>
      </c>
      <c r="N261" s="23">
        <v>1800000</v>
      </c>
      <c r="O261" s="23">
        <v>599937</v>
      </c>
      <c r="P261" t="s">
        <v>27</v>
      </c>
    </row>
    <row r="262" spans="1:16" x14ac:dyDescent="0.35">
      <c r="A262" s="18">
        <v>45869</v>
      </c>
      <c r="B262" s="18" t="s">
        <v>1132</v>
      </c>
      <c r="C262" t="s">
        <v>1130</v>
      </c>
      <c r="D262" t="s">
        <v>9</v>
      </c>
      <c r="E262" t="s">
        <v>155</v>
      </c>
      <c r="F262" t="s">
        <v>619</v>
      </c>
      <c r="G262" s="46">
        <v>20</v>
      </c>
      <c r="H262" t="s">
        <v>520</v>
      </c>
      <c r="I262" t="str">
        <f>VLOOKUP(Tabla5[[#This Row],[Producto]],Referencia!$E$2:$F$238,2,0)</f>
        <v>P177</v>
      </c>
      <c r="J262" t="s">
        <v>580</v>
      </c>
      <c r="K262" s="47">
        <v>1</v>
      </c>
      <c r="L262" t="s">
        <v>1064</v>
      </c>
      <c r="M262" s="23">
        <v>72600</v>
      </c>
      <c r="N262" s="23">
        <v>0</v>
      </c>
      <c r="O262" s="23">
        <v>-72600</v>
      </c>
      <c r="P262" t="s">
        <v>27</v>
      </c>
    </row>
    <row r="263" spans="1:16" x14ac:dyDescent="0.35">
      <c r="A263" s="18">
        <v>45869</v>
      </c>
      <c r="B263" s="18" t="s">
        <v>1132</v>
      </c>
      <c r="C263" t="s">
        <v>1130</v>
      </c>
      <c r="D263" t="s">
        <v>9</v>
      </c>
      <c r="E263" t="s">
        <v>155</v>
      </c>
      <c r="F263" t="s">
        <v>619</v>
      </c>
      <c r="G263" s="46">
        <v>20</v>
      </c>
      <c r="H263" t="s">
        <v>520</v>
      </c>
      <c r="I263" t="str">
        <f>VLOOKUP(Tabla5[[#This Row],[Producto]],Referencia!$E$2:$F$238,2,0)</f>
        <v>P30</v>
      </c>
      <c r="J263" t="s">
        <v>65</v>
      </c>
      <c r="K263" s="47">
        <v>1</v>
      </c>
      <c r="L263" t="s">
        <v>1078</v>
      </c>
      <c r="M263" s="23">
        <v>18000</v>
      </c>
      <c r="N263" s="23">
        <v>50000</v>
      </c>
      <c r="O263" s="23">
        <v>32000</v>
      </c>
      <c r="P263" t="s">
        <v>27</v>
      </c>
    </row>
    <row r="264" spans="1:16" x14ac:dyDescent="0.35">
      <c r="A264" s="18">
        <v>45869</v>
      </c>
      <c r="B264" s="18" t="s">
        <v>1132</v>
      </c>
      <c r="C264" t="s">
        <v>1130</v>
      </c>
      <c r="D264" t="s">
        <v>9</v>
      </c>
      <c r="E264" t="s">
        <v>155</v>
      </c>
      <c r="F264" t="s">
        <v>619</v>
      </c>
      <c r="G264" s="46">
        <v>20</v>
      </c>
      <c r="H264" t="s">
        <v>520</v>
      </c>
      <c r="I264" t="str">
        <f>VLOOKUP(Tabla5[[#This Row],[Producto]],Referencia!$E$2:$F$238,2,0)</f>
        <v>P74</v>
      </c>
      <c r="J264" t="s">
        <v>434</v>
      </c>
      <c r="K264" s="47">
        <v>1</v>
      </c>
      <c r="L264" t="s">
        <v>74</v>
      </c>
      <c r="M264" s="23">
        <v>35000</v>
      </c>
      <c r="N264" s="23">
        <v>50000</v>
      </c>
      <c r="O264" s="23">
        <v>15000</v>
      </c>
      <c r="P264" t="s">
        <v>27</v>
      </c>
    </row>
    <row r="265" spans="1:16" x14ac:dyDescent="0.35">
      <c r="A265" s="18">
        <v>45869</v>
      </c>
      <c r="B265" s="18" t="s">
        <v>1132</v>
      </c>
      <c r="C265" t="s">
        <v>1130</v>
      </c>
      <c r="D265" t="s">
        <v>9</v>
      </c>
      <c r="E265" t="s">
        <v>122</v>
      </c>
      <c r="F265" t="s">
        <v>617</v>
      </c>
      <c r="G265" s="46" t="s">
        <v>618</v>
      </c>
      <c r="H265" t="s">
        <v>477</v>
      </c>
      <c r="I265" t="str">
        <f>VLOOKUP(Tabla5[[#This Row],[Producto]],Referencia!$E$2:$F$238,2,0)</f>
        <v>P178</v>
      </c>
      <c r="J265" t="s">
        <v>562</v>
      </c>
      <c r="K265" s="47">
        <v>1</v>
      </c>
      <c r="L265" t="s">
        <v>1066</v>
      </c>
      <c r="M265" s="23">
        <v>20500</v>
      </c>
      <c r="N265" s="23">
        <v>35000</v>
      </c>
      <c r="O265" s="23">
        <v>14500</v>
      </c>
      <c r="P265" t="s">
        <v>27</v>
      </c>
    </row>
    <row r="266" spans="1:16" x14ac:dyDescent="0.35">
      <c r="A266" s="18">
        <v>45869</v>
      </c>
      <c r="B266" s="18" t="s">
        <v>1132</v>
      </c>
      <c r="C266" t="s">
        <v>1130</v>
      </c>
      <c r="D266" t="s">
        <v>9</v>
      </c>
      <c r="E266" t="s">
        <v>122</v>
      </c>
      <c r="F266" t="s">
        <v>617</v>
      </c>
      <c r="G266" s="46" t="s">
        <v>618</v>
      </c>
      <c r="H266" t="s">
        <v>477</v>
      </c>
      <c r="I266" t="str">
        <f>VLOOKUP(Tabla5[[#This Row],[Producto]],Referencia!$E$2:$F$238,2,0)</f>
        <v>P146</v>
      </c>
      <c r="J266" t="s">
        <v>530</v>
      </c>
      <c r="K266" s="47">
        <v>1</v>
      </c>
      <c r="L266" t="s">
        <v>1078</v>
      </c>
      <c r="M266" s="23">
        <v>34000</v>
      </c>
      <c r="N266" s="23">
        <v>55000</v>
      </c>
      <c r="O266" s="23">
        <v>21000</v>
      </c>
      <c r="P266" t="s">
        <v>27</v>
      </c>
    </row>
    <row r="267" spans="1:16" x14ac:dyDescent="0.35">
      <c r="A267" s="18">
        <v>45869</v>
      </c>
      <c r="B267" s="18" t="s">
        <v>1132</v>
      </c>
      <c r="C267" t="s">
        <v>1130</v>
      </c>
      <c r="D267" t="s">
        <v>9</v>
      </c>
      <c r="E267" t="s">
        <v>122</v>
      </c>
      <c r="F267" t="s">
        <v>617</v>
      </c>
      <c r="G267" s="46" t="s">
        <v>618</v>
      </c>
      <c r="H267" t="s">
        <v>477</v>
      </c>
      <c r="I267" t="str">
        <f>VLOOKUP(Tabla5[[#This Row],[Producto]],Referencia!$E$2:$F$238,2,0)</f>
        <v>P53</v>
      </c>
      <c r="J267" t="s">
        <v>629</v>
      </c>
      <c r="K267" s="47">
        <v>1</v>
      </c>
      <c r="L267" t="s">
        <v>1067</v>
      </c>
      <c r="M267" s="23">
        <v>60000</v>
      </c>
      <c r="N267" s="23">
        <v>110000</v>
      </c>
      <c r="O267" s="23">
        <v>50000</v>
      </c>
      <c r="P267" t="s">
        <v>27</v>
      </c>
    </row>
    <row r="268" spans="1:16" x14ac:dyDescent="0.35">
      <c r="A268" s="18">
        <v>45870</v>
      </c>
      <c r="B268" s="18" t="s">
        <v>1132</v>
      </c>
      <c r="C268" t="s">
        <v>1130</v>
      </c>
      <c r="D268" t="s">
        <v>9</v>
      </c>
      <c r="E268" t="s">
        <v>122</v>
      </c>
      <c r="F268" t="s">
        <v>619</v>
      </c>
      <c r="G268" s="46">
        <v>16</v>
      </c>
      <c r="H268" t="s">
        <v>79</v>
      </c>
      <c r="I268" t="str">
        <f>VLOOKUP(Tabla5[[#This Row],[Producto]],Referencia!$E$2:$F$238,2,0)</f>
        <v>P179</v>
      </c>
      <c r="J268" t="s">
        <v>563</v>
      </c>
      <c r="K268" s="47">
        <v>1</v>
      </c>
      <c r="L268" t="s">
        <v>74</v>
      </c>
      <c r="M268" s="23">
        <v>100000</v>
      </c>
      <c r="N268" s="23">
        <v>190000</v>
      </c>
      <c r="O268" s="23">
        <v>90000</v>
      </c>
      <c r="P268" t="s">
        <v>27</v>
      </c>
    </row>
    <row r="269" spans="1:16" x14ac:dyDescent="0.35">
      <c r="A269" s="18">
        <v>45870</v>
      </c>
      <c r="B269" s="18" t="s">
        <v>1132</v>
      </c>
      <c r="C269" t="s">
        <v>1130</v>
      </c>
      <c r="D269" t="s">
        <v>9</v>
      </c>
      <c r="E269" t="s">
        <v>122</v>
      </c>
      <c r="F269" t="s">
        <v>619</v>
      </c>
      <c r="G269" s="46">
        <v>16</v>
      </c>
      <c r="H269" t="s">
        <v>79</v>
      </c>
      <c r="I269" t="str">
        <f>VLOOKUP(Tabla5[[#This Row],[Producto]],Referencia!$E$2:$F$238,2,0)</f>
        <v>P226</v>
      </c>
      <c r="J269" t="s">
        <v>1126</v>
      </c>
      <c r="K269" s="47">
        <v>1</v>
      </c>
      <c r="L269" t="s">
        <v>1075</v>
      </c>
      <c r="M269" s="23">
        <v>93000</v>
      </c>
      <c r="N269" s="23">
        <v>170000</v>
      </c>
      <c r="O269" s="23">
        <v>170000</v>
      </c>
      <c r="P269" t="s">
        <v>27</v>
      </c>
    </row>
    <row r="270" spans="1:16" x14ac:dyDescent="0.35">
      <c r="A270" s="18">
        <v>45870</v>
      </c>
      <c r="B270" s="18" t="s">
        <v>1132</v>
      </c>
      <c r="C270" t="s">
        <v>1130</v>
      </c>
      <c r="D270" t="s">
        <v>9</v>
      </c>
      <c r="E270" t="s">
        <v>122</v>
      </c>
      <c r="F270" t="s">
        <v>619</v>
      </c>
      <c r="G270" s="46">
        <v>16</v>
      </c>
      <c r="H270" t="s">
        <v>79</v>
      </c>
      <c r="I270" t="str">
        <f>VLOOKUP(Tabla5[[#This Row],[Producto]],Referencia!$E$2:$F$238,2,0)</f>
        <v>P5</v>
      </c>
      <c r="J270" t="s">
        <v>30</v>
      </c>
      <c r="K270" s="47">
        <v>1</v>
      </c>
      <c r="L270" t="s">
        <v>1063</v>
      </c>
      <c r="M270" s="23">
        <v>15605</v>
      </c>
      <c r="N270" s="23">
        <v>25000</v>
      </c>
      <c r="O270" s="23">
        <v>9395</v>
      </c>
      <c r="P270" t="s">
        <v>27</v>
      </c>
    </row>
    <row r="271" spans="1:16" x14ac:dyDescent="0.35">
      <c r="A271" s="18">
        <v>45870</v>
      </c>
      <c r="B271" s="18" t="s">
        <v>1132</v>
      </c>
      <c r="C271" t="s">
        <v>1130</v>
      </c>
      <c r="D271" t="s">
        <v>9</v>
      </c>
      <c r="E271" t="s">
        <v>122</v>
      </c>
      <c r="F271" t="s">
        <v>619</v>
      </c>
      <c r="G271" s="46">
        <v>16</v>
      </c>
      <c r="H271" t="s">
        <v>79</v>
      </c>
      <c r="I271" t="str">
        <f>VLOOKUP(Tabla5[[#This Row],[Producto]],Referencia!$E$2:$F$238,2,0)</f>
        <v>P181</v>
      </c>
      <c r="J271" t="s">
        <v>565</v>
      </c>
      <c r="K271" s="47">
        <v>1</v>
      </c>
      <c r="L271" t="s">
        <v>1063</v>
      </c>
      <c r="M271" s="23">
        <v>35600</v>
      </c>
      <c r="N271" s="23">
        <v>60000</v>
      </c>
      <c r="O271" s="23">
        <v>24400</v>
      </c>
      <c r="P271" t="s">
        <v>27</v>
      </c>
    </row>
    <row r="272" spans="1:16" x14ac:dyDescent="0.35">
      <c r="A272" s="18">
        <v>45870</v>
      </c>
      <c r="B272" s="18" t="s">
        <v>1132</v>
      </c>
      <c r="C272" t="s">
        <v>1130</v>
      </c>
      <c r="D272" t="s">
        <v>9</v>
      </c>
      <c r="E272" t="s">
        <v>122</v>
      </c>
      <c r="F272" t="s">
        <v>619</v>
      </c>
      <c r="G272" s="46">
        <v>16</v>
      </c>
      <c r="H272" t="s">
        <v>79</v>
      </c>
      <c r="I272" t="str">
        <f>VLOOKUP(Tabla5[[#This Row],[Producto]],Referencia!$E$2:$F$238,2,0)</f>
        <v>P64</v>
      </c>
      <c r="J272" t="s">
        <v>420</v>
      </c>
      <c r="K272" s="47">
        <v>1</v>
      </c>
      <c r="L272" t="s">
        <v>1067</v>
      </c>
      <c r="M272" s="23">
        <v>125000</v>
      </c>
      <c r="N272" s="23">
        <v>260000</v>
      </c>
      <c r="O272" s="23">
        <v>135000</v>
      </c>
      <c r="P272" t="s">
        <v>27</v>
      </c>
    </row>
    <row r="273" spans="1:16" x14ac:dyDescent="0.35">
      <c r="A273" s="18">
        <v>45870</v>
      </c>
      <c r="B273" s="18" t="s">
        <v>1132</v>
      </c>
      <c r="C273" t="s">
        <v>1130</v>
      </c>
      <c r="D273" t="s">
        <v>9</v>
      </c>
      <c r="E273" t="s">
        <v>122</v>
      </c>
      <c r="F273" t="s">
        <v>619</v>
      </c>
      <c r="G273" s="46">
        <v>34</v>
      </c>
      <c r="H273" t="s">
        <v>172</v>
      </c>
      <c r="I273" t="str">
        <f>VLOOKUP(Tabla5[[#This Row],[Producto]],Referencia!$E$2:$F$238,2,0)</f>
        <v>P148</v>
      </c>
      <c r="J273" t="s">
        <v>532</v>
      </c>
      <c r="K273" s="47">
        <v>1</v>
      </c>
      <c r="L273" t="s">
        <v>1078</v>
      </c>
      <c r="M273" s="23">
        <v>16000</v>
      </c>
      <c r="N273" s="23">
        <v>30000</v>
      </c>
      <c r="O273" s="23">
        <v>14000</v>
      </c>
      <c r="P273" t="s">
        <v>27</v>
      </c>
    </row>
    <row r="274" spans="1:16" x14ac:dyDescent="0.35">
      <c r="A274" s="18">
        <v>45870</v>
      </c>
      <c r="B274" s="18" t="s">
        <v>1132</v>
      </c>
      <c r="C274" t="s">
        <v>1130</v>
      </c>
      <c r="D274" t="s">
        <v>9</v>
      </c>
      <c r="E274" t="s">
        <v>122</v>
      </c>
      <c r="F274" t="s">
        <v>619</v>
      </c>
      <c r="G274" s="46">
        <v>34</v>
      </c>
      <c r="H274" t="s">
        <v>172</v>
      </c>
      <c r="I274" t="str">
        <f>VLOOKUP(Tabla5[[#This Row],[Producto]],Referencia!$E$2:$F$238,2,0)</f>
        <v>P149</v>
      </c>
      <c r="J274" t="s">
        <v>533</v>
      </c>
      <c r="K274" s="47">
        <v>1</v>
      </c>
      <c r="L274" t="s">
        <v>1078</v>
      </c>
      <c r="M274" s="23">
        <v>20000</v>
      </c>
      <c r="N274" s="23">
        <v>40000</v>
      </c>
      <c r="O274" s="23">
        <v>20000</v>
      </c>
      <c r="P274" t="s">
        <v>27</v>
      </c>
    </row>
    <row r="275" spans="1:16" x14ac:dyDescent="0.35">
      <c r="A275" s="18">
        <v>45870</v>
      </c>
      <c r="B275" s="18" t="s">
        <v>1132</v>
      </c>
      <c r="C275" t="s">
        <v>1130</v>
      </c>
      <c r="D275" t="s">
        <v>9</v>
      </c>
      <c r="E275" t="s">
        <v>122</v>
      </c>
      <c r="F275" t="s">
        <v>619</v>
      </c>
      <c r="G275" s="46">
        <v>34</v>
      </c>
      <c r="H275" t="s">
        <v>172</v>
      </c>
      <c r="I275" t="str">
        <f>VLOOKUP(Tabla5[[#This Row],[Producto]],Referencia!$E$2:$F$238,2,0)</f>
        <v>P19</v>
      </c>
      <c r="J275" t="s">
        <v>48</v>
      </c>
      <c r="K275" s="47">
        <v>1</v>
      </c>
      <c r="L275" t="s">
        <v>1078</v>
      </c>
      <c r="M275" s="23">
        <v>18000</v>
      </c>
      <c r="N275" s="23">
        <v>30000</v>
      </c>
      <c r="O275" s="23">
        <v>12000</v>
      </c>
      <c r="P275" t="s">
        <v>27</v>
      </c>
    </row>
    <row r="276" spans="1:16" x14ac:dyDescent="0.35">
      <c r="A276" s="18">
        <v>45870</v>
      </c>
      <c r="B276" s="18" t="s">
        <v>1132</v>
      </c>
      <c r="C276" t="s">
        <v>1130</v>
      </c>
      <c r="D276" t="s">
        <v>9</v>
      </c>
      <c r="E276" t="s">
        <v>122</v>
      </c>
      <c r="F276" t="s">
        <v>619</v>
      </c>
      <c r="G276" s="46">
        <v>10</v>
      </c>
      <c r="H276" t="s">
        <v>622</v>
      </c>
      <c r="I276" t="str">
        <f>VLOOKUP(Tabla5[[#This Row],[Producto]],Referencia!$E$2:$F$238,2,0)</f>
        <v>P75</v>
      </c>
      <c r="J276" t="s">
        <v>566</v>
      </c>
      <c r="K276" s="47">
        <v>1</v>
      </c>
      <c r="L276" t="s">
        <v>1078</v>
      </c>
      <c r="M276" s="23">
        <v>48000</v>
      </c>
      <c r="N276" s="23">
        <v>90000</v>
      </c>
      <c r="O276" s="23">
        <v>42000</v>
      </c>
      <c r="P276" t="s">
        <v>27</v>
      </c>
    </row>
    <row r="277" spans="1:16" x14ac:dyDescent="0.35">
      <c r="A277" s="18">
        <v>45870</v>
      </c>
      <c r="B277" s="18" t="s">
        <v>1132</v>
      </c>
      <c r="C277" t="s">
        <v>1130</v>
      </c>
      <c r="D277" t="s">
        <v>9</v>
      </c>
      <c r="E277" t="s">
        <v>122</v>
      </c>
      <c r="F277" t="s">
        <v>619</v>
      </c>
      <c r="G277" s="46">
        <v>10</v>
      </c>
      <c r="H277" t="s">
        <v>622</v>
      </c>
      <c r="I277" t="str">
        <f>VLOOKUP(Tabla5[[#This Row],[Producto]],Referencia!$E$2:$F$238,2,0)</f>
        <v>P182</v>
      </c>
      <c r="J277" t="s">
        <v>567</v>
      </c>
      <c r="K277" s="47">
        <v>1</v>
      </c>
      <c r="L277" t="s">
        <v>1075</v>
      </c>
      <c r="M277" s="23">
        <v>110000</v>
      </c>
      <c r="N277" s="23">
        <v>260000</v>
      </c>
      <c r="O277" s="23">
        <v>260000</v>
      </c>
      <c r="P277" t="s">
        <v>27</v>
      </c>
    </row>
    <row r="278" spans="1:16" x14ac:dyDescent="0.35">
      <c r="A278" s="18">
        <v>45870</v>
      </c>
      <c r="B278" s="18" t="s">
        <v>1132</v>
      </c>
      <c r="C278" t="s">
        <v>1130</v>
      </c>
      <c r="D278" t="s">
        <v>9</v>
      </c>
      <c r="E278" t="s">
        <v>122</v>
      </c>
      <c r="F278" t="s">
        <v>619</v>
      </c>
      <c r="G278" s="46">
        <v>9</v>
      </c>
      <c r="H278" t="s">
        <v>50</v>
      </c>
      <c r="I278" t="str">
        <f>VLOOKUP(Tabla5[[#This Row],[Producto]],Referencia!$E$2:$F$238,2,0)</f>
        <v>P183</v>
      </c>
      <c r="J278" t="s">
        <v>568</v>
      </c>
      <c r="K278" s="47">
        <v>1</v>
      </c>
      <c r="L278" t="s">
        <v>1067</v>
      </c>
      <c r="M278" s="23">
        <v>125000</v>
      </c>
      <c r="N278" s="23">
        <v>260000</v>
      </c>
      <c r="O278" s="23">
        <v>135000</v>
      </c>
      <c r="P278" t="s">
        <v>27</v>
      </c>
    </row>
    <row r="279" spans="1:16" x14ac:dyDescent="0.35">
      <c r="A279" s="18">
        <v>45870</v>
      </c>
      <c r="B279" s="18" t="s">
        <v>1132</v>
      </c>
      <c r="C279" t="s">
        <v>1130</v>
      </c>
      <c r="D279" t="s">
        <v>9</v>
      </c>
      <c r="E279" t="s">
        <v>122</v>
      </c>
      <c r="F279" t="s">
        <v>619</v>
      </c>
      <c r="G279" s="46">
        <v>9</v>
      </c>
      <c r="H279" t="s">
        <v>50</v>
      </c>
      <c r="I279" t="str">
        <f>VLOOKUP(Tabla5[[#This Row],[Producto]],Referencia!$E$2:$F$238,2,0)</f>
        <v>P184</v>
      </c>
      <c r="J279" t="s">
        <v>569</v>
      </c>
      <c r="K279" s="47">
        <v>1</v>
      </c>
      <c r="L279" t="s">
        <v>1067</v>
      </c>
      <c r="M279" s="23">
        <v>120000</v>
      </c>
      <c r="N279" s="23">
        <v>240000</v>
      </c>
      <c r="O279" s="23">
        <v>120000</v>
      </c>
      <c r="P279" t="s">
        <v>27</v>
      </c>
    </row>
    <row r="280" spans="1:16" x14ac:dyDescent="0.35">
      <c r="A280" s="18">
        <v>45870</v>
      </c>
      <c r="B280" s="18" t="s">
        <v>1132</v>
      </c>
      <c r="C280" t="s">
        <v>1130</v>
      </c>
      <c r="D280" t="s">
        <v>9</v>
      </c>
      <c r="E280" t="s">
        <v>140</v>
      </c>
      <c r="F280" t="s">
        <v>619</v>
      </c>
      <c r="G280" s="46">
        <v>14</v>
      </c>
      <c r="H280" t="s">
        <v>147</v>
      </c>
      <c r="I280" t="str">
        <f>VLOOKUP(Tabla5[[#This Row],[Producto]],Referencia!$E$2:$F$238,2,0)</f>
        <v>P117</v>
      </c>
      <c r="J280" t="s">
        <v>495</v>
      </c>
      <c r="K280" s="47">
        <v>1</v>
      </c>
      <c r="L280" t="s">
        <v>1067</v>
      </c>
      <c r="M280" s="23">
        <v>40000</v>
      </c>
      <c r="N280" s="23">
        <v>80000</v>
      </c>
      <c r="O280" s="23">
        <v>40000</v>
      </c>
      <c r="P280" t="s">
        <v>27</v>
      </c>
    </row>
    <row r="281" spans="1:16" x14ac:dyDescent="0.35">
      <c r="A281" s="18">
        <v>45870</v>
      </c>
      <c r="B281" s="18" t="s">
        <v>1132</v>
      </c>
      <c r="C281" t="s">
        <v>1130</v>
      </c>
      <c r="D281" t="s">
        <v>415</v>
      </c>
      <c r="E281" t="s">
        <v>82</v>
      </c>
      <c r="F281" t="s">
        <v>619</v>
      </c>
      <c r="G281" s="46">
        <v>21</v>
      </c>
      <c r="H281" t="s">
        <v>52</v>
      </c>
      <c r="I281" t="str">
        <f>VLOOKUP(Tabla5[[#This Row],[Producto]],Referencia!$E$2:$F$238,2,0)</f>
        <v>P185</v>
      </c>
      <c r="J281" t="s">
        <v>570</v>
      </c>
      <c r="K281" s="47">
        <v>1</v>
      </c>
      <c r="L281" t="s">
        <v>1063</v>
      </c>
      <c r="M281" s="23">
        <v>71500</v>
      </c>
      <c r="N281" s="23">
        <v>120000</v>
      </c>
      <c r="O281" s="23">
        <v>48500</v>
      </c>
      <c r="P281" t="s">
        <v>27</v>
      </c>
    </row>
    <row r="282" spans="1:16" x14ac:dyDescent="0.35">
      <c r="A282" s="18">
        <v>45870</v>
      </c>
      <c r="B282" s="18" t="s">
        <v>1132</v>
      </c>
      <c r="C282" t="s">
        <v>1130</v>
      </c>
      <c r="D282" t="s">
        <v>415</v>
      </c>
      <c r="E282" t="s">
        <v>82</v>
      </c>
      <c r="F282" t="s">
        <v>619</v>
      </c>
      <c r="G282" s="46">
        <v>21</v>
      </c>
      <c r="H282" t="s">
        <v>52</v>
      </c>
      <c r="I282" t="str">
        <f>VLOOKUP(Tabla5[[#This Row],[Producto]],Referencia!$E$2:$F$238,2,0)</f>
        <v>P53</v>
      </c>
      <c r="J282" t="s">
        <v>629</v>
      </c>
      <c r="K282" s="47">
        <v>1</v>
      </c>
      <c r="L282" t="s">
        <v>1067</v>
      </c>
      <c r="M282" s="23">
        <v>60000</v>
      </c>
      <c r="N282" s="23">
        <v>120000</v>
      </c>
      <c r="O282" s="23">
        <v>60000</v>
      </c>
      <c r="P282" t="s">
        <v>27</v>
      </c>
    </row>
    <row r="283" spans="1:16" x14ac:dyDescent="0.35">
      <c r="A283" s="18">
        <v>45875</v>
      </c>
      <c r="B283" s="18" t="s">
        <v>1132</v>
      </c>
      <c r="C283" t="s">
        <v>1130</v>
      </c>
      <c r="D283" t="s">
        <v>615</v>
      </c>
      <c r="E283" t="s">
        <v>129</v>
      </c>
      <c r="F283" t="s">
        <v>619</v>
      </c>
      <c r="G283" s="46">
        <v>28</v>
      </c>
      <c r="H283" t="s">
        <v>164</v>
      </c>
      <c r="I283" t="str">
        <f>VLOOKUP(Tabla5[[#This Row],[Producto]],Referencia!$E$2:$F$238,2,0)</f>
        <v>P106</v>
      </c>
      <c r="J283" t="s">
        <v>482</v>
      </c>
      <c r="K283" s="47">
        <v>1</v>
      </c>
      <c r="L283" t="s">
        <v>1078</v>
      </c>
      <c r="M283" s="23">
        <v>65000</v>
      </c>
      <c r="N283" s="23">
        <v>110000</v>
      </c>
      <c r="O283" s="23">
        <v>45000</v>
      </c>
      <c r="P283" t="s">
        <v>23</v>
      </c>
    </row>
    <row r="284" spans="1:16" x14ac:dyDescent="0.35">
      <c r="A284" s="18">
        <v>45875</v>
      </c>
      <c r="B284" s="18" t="s">
        <v>1132</v>
      </c>
      <c r="C284" t="s">
        <v>1130</v>
      </c>
      <c r="D284" t="s">
        <v>615</v>
      </c>
      <c r="E284" t="s">
        <v>129</v>
      </c>
      <c r="F284" t="s">
        <v>619</v>
      </c>
      <c r="G284" s="46">
        <v>28</v>
      </c>
      <c r="H284" t="s">
        <v>164</v>
      </c>
      <c r="I284" t="str">
        <f>VLOOKUP(Tabla5[[#This Row],[Producto]],Referencia!$E$2:$F$238,2,0)</f>
        <v>P89</v>
      </c>
      <c r="J284" t="s">
        <v>455</v>
      </c>
      <c r="K284" s="47">
        <v>1</v>
      </c>
      <c r="L284" t="s">
        <v>1070</v>
      </c>
      <c r="M284" s="23">
        <v>64800</v>
      </c>
      <c r="N284" s="23">
        <v>108000</v>
      </c>
      <c r="O284" s="23">
        <v>108000</v>
      </c>
      <c r="P284" t="s">
        <v>27</v>
      </c>
    </row>
    <row r="285" spans="1:16" x14ac:dyDescent="0.35">
      <c r="A285" s="18">
        <v>45875</v>
      </c>
      <c r="B285" s="18" t="s">
        <v>1132</v>
      </c>
      <c r="C285" t="s">
        <v>1130</v>
      </c>
      <c r="D285" t="s">
        <v>615</v>
      </c>
      <c r="E285" t="s">
        <v>129</v>
      </c>
      <c r="F285" t="s">
        <v>619</v>
      </c>
      <c r="G285" s="46">
        <v>28</v>
      </c>
      <c r="H285" t="s">
        <v>164</v>
      </c>
      <c r="I285" t="str">
        <f>VLOOKUP(Tabla5[[#This Row],[Producto]],Referencia!$E$2:$F$238,2,0)</f>
        <v>P27</v>
      </c>
      <c r="J285" t="s">
        <v>60</v>
      </c>
      <c r="K285" s="47">
        <v>1</v>
      </c>
      <c r="L285" t="s">
        <v>1067</v>
      </c>
      <c r="M285" s="23">
        <v>5000</v>
      </c>
      <c r="N285" s="23">
        <v>10000</v>
      </c>
      <c r="O285" s="23">
        <v>5000</v>
      </c>
      <c r="P285" t="s">
        <v>27</v>
      </c>
    </row>
    <row r="286" spans="1:16" x14ac:dyDescent="0.35">
      <c r="A286" s="18">
        <v>45875</v>
      </c>
      <c r="B286" s="18" t="s">
        <v>1132</v>
      </c>
      <c r="C286" t="s">
        <v>1130</v>
      </c>
      <c r="D286" t="s">
        <v>615</v>
      </c>
      <c r="E286" t="s">
        <v>129</v>
      </c>
      <c r="F286" t="s">
        <v>619</v>
      </c>
      <c r="G286" s="46">
        <v>28</v>
      </c>
      <c r="H286" t="s">
        <v>164</v>
      </c>
      <c r="I286" t="str">
        <f>VLOOKUP(Tabla5[[#This Row],[Producto]],Referencia!$E$2:$F$238,2,0)</f>
        <v>P6</v>
      </c>
      <c r="J286" t="s">
        <v>627</v>
      </c>
      <c r="K286" s="47">
        <v>1</v>
      </c>
      <c r="L286" t="s">
        <v>31</v>
      </c>
      <c r="M286" s="23">
        <v>20000</v>
      </c>
      <c r="N286" s="23">
        <v>30000</v>
      </c>
      <c r="O286" s="23">
        <v>10000</v>
      </c>
      <c r="P286" t="s">
        <v>27</v>
      </c>
    </row>
    <row r="287" spans="1:16" x14ac:dyDescent="0.35">
      <c r="A287" s="18">
        <v>45875</v>
      </c>
      <c r="B287" s="18" t="s">
        <v>1132</v>
      </c>
      <c r="C287" t="s">
        <v>1130</v>
      </c>
      <c r="D287" t="s">
        <v>615</v>
      </c>
      <c r="E287" t="s">
        <v>127</v>
      </c>
      <c r="F287" t="s">
        <v>619</v>
      </c>
      <c r="G287" s="46">
        <v>44</v>
      </c>
      <c r="H287" t="s">
        <v>459</v>
      </c>
      <c r="I287" t="str">
        <f>VLOOKUP(Tabla5[[#This Row],[Producto]],Referencia!$E$2:$F$238,2,0)</f>
        <v>P6</v>
      </c>
      <c r="J287" t="s">
        <v>627</v>
      </c>
      <c r="K287" s="47">
        <v>1</v>
      </c>
      <c r="L287" t="s">
        <v>31</v>
      </c>
      <c r="M287" s="23">
        <v>20000</v>
      </c>
      <c r="N287" s="23">
        <v>30000</v>
      </c>
      <c r="O287" s="23">
        <v>10000</v>
      </c>
      <c r="P287" t="s">
        <v>27</v>
      </c>
    </row>
    <row r="288" spans="1:16" x14ac:dyDescent="0.35">
      <c r="A288" s="18">
        <v>45875</v>
      </c>
      <c r="B288" s="18" t="s">
        <v>1132</v>
      </c>
      <c r="C288" t="s">
        <v>1130</v>
      </c>
      <c r="D288" t="s">
        <v>615</v>
      </c>
      <c r="E288" t="s">
        <v>127</v>
      </c>
      <c r="F288" t="s">
        <v>619</v>
      </c>
      <c r="G288" s="46">
        <v>44</v>
      </c>
      <c r="H288" t="s">
        <v>459</v>
      </c>
      <c r="I288" t="str">
        <f>VLOOKUP(Tabla5[[#This Row],[Producto]],Referencia!$E$2:$F$238,2,0)</f>
        <v>P186</v>
      </c>
      <c r="J288" t="s">
        <v>571</v>
      </c>
      <c r="K288" s="47">
        <v>1</v>
      </c>
      <c r="L288" t="s">
        <v>1063</v>
      </c>
      <c r="M288" s="23">
        <v>75000</v>
      </c>
      <c r="N288" s="23">
        <v>110000</v>
      </c>
      <c r="O288" s="23">
        <v>110000</v>
      </c>
      <c r="P288" t="s">
        <v>27</v>
      </c>
    </row>
    <row r="289" spans="1:16" x14ac:dyDescent="0.35">
      <c r="A289" s="18">
        <v>45878</v>
      </c>
      <c r="B289" s="18" t="s">
        <v>1132</v>
      </c>
      <c r="C289" t="s">
        <v>1130</v>
      </c>
      <c r="D289" t="s">
        <v>9</v>
      </c>
      <c r="E289" t="s">
        <v>122</v>
      </c>
      <c r="F289" t="s">
        <v>619</v>
      </c>
      <c r="G289" s="46">
        <v>8</v>
      </c>
      <c r="H289" t="s">
        <v>476</v>
      </c>
      <c r="I289" t="str">
        <f>VLOOKUP(Tabla5[[#This Row],[Producto]],Referencia!$E$2:$F$238,2,0)</f>
        <v>P187</v>
      </c>
      <c r="J289" t="s">
        <v>572</v>
      </c>
      <c r="K289" s="47">
        <v>3</v>
      </c>
      <c r="L289" t="s">
        <v>1069</v>
      </c>
      <c r="M289" s="23">
        <v>90000</v>
      </c>
      <c r="N289" s="23">
        <v>150000</v>
      </c>
      <c r="O289" s="23">
        <v>60000</v>
      </c>
      <c r="P289" t="s">
        <v>27</v>
      </c>
    </row>
    <row r="290" spans="1:16" x14ac:dyDescent="0.35">
      <c r="A290" s="18">
        <v>45878</v>
      </c>
      <c r="B290" s="18" t="s">
        <v>1132</v>
      </c>
      <c r="C290" t="s">
        <v>1130</v>
      </c>
      <c r="D290" t="s">
        <v>9</v>
      </c>
      <c r="E290" t="s">
        <v>122</v>
      </c>
      <c r="F290" t="s">
        <v>619</v>
      </c>
      <c r="G290" s="46">
        <v>34</v>
      </c>
      <c r="H290" t="s">
        <v>172</v>
      </c>
      <c r="I290" t="str">
        <f>VLOOKUP(Tabla5[[#This Row],[Producto]],Referencia!$E$2:$F$238,2,0)</f>
        <v>P188</v>
      </c>
      <c r="J290" t="s">
        <v>573</v>
      </c>
      <c r="K290" s="47">
        <v>1</v>
      </c>
      <c r="L290" t="s">
        <v>1067</v>
      </c>
      <c r="M290" s="23">
        <v>140000</v>
      </c>
      <c r="N290" s="23">
        <v>280000</v>
      </c>
      <c r="O290" s="23">
        <v>140000</v>
      </c>
      <c r="P290" t="s">
        <v>27</v>
      </c>
    </row>
    <row r="291" spans="1:16" x14ac:dyDescent="0.35">
      <c r="A291" s="18">
        <v>45878</v>
      </c>
      <c r="B291" s="18" t="s">
        <v>1132</v>
      </c>
      <c r="C291" t="s">
        <v>1130</v>
      </c>
      <c r="D291" t="s">
        <v>9</v>
      </c>
      <c r="E291" t="s">
        <v>122</v>
      </c>
      <c r="F291" t="s">
        <v>619</v>
      </c>
      <c r="G291" s="46">
        <v>34</v>
      </c>
      <c r="H291" t="s">
        <v>172</v>
      </c>
      <c r="I291" t="str">
        <f>VLOOKUP(Tabla5[[#This Row],[Producto]],Referencia!$E$2:$F$238,2,0)</f>
        <v>P159</v>
      </c>
      <c r="J291" t="s">
        <v>545</v>
      </c>
      <c r="K291" s="47">
        <v>1</v>
      </c>
      <c r="L291" t="s">
        <v>1078</v>
      </c>
      <c r="M291" s="23">
        <v>14000</v>
      </c>
      <c r="N291" s="23">
        <v>20000</v>
      </c>
      <c r="O291" s="23">
        <v>6000</v>
      </c>
      <c r="P291" t="s">
        <v>27</v>
      </c>
    </row>
    <row r="292" spans="1:16" x14ac:dyDescent="0.35">
      <c r="A292" s="18">
        <v>45878</v>
      </c>
      <c r="B292" s="18" t="s">
        <v>1132</v>
      </c>
      <c r="C292" t="s">
        <v>1130</v>
      </c>
      <c r="D292" t="s">
        <v>9</v>
      </c>
      <c r="E292" t="s">
        <v>122</v>
      </c>
      <c r="F292" t="s">
        <v>619</v>
      </c>
      <c r="G292" s="46">
        <v>5</v>
      </c>
      <c r="H292" t="s">
        <v>121</v>
      </c>
      <c r="I292" t="str">
        <f>VLOOKUP(Tabla5[[#This Row],[Producto]],Referencia!$E$2:$F$238,2,0)</f>
        <v>P64</v>
      </c>
      <c r="J292" t="s">
        <v>420</v>
      </c>
      <c r="K292" s="47">
        <v>1</v>
      </c>
      <c r="L292" t="s">
        <v>1067</v>
      </c>
      <c r="M292" s="23">
        <v>125000</v>
      </c>
      <c r="N292" s="23">
        <v>260000</v>
      </c>
      <c r="O292" s="23">
        <v>135000</v>
      </c>
      <c r="P292" t="s">
        <v>27</v>
      </c>
    </row>
    <row r="293" spans="1:16" x14ac:dyDescent="0.35">
      <c r="A293" s="18">
        <v>45878</v>
      </c>
      <c r="B293" s="18" t="s">
        <v>1132</v>
      </c>
      <c r="C293" t="s">
        <v>1130</v>
      </c>
      <c r="D293" t="s">
        <v>9</v>
      </c>
      <c r="E293" t="s">
        <v>109</v>
      </c>
      <c r="F293" t="s">
        <v>619</v>
      </c>
      <c r="G293" s="46">
        <v>2</v>
      </c>
      <c r="H293" t="s">
        <v>112</v>
      </c>
      <c r="I293" t="str">
        <f>VLOOKUP(Tabla5[[#This Row],[Producto]],Referencia!$E$2:$F$238,2,0)</f>
        <v>P189</v>
      </c>
      <c r="J293" t="s">
        <v>574</v>
      </c>
      <c r="K293" s="47">
        <v>1</v>
      </c>
      <c r="L293" t="s">
        <v>1078</v>
      </c>
      <c r="M293" s="23">
        <v>130000</v>
      </c>
      <c r="N293" s="23">
        <v>260000</v>
      </c>
      <c r="O293" s="23">
        <v>130000</v>
      </c>
      <c r="P293" t="s">
        <v>27</v>
      </c>
    </row>
    <row r="294" spans="1:16" x14ac:dyDescent="0.35">
      <c r="A294" s="18">
        <v>45878</v>
      </c>
      <c r="B294" s="18" t="s">
        <v>1132</v>
      </c>
      <c r="C294" t="s">
        <v>1130</v>
      </c>
      <c r="D294" t="s">
        <v>9</v>
      </c>
      <c r="E294" t="s">
        <v>109</v>
      </c>
      <c r="F294" t="s">
        <v>619</v>
      </c>
      <c r="G294" s="46">
        <v>2</v>
      </c>
      <c r="H294" t="s">
        <v>112</v>
      </c>
      <c r="I294" t="str">
        <f>VLOOKUP(Tabla5[[#This Row],[Producto]],Referencia!$E$2:$F$238,2,0)</f>
        <v>P137</v>
      </c>
      <c r="J294" t="s">
        <v>628</v>
      </c>
      <c r="K294" s="47">
        <v>1</v>
      </c>
      <c r="L294" t="s">
        <v>31</v>
      </c>
      <c r="M294" s="23">
        <v>50000</v>
      </c>
      <c r="N294" s="23">
        <v>100000</v>
      </c>
      <c r="O294" s="23">
        <v>50000</v>
      </c>
      <c r="P294" t="s">
        <v>27</v>
      </c>
    </row>
    <row r="295" spans="1:16" x14ac:dyDescent="0.35">
      <c r="A295" s="18">
        <v>45878</v>
      </c>
      <c r="B295" s="18" t="s">
        <v>1132</v>
      </c>
      <c r="C295" t="s">
        <v>1130</v>
      </c>
      <c r="D295" t="s">
        <v>9</v>
      </c>
      <c r="E295" t="s">
        <v>109</v>
      </c>
      <c r="F295" t="s">
        <v>619</v>
      </c>
      <c r="G295" s="46">
        <v>2</v>
      </c>
      <c r="H295" t="s">
        <v>112</v>
      </c>
      <c r="I295" t="str">
        <f>VLOOKUP(Tabla5[[#This Row],[Producto]],Referencia!$E$2:$F$238,2,0)</f>
        <v>P56</v>
      </c>
      <c r="J295" t="s">
        <v>91</v>
      </c>
      <c r="K295" s="47">
        <v>1</v>
      </c>
      <c r="L295" t="s">
        <v>1078</v>
      </c>
      <c r="M295" s="23">
        <v>45000</v>
      </c>
      <c r="N295" s="23">
        <v>90000</v>
      </c>
      <c r="O295" s="23">
        <v>45000</v>
      </c>
      <c r="P295" t="s">
        <v>27</v>
      </c>
    </row>
    <row r="296" spans="1:16" x14ac:dyDescent="0.35">
      <c r="A296" s="18">
        <v>45878</v>
      </c>
      <c r="B296" s="18" t="s">
        <v>1132</v>
      </c>
      <c r="C296" t="s">
        <v>1130</v>
      </c>
      <c r="D296" t="s">
        <v>9</v>
      </c>
      <c r="E296" t="s">
        <v>109</v>
      </c>
      <c r="F296" t="s">
        <v>619</v>
      </c>
      <c r="G296" s="46">
        <v>2</v>
      </c>
      <c r="H296" t="s">
        <v>112</v>
      </c>
      <c r="I296" t="str">
        <f>VLOOKUP(Tabla5[[#This Row],[Producto]],Referencia!$E$2:$F$238,2,0)</f>
        <v>P190</v>
      </c>
      <c r="J296" t="s">
        <v>575</v>
      </c>
      <c r="K296" s="47">
        <v>1</v>
      </c>
      <c r="L296" t="s">
        <v>1078</v>
      </c>
      <c r="M296" s="23">
        <v>40000</v>
      </c>
      <c r="N296" s="23">
        <v>80000</v>
      </c>
      <c r="O296" s="23">
        <v>40000</v>
      </c>
      <c r="P296" t="s">
        <v>27</v>
      </c>
    </row>
    <row r="297" spans="1:16" x14ac:dyDescent="0.35">
      <c r="A297" s="18">
        <v>45878</v>
      </c>
      <c r="B297" s="18" t="s">
        <v>1132</v>
      </c>
      <c r="C297" t="s">
        <v>1130</v>
      </c>
      <c r="D297" t="s">
        <v>9</v>
      </c>
      <c r="E297" t="s">
        <v>109</v>
      </c>
      <c r="F297" t="s">
        <v>619</v>
      </c>
      <c r="G297" s="46">
        <v>2</v>
      </c>
      <c r="H297" t="s">
        <v>112</v>
      </c>
      <c r="I297" t="str">
        <f>VLOOKUP(Tabla5[[#This Row],[Producto]],Referencia!$E$2:$F$238,2,0)</f>
        <v>P191</v>
      </c>
      <c r="J297" t="s">
        <v>576</v>
      </c>
      <c r="K297" s="47">
        <v>1</v>
      </c>
      <c r="L297" t="s">
        <v>1078</v>
      </c>
      <c r="M297" s="23">
        <v>38000</v>
      </c>
      <c r="N297" s="23">
        <v>70000</v>
      </c>
      <c r="O297" s="23">
        <v>70000</v>
      </c>
      <c r="P297" t="s">
        <v>27</v>
      </c>
    </row>
    <row r="298" spans="1:16" x14ac:dyDescent="0.35">
      <c r="A298" s="18">
        <v>45878</v>
      </c>
      <c r="B298" s="18" t="s">
        <v>1132</v>
      </c>
      <c r="C298" t="s">
        <v>1130</v>
      </c>
      <c r="D298" t="s">
        <v>9</v>
      </c>
      <c r="E298" t="s">
        <v>122</v>
      </c>
      <c r="F298" t="s">
        <v>619</v>
      </c>
      <c r="G298" s="46">
        <v>10</v>
      </c>
      <c r="H298" t="s">
        <v>622</v>
      </c>
      <c r="I298" t="str">
        <f>VLOOKUP(Tabla5[[#This Row],[Producto]],Referencia!$E$2:$F$238,2,0)</f>
        <v>P192</v>
      </c>
      <c r="J298" t="s">
        <v>577</v>
      </c>
      <c r="K298" s="47">
        <v>1</v>
      </c>
      <c r="L298" t="s">
        <v>1067</v>
      </c>
      <c r="M298" s="23">
        <v>180000</v>
      </c>
      <c r="N298" s="23">
        <v>360000</v>
      </c>
      <c r="O298" s="23">
        <v>180000</v>
      </c>
      <c r="P298" t="s">
        <v>27</v>
      </c>
    </row>
    <row r="299" spans="1:16" x14ac:dyDescent="0.35">
      <c r="A299" s="18">
        <v>45882</v>
      </c>
      <c r="B299" s="18" t="s">
        <v>1132</v>
      </c>
      <c r="C299" t="s">
        <v>1130</v>
      </c>
      <c r="D299" t="s">
        <v>615</v>
      </c>
      <c r="E299" t="s">
        <v>129</v>
      </c>
      <c r="F299" t="s">
        <v>619</v>
      </c>
      <c r="G299" s="46">
        <v>38</v>
      </c>
      <c r="H299" t="s">
        <v>179</v>
      </c>
      <c r="I299" t="str">
        <f>VLOOKUP(Tabla5[[#This Row],[Producto]],Referencia!$E$2:$F$238,2,0)</f>
        <v>P15</v>
      </c>
      <c r="J299" t="s">
        <v>44</v>
      </c>
      <c r="K299" s="47">
        <v>1</v>
      </c>
      <c r="L299" t="s">
        <v>1078</v>
      </c>
      <c r="M299" s="23">
        <v>20000</v>
      </c>
      <c r="N299" s="23">
        <v>0</v>
      </c>
      <c r="O299" s="23">
        <v>-20000</v>
      </c>
      <c r="P299" t="s">
        <v>27</v>
      </c>
    </row>
    <row r="300" spans="1:16" x14ac:dyDescent="0.35">
      <c r="A300" s="18">
        <v>45882</v>
      </c>
      <c r="B300" s="18" t="s">
        <v>1132</v>
      </c>
      <c r="C300" t="s">
        <v>1130</v>
      </c>
      <c r="D300" t="s">
        <v>615</v>
      </c>
      <c r="E300" t="s">
        <v>129</v>
      </c>
      <c r="F300" t="s">
        <v>619</v>
      </c>
      <c r="G300" s="46">
        <v>38</v>
      </c>
      <c r="H300" t="s">
        <v>179</v>
      </c>
      <c r="I300" t="str">
        <f>VLOOKUP(Tabla5[[#This Row],[Producto]],Referencia!$E$2:$F$238,2,0)</f>
        <v>P58</v>
      </c>
      <c r="J300" t="s">
        <v>581</v>
      </c>
      <c r="K300" s="47">
        <v>1</v>
      </c>
      <c r="L300" t="s">
        <v>1078</v>
      </c>
      <c r="M300" s="23">
        <v>10000</v>
      </c>
      <c r="N300" s="23">
        <v>20000</v>
      </c>
      <c r="O300" s="23">
        <v>10000</v>
      </c>
      <c r="P300" t="s">
        <v>27</v>
      </c>
    </row>
    <row r="301" spans="1:16" x14ac:dyDescent="0.35">
      <c r="A301" s="18">
        <v>45882</v>
      </c>
      <c r="B301" s="18" t="s">
        <v>1132</v>
      </c>
      <c r="C301" t="s">
        <v>1130</v>
      </c>
      <c r="D301" t="s">
        <v>615</v>
      </c>
      <c r="E301" t="s">
        <v>129</v>
      </c>
      <c r="F301" t="s">
        <v>619</v>
      </c>
      <c r="G301" s="46">
        <v>38</v>
      </c>
      <c r="H301" t="s">
        <v>179</v>
      </c>
      <c r="I301" t="str">
        <f>VLOOKUP(Tabla5[[#This Row],[Producto]],Referencia!$E$2:$F$238,2,0)</f>
        <v>P193</v>
      </c>
      <c r="J301" t="s">
        <v>582</v>
      </c>
      <c r="K301" s="47">
        <v>1</v>
      </c>
      <c r="L301" t="s">
        <v>1078</v>
      </c>
      <c r="M301" s="23">
        <v>38000</v>
      </c>
      <c r="N301" s="23">
        <v>75000</v>
      </c>
      <c r="O301" s="23">
        <v>37000</v>
      </c>
      <c r="P301" t="s">
        <v>27</v>
      </c>
    </row>
    <row r="302" spans="1:16" x14ac:dyDescent="0.35">
      <c r="A302" s="18">
        <v>45882</v>
      </c>
      <c r="B302" s="18" t="s">
        <v>1132</v>
      </c>
      <c r="C302" t="s">
        <v>1130</v>
      </c>
      <c r="D302" t="s">
        <v>615</v>
      </c>
      <c r="E302" t="s">
        <v>129</v>
      </c>
      <c r="F302" t="s">
        <v>619</v>
      </c>
      <c r="G302" s="46">
        <v>38</v>
      </c>
      <c r="H302" t="s">
        <v>179</v>
      </c>
      <c r="I302" t="str">
        <f>VLOOKUP(Tabla5[[#This Row],[Producto]],Referencia!$E$2:$F$238,2,0)</f>
        <v>P227</v>
      </c>
      <c r="J302" t="s">
        <v>1111</v>
      </c>
      <c r="K302" s="47">
        <v>1</v>
      </c>
      <c r="L302" t="s">
        <v>1075</v>
      </c>
      <c r="M302" s="23">
        <v>325000</v>
      </c>
      <c r="N302" s="23">
        <v>480000</v>
      </c>
      <c r="O302" s="23">
        <v>480000</v>
      </c>
      <c r="P302" t="s">
        <v>27</v>
      </c>
    </row>
    <row r="303" spans="1:16" x14ac:dyDescent="0.35">
      <c r="A303" s="18">
        <v>45882</v>
      </c>
      <c r="B303" s="18" t="s">
        <v>1132</v>
      </c>
      <c r="C303" t="s">
        <v>1130</v>
      </c>
      <c r="D303" t="s">
        <v>615</v>
      </c>
      <c r="E303" t="s">
        <v>129</v>
      </c>
      <c r="F303" t="s">
        <v>619</v>
      </c>
      <c r="G303" s="46">
        <v>38</v>
      </c>
      <c r="H303" t="s">
        <v>179</v>
      </c>
      <c r="I303" t="str">
        <f>VLOOKUP(Tabla5[[#This Row],[Producto]],Referencia!$E$2:$F$238,2,0)</f>
        <v>P228</v>
      </c>
      <c r="J303" t="s">
        <v>1110</v>
      </c>
      <c r="K303" s="47">
        <v>1</v>
      </c>
      <c r="L303" t="s">
        <v>1078</v>
      </c>
      <c r="M303" s="23">
        <v>125000</v>
      </c>
      <c r="N303" s="23">
        <v>190000</v>
      </c>
      <c r="O303" s="23">
        <v>65000</v>
      </c>
      <c r="P303" t="s">
        <v>27</v>
      </c>
    </row>
    <row r="304" spans="1:16" x14ac:dyDescent="0.35">
      <c r="A304" s="18">
        <v>45882</v>
      </c>
      <c r="B304" s="18" t="s">
        <v>1132</v>
      </c>
      <c r="C304" t="s">
        <v>1130</v>
      </c>
      <c r="D304" t="s">
        <v>615</v>
      </c>
      <c r="E304" t="s">
        <v>129</v>
      </c>
      <c r="F304" t="s">
        <v>619</v>
      </c>
      <c r="G304" s="46">
        <v>38</v>
      </c>
      <c r="H304" t="s">
        <v>179</v>
      </c>
      <c r="I304" t="str">
        <f>VLOOKUP(Tabla5[[#This Row],[Producto]],Referencia!$E$2:$F$238,2,0)</f>
        <v>P196</v>
      </c>
      <c r="J304" t="s">
        <v>585</v>
      </c>
      <c r="K304" s="47">
        <v>1</v>
      </c>
      <c r="L304" t="s">
        <v>1066</v>
      </c>
      <c r="M304" s="23">
        <v>20380</v>
      </c>
      <c r="N304" s="23">
        <v>38000</v>
      </c>
      <c r="O304" s="23">
        <v>17620</v>
      </c>
      <c r="P304" t="s">
        <v>27</v>
      </c>
    </row>
    <row r="305" spans="1:16" x14ac:dyDescent="0.35">
      <c r="A305" s="18">
        <v>45882</v>
      </c>
      <c r="B305" s="18" t="s">
        <v>1132</v>
      </c>
      <c r="C305" t="s">
        <v>1130</v>
      </c>
      <c r="D305" t="s">
        <v>615</v>
      </c>
      <c r="E305" t="s">
        <v>129</v>
      </c>
      <c r="F305" t="s">
        <v>619</v>
      </c>
      <c r="G305" s="46">
        <v>38</v>
      </c>
      <c r="H305" t="s">
        <v>179</v>
      </c>
      <c r="I305" t="str">
        <f>VLOOKUP(Tabla5[[#This Row],[Producto]],Referencia!$E$2:$F$238,2,0)</f>
        <v>P197</v>
      </c>
      <c r="J305" t="s">
        <v>586</v>
      </c>
      <c r="K305" s="47">
        <v>2</v>
      </c>
      <c r="L305" t="s">
        <v>1069</v>
      </c>
      <c r="M305" s="23">
        <v>60000</v>
      </c>
      <c r="N305" s="23">
        <v>120000</v>
      </c>
      <c r="O305" s="23">
        <v>60000</v>
      </c>
      <c r="P305" t="s">
        <v>27</v>
      </c>
    </row>
    <row r="306" spans="1:16" x14ac:dyDescent="0.35">
      <c r="A306" s="18">
        <v>45882</v>
      </c>
      <c r="B306" s="18" t="s">
        <v>1132</v>
      </c>
      <c r="C306" t="s">
        <v>1130</v>
      </c>
      <c r="D306" t="s">
        <v>615</v>
      </c>
      <c r="E306" t="s">
        <v>129</v>
      </c>
      <c r="F306" t="s">
        <v>619</v>
      </c>
      <c r="G306" s="46">
        <v>38</v>
      </c>
      <c r="H306" t="s">
        <v>179</v>
      </c>
      <c r="I306" t="str">
        <f>VLOOKUP(Tabla5[[#This Row],[Producto]],Referencia!$E$2:$F$238,2,0)</f>
        <v>P198</v>
      </c>
      <c r="J306" t="s">
        <v>587</v>
      </c>
      <c r="K306" s="47">
        <v>1</v>
      </c>
      <c r="L306" t="s">
        <v>1064</v>
      </c>
      <c r="M306" s="23">
        <v>18000</v>
      </c>
      <c r="N306" s="23">
        <v>35000</v>
      </c>
      <c r="O306" s="23">
        <v>35000</v>
      </c>
      <c r="P306" t="s">
        <v>27</v>
      </c>
    </row>
    <row r="307" spans="1:16" x14ac:dyDescent="0.35">
      <c r="A307" s="18">
        <v>45882</v>
      </c>
      <c r="B307" s="18" t="s">
        <v>1132</v>
      </c>
      <c r="C307" t="s">
        <v>1130</v>
      </c>
      <c r="D307" t="s">
        <v>615</v>
      </c>
      <c r="E307" t="s">
        <v>129</v>
      </c>
      <c r="F307" t="s">
        <v>619</v>
      </c>
      <c r="G307" s="46">
        <v>38</v>
      </c>
      <c r="H307" t="s">
        <v>179</v>
      </c>
      <c r="I307" t="str">
        <f>VLOOKUP(Tabla5[[#This Row],[Producto]],Referencia!$E$2:$F$238,2,0)</f>
        <v>P74</v>
      </c>
      <c r="J307" t="s">
        <v>434</v>
      </c>
      <c r="K307" s="47">
        <v>1</v>
      </c>
      <c r="L307" t="s">
        <v>74</v>
      </c>
      <c r="M307" s="23">
        <v>35000</v>
      </c>
      <c r="N307" s="23">
        <v>55000</v>
      </c>
      <c r="O307" s="23">
        <v>20000</v>
      </c>
      <c r="P307" t="s">
        <v>27</v>
      </c>
    </row>
    <row r="308" spans="1:16" x14ac:dyDescent="0.35">
      <c r="A308" s="18">
        <v>45882</v>
      </c>
      <c r="B308" s="18" t="s">
        <v>1132</v>
      </c>
      <c r="C308" t="s">
        <v>1130</v>
      </c>
      <c r="D308" t="s">
        <v>615</v>
      </c>
      <c r="E308" t="s">
        <v>129</v>
      </c>
      <c r="F308" t="s">
        <v>619</v>
      </c>
      <c r="G308" s="46">
        <v>38</v>
      </c>
      <c r="H308" t="s">
        <v>179</v>
      </c>
      <c r="I308" t="str">
        <f>VLOOKUP(Tabla5[[#This Row],[Producto]],Referencia!$E$2:$F$238,2,0)</f>
        <v>P117</v>
      </c>
      <c r="J308" t="s">
        <v>588</v>
      </c>
      <c r="K308" s="47">
        <v>1</v>
      </c>
      <c r="L308" t="s">
        <v>1067</v>
      </c>
      <c r="M308" s="23">
        <v>40000</v>
      </c>
      <c r="N308" s="23">
        <v>80000</v>
      </c>
      <c r="O308" s="23">
        <v>40000</v>
      </c>
      <c r="P308" t="s">
        <v>27</v>
      </c>
    </row>
    <row r="309" spans="1:16" x14ac:dyDescent="0.35">
      <c r="A309" s="18">
        <v>45882</v>
      </c>
      <c r="B309" s="18" t="s">
        <v>1132</v>
      </c>
      <c r="C309" t="s">
        <v>1130</v>
      </c>
      <c r="D309" t="s">
        <v>615</v>
      </c>
      <c r="E309" t="s">
        <v>129</v>
      </c>
      <c r="F309" t="s">
        <v>619</v>
      </c>
      <c r="G309" s="46">
        <v>7</v>
      </c>
      <c r="H309" t="s">
        <v>453</v>
      </c>
      <c r="I309" t="str">
        <f>VLOOKUP(Tabla5[[#This Row],[Producto]],Referencia!$E$2:$F$238,2,0)</f>
        <v>P199</v>
      </c>
      <c r="J309" t="s">
        <v>589</v>
      </c>
      <c r="K309" s="47">
        <v>1</v>
      </c>
      <c r="L309" t="s">
        <v>1063</v>
      </c>
      <c r="M309" s="23">
        <v>50000</v>
      </c>
      <c r="N309" s="23">
        <v>90000</v>
      </c>
      <c r="O309" s="23">
        <v>40000</v>
      </c>
      <c r="P309" t="s">
        <v>27</v>
      </c>
    </row>
    <row r="310" spans="1:16" x14ac:dyDescent="0.35">
      <c r="A310" s="18">
        <v>45882</v>
      </c>
      <c r="B310" s="18" t="s">
        <v>1132</v>
      </c>
      <c r="C310" t="s">
        <v>1130</v>
      </c>
      <c r="D310" t="s">
        <v>615</v>
      </c>
      <c r="E310" t="s">
        <v>127</v>
      </c>
      <c r="F310" t="s">
        <v>619</v>
      </c>
      <c r="G310" s="46">
        <v>44</v>
      </c>
      <c r="H310" t="s">
        <v>459</v>
      </c>
      <c r="I310" t="str">
        <f>VLOOKUP(Tabla5[[#This Row],[Producto]],Referencia!$E$2:$F$238,2,0)</f>
        <v>P200</v>
      </c>
      <c r="J310" t="s">
        <v>590</v>
      </c>
      <c r="K310" s="47">
        <v>1</v>
      </c>
      <c r="L310" t="s">
        <v>1063</v>
      </c>
      <c r="M310" s="23">
        <v>49080</v>
      </c>
      <c r="N310" s="23">
        <v>90000</v>
      </c>
      <c r="O310" s="23">
        <v>40920</v>
      </c>
      <c r="P310" t="s">
        <v>27</v>
      </c>
    </row>
    <row r="311" spans="1:16" x14ac:dyDescent="0.35">
      <c r="A311" s="18">
        <v>45882</v>
      </c>
      <c r="B311" s="18" t="s">
        <v>1132</v>
      </c>
      <c r="C311" t="s">
        <v>1130</v>
      </c>
      <c r="D311" t="s">
        <v>615</v>
      </c>
      <c r="E311" t="s">
        <v>129</v>
      </c>
      <c r="F311" t="s">
        <v>617</v>
      </c>
      <c r="G311" s="46" t="s">
        <v>618</v>
      </c>
      <c r="H311" t="s">
        <v>477</v>
      </c>
      <c r="I311" t="str">
        <f>VLOOKUP(Tabla5[[#This Row],[Producto]],Referencia!$E$2:$F$238,2,0)</f>
        <v>P201</v>
      </c>
      <c r="J311" t="s">
        <v>591</v>
      </c>
      <c r="K311" s="47">
        <v>1</v>
      </c>
      <c r="L311" t="s">
        <v>1067</v>
      </c>
      <c r="M311" s="23">
        <v>105000</v>
      </c>
      <c r="N311" s="23">
        <v>240000</v>
      </c>
      <c r="O311" s="23">
        <v>135000</v>
      </c>
      <c r="P311" t="s">
        <v>27</v>
      </c>
    </row>
    <row r="312" spans="1:16" x14ac:dyDescent="0.35">
      <c r="A312" s="18">
        <v>45882</v>
      </c>
      <c r="B312" s="18" t="s">
        <v>1132</v>
      </c>
      <c r="C312" t="s">
        <v>1130</v>
      </c>
      <c r="D312" t="s">
        <v>9</v>
      </c>
      <c r="E312" t="s">
        <v>122</v>
      </c>
      <c r="F312" t="s">
        <v>619</v>
      </c>
      <c r="G312" s="46">
        <v>16</v>
      </c>
      <c r="H312" t="s">
        <v>79</v>
      </c>
      <c r="I312" t="str">
        <f>VLOOKUP(Tabla5[[#This Row],[Producto]],Referencia!$E$2:$F$238,2,0)</f>
        <v>P202</v>
      </c>
      <c r="J312" t="s">
        <v>592</v>
      </c>
      <c r="K312" s="47">
        <v>1</v>
      </c>
      <c r="L312" t="s">
        <v>1067</v>
      </c>
      <c r="M312" s="23">
        <v>240000</v>
      </c>
      <c r="N312" s="23">
        <v>390000</v>
      </c>
      <c r="O312" s="23">
        <v>150000</v>
      </c>
      <c r="P312" t="s">
        <v>27</v>
      </c>
    </row>
    <row r="313" spans="1:16" x14ac:dyDescent="0.35">
      <c r="A313" s="18">
        <v>45883</v>
      </c>
      <c r="B313" s="18" t="s">
        <v>1132</v>
      </c>
      <c r="C313" t="s">
        <v>1130</v>
      </c>
      <c r="D313" t="s">
        <v>8</v>
      </c>
      <c r="E313" t="s">
        <v>174</v>
      </c>
      <c r="F313" t="s">
        <v>619</v>
      </c>
      <c r="G313" s="46">
        <v>35</v>
      </c>
      <c r="H313" t="s">
        <v>173</v>
      </c>
      <c r="I313" t="str">
        <f>VLOOKUP(Tabla5[[#This Row],[Producto]],Referencia!$E$2:$F$238,2,0)</f>
        <v>P203</v>
      </c>
      <c r="J313" t="s">
        <v>593</v>
      </c>
      <c r="K313" s="47">
        <v>1</v>
      </c>
      <c r="L313" t="s">
        <v>1063</v>
      </c>
      <c r="M313" s="23">
        <v>276260</v>
      </c>
      <c r="N313" s="23">
        <v>460000</v>
      </c>
      <c r="O313" s="23">
        <v>183740</v>
      </c>
      <c r="P313" t="s">
        <v>27</v>
      </c>
    </row>
    <row r="314" spans="1:16" x14ac:dyDescent="0.35">
      <c r="A314" s="18">
        <v>45883</v>
      </c>
      <c r="B314" s="18" t="s">
        <v>1132</v>
      </c>
      <c r="C314" t="s">
        <v>1130</v>
      </c>
      <c r="D314" t="s">
        <v>8</v>
      </c>
      <c r="E314" t="s">
        <v>174</v>
      </c>
      <c r="F314" t="s">
        <v>619</v>
      </c>
      <c r="G314" s="46">
        <v>35</v>
      </c>
      <c r="H314" t="s">
        <v>173</v>
      </c>
      <c r="I314" t="str">
        <f>VLOOKUP(Tabla5[[#This Row],[Producto]],Referencia!$E$2:$F$238,2,0)</f>
        <v>P204</v>
      </c>
      <c r="J314" t="s">
        <v>594</v>
      </c>
      <c r="K314" s="47">
        <v>1</v>
      </c>
      <c r="L314" t="s">
        <v>1067</v>
      </c>
      <c r="M314" s="23">
        <v>30000</v>
      </c>
      <c r="N314" s="23">
        <v>70000</v>
      </c>
      <c r="O314" s="23">
        <v>40000</v>
      </c>
      <c r="P314" t="s">
        <v>27</v>
      </c>
    </row>
    <row r="315" spans="1:16" x14ac:dyDescent="0.35">
      <c r="A315" s="18">
        <v>45883</v>
      </c>
      <c r="B315" s="18" t="s">
        <v>1132</v>
      </c>
      <c r="C315" t="s">
        <v>1130</v>
      </c>
      <c r="D315" t="s">
        <v>8</v>
      </c>
      <c r="E315" t="s">
        <v>109</v>
      </c>
      <c r="F315" t="s">
        <v>619</v>
      </c>
      <c r="G315" s="46">
        <v>2</v>
      </c>
      <c r="H315" t="s">
        <v>112</v>
      </c>
      <c r="I315" t="str">
        <f>VLOOKUP(Tabla5[[#This Row],[Producto]],Referencia!$E$2:$F$238,2,0)</f>
        <v>P43</v>
      </c>
      <c r="J315" t="s">
        <v>80</v>
      </c>
      <c r="K315" s="47">
        <v>1</v>
      </c>
      <c r="L315" t="s">
        <v>1078</v>
      </c>
      <c r="M315" s="23">
        <v>100000</v>
      </c>
      <c r="N315" s="23">
        <v>220000</v>
      </c>
      <c r="O315" s="23">
        <v>120000</v>
      </c>
      <c r="P315" t="s">
        <v>27</v>
      </c>
    </row>
    <row r="316" spans="1:16" x14ac:dyDescent="0.35">
      <c r="A316" s="18">
        <v>45883</v>
      </c>
      <c r="B316" s="18" t="s">
        <v>1132</v>
      </c>
      <c r="C316" t="s">
        <v>1130</v>
      </c>
      <c r="D316" t="s">
        <v>8</v>
      </c>
      <c r="E316" t="s">
        <v>109</v>
      </c>
      <c r="F316" t="s">
        <v>619</v>
      </c>
      <c r="G316" s="46">
        <v>2</v>
      </c>
      <c r="H316" t="s">
        <v>112</v>
      </c>
      <c r="I316" t="str">
        <f>VLOOKUP(Tabla5[[#This Row],[Producto]],Referencia!$E$2:$F$238,2,0)</f>
        <v>P44</v>
      </c>
      <c r="J316" t="s">
        <v>81</v>
      </c>
      <c r="K316" s="47">
        <v>1</v>
      </c>
      <c r="L316" t="s">
        <v>1078</v>
      </c>
      <c r="M316" s="23">
        <v>135000</v>
      </c>
      <c r="N316" s="23">
        <v>200000</v>
      </c>
      <c r="O316" s="23">
        <v>65000</v>
      </c>
      <c r="P316" t="s">
        <v>27</v>
      </c>
    </row>
    <row r="317" spans="1:16" x14ac:dyDescent="0.35">
      <c r="A317" s="18">
        <v>45883</v>
      </c>
      <c r="B317" s="18" t="s">
        <v>1132</v>
      </c>
      <c r="C317" t="s">
        <v>1130</v>
      </c>
      <c r="D317" t="s">
        <v>8</v>
      </c>
      <c r="E317" t="s">
        <v>109</v>
      </c>
      <c r="F317" t="s">
        <v>619</v>
      </c>
      <c r="G317" s="46">
        <v>2</v>
      </c>
      <c r="H317" t="s">
        <v>112</v>
      </c>
      <c r="I317" t="str">
        <f>VLOOKUP(Tabla5[[#This Row],[Producto]],Referencia!$E$2:$F$238,2,0)</f>
        <v>P205</v>
      </c>
      <c r="J317" t="s">
        <v>595</v>
      </c>
      <c r="K317" s="47">
        <v>1</v>
      </c>
      <c r="L317" t="s">
        <v>1063</v>
      </c>
      <c r="M317" s="23">
        <v>31000</v>
      </c>
      <c r="N317" s="23">
        <v>50000</v>
      </c>
      <c r="O317" s="23">
        <v>19000</v>
      </c>
      <c r="P317" t="s">
        <v>27</v>
      </c>
    </row>
    <row r="318" spans="1:16" x14ac:dyDescent="0.35">
      <c r="A318" s="18">
        <v>45883</v>
      </c>
      <c r="B318" s="18" t="s">
        <v>1132</v>
      </c>
      <c r="C318" t="s">
        <v>1130</v>
      </c>
      <c r="D318" t="s">
        <v>8</v>
      </c>
      <c r="E318" t="s">
        <v>109</v>
      </c>
      <c r="F318" t="s">
        <v>619</v>
      </c>
      <c r="G318" s="46">
        <v>2</v>
      </c>
      <c r="H318" t="s">
        <v>112</v>
      </c>
      <c r="I318" t="str">
        <f>VLOOKUP(Tabla5[[#This Row],[Producto]],Referencia!$E$2:$F$238,2,0)</f>
        <v>P206</v>
      </c>
      <c r="J318" t="s">
        <v>596</v>
      </c>
      <c r="K318" s="47">
        <v>1</v>
      </c>
      <c r="L318" t="s">
        <v>1067</v>
      </c>
      <c r="M318" s="23">
        <v>45000</v>
      </c>
      <c r="N318" s="23">
        <v>90000</v>
      </c>
      <c r="O318" s="23">
        <v>45000</v>
      </c>
      <c r="P318" t="s">
        <v>27</v>
      </c>
    </row>
    <row r="319" spans="1:16" x14ac:dyDescent="0.35">
      <c r="A319" s="18">
        <v>45883</v>
      </c>
      <c r="B319" s="18" t="s">
        <v>1132</v>
      </c>
      <c r="C319" t="s">
        <v>1130</v>
      </c>
      <c r="D319" t="s">
        <v>8</v>
      </c>
      <c r="E319" t="s">
        <v>109</v>
      </c>
      <c r="F319" t="s">
        <v>619</v>
      </c>
      <c r="G319" s="46">
        <v>2</v>
      </c>
      <c r="H319" t="s">
        <v>112</v>
      </c>
      <c r="I319" t="str">
        <f>VLOOKUP(Tabla5[[#This Row],[Producto]],Referencia!$E$2:$F$238,2,0)</f>
        <v>P35</v>
      </c>
      <c r="J319" t="s">
        <v>70</v>
      </c>
      <c r="K319" s="47">
        <v>1</v>
      </c>
      <c r="L319" t="s">
        <v>1063</v>
      </c>
      <c r="M319" s="23">
        <v>4165</v>
      </c>
      <c r="N319" s="23">
        <v>7500</v>
      </c>
      <c r="O319" s="23">
        <v>3335</v>
      </c>
      <c r="P319" t="s">
        <v>27</v>
      </c>
    </row>
    <row r="320" spans="1:16" x14ac:dyDescent="0.35">
      <c r="A320" s="18">
        <v>45883</v>
      </c>
      <c r="B320" s="18" t="s">
        <v>1132</v>
      </c>
      <c r="C320" t="s">
        <v>1130</v>
      </c>
      <c r="D320" t="s">
        <v>8</v>
      </c>
      <c r="E320" t="s">
        <v>109</v>
      </c>
      <c r="F320" t="s">
        <v>619</v>
      </c>
      <c r="G320" s="46">
        <v>2</v>
      </c>
      <c r="H320" t="s">
        <v>112</v>
      </c>
      <c r="I320" t="str">
        <f>VLOOKUP(Tabla5[[#This Row],[Producto]],Referencia!$E$2:$F$238,2,0)</f>
        <v>P207</v>
      </c>
      <c r="J320" t="s">
        <v>597</v>
      </c>
      <c r="K320" s="47">
        <v>1</v>
      </c>
      <c r="L320" t="s">
        <v>1063</v>
      </c>
      <c r="M320" s="23">
        <v>4500</v>
      </c>
      <c r="N320" s="23">
        <v>7500</v>
      </c>
      <c r="O320" s="23">
        <v>3000</v>
      </c>
      <c r="P320" t="s">
        <v>27</v>
      </c>
    </row>
    <row r="321" spans="1:16" x14ac:dyDescent="0.35">
      <c r="A321" s="18">
        <v>45883</v>
      </c>
      <c r="B321" s="18" t="s">
        <v>1132</v>
      </c>
      <c r="C321" t="s">
        <v>1130</v>
      </c>
      <c r="D321" t="s">
        <v>8</v>
      </c>
      <c r="E321" t="s">
        <v>416</v>
      </c>
      <c r="F321" t="s">
        <v>619</v>
      </c>
      <c r="G321" s="46">
        <v>179</v>
      </c>
      <c r="H321" t="s">
        <v>518</v>
      </c>
      <c r="I321" t="str">
        <f>VLOOKUP(Tabla5[[#This Row],[Producto]],Referencia!$E$2:$F$238,2,0)</f>
        <v>P208</v>
      </c>
      <c r="J321" t="s">
        <v>598</v>
      </c>
      <c r="K321" s="47">
        <v>1</v>
      </c>
      <c r="L321" t="s">
        <v>1078</v>
      </c>
      <c r="M321" s="23">
        <v>10000</v>
      </c>
      <c r="N321" s="23">
        <v>20000</v>
      </c>
      <c r="O321" s="23">
        <v>10000</v>
      </c>
      <c r="P321" t="s">
        <v>27</v>
      </c>
    </row>
    <row r="322" spans="1:16" x14ac:dyDescent="0.35">
      <c r="A322" s="18">
        <v>45883</v>
      </c>
      <c r="B322" s="18" t="s">
        <v>1132</v>
      </c>
      <c r="C322" t="s">
        <v>1130</v>
      </c>
      <c r="D322" t="s">
        <v>8</v>
      </c>
      <c r="E322" t="s">
        <v>416</v>
      </c>
      <c r="F322" t="s">
        <v>619</v>
      </c>
      <c r="G322" s="46">
        <v>29</v>
      </c>
      <c r="H322" t="s">
        <v>441</v>
      </c>
      <c r="I322" t="str">
        <f>VLOOKUP(Tabla5[[#This Row],[Producto]],Referencia!$E$2:$F$238,2,0)</f>
        <v>P7</v>
      </c>
      <c r="J322" t="s">
        <v>631</v>
      </c>
      <c r="K322" s="47">
        <v>1</v>
      </c>
      <c r="L322" t="s">
        <v>1065</v>
      </c>
      <c r="M322" s="23">
        <v>10500</v>
      </c>
      <c r="N322" s="23">
        <v>18000</v>
      </c>
      <c r="O322" s="23">
        <v>7500</v>
      </c>
      <c r="P322" t="s">
        <v>27</v>
      </c>
    </row>
    <row r="323" spans="1:16" x14ac:dyDescent="0.35">
      <c r="A323" s="18">
        <v>45883</v>
      </c>
      <c r="B323" s="18" t="s">
        <v>1132</v>
      </c>
      <c r="C323" t="s">
        <v>1130</v>
      </c>
      <c r="D323" t="s">
        <v>8</v>
      </c>
      <c r="E323" t="s">
        <v>416</v>
      </c>
      <c r="F323" t="s">
        <v>619</v>
      </c>
      <c r="G323" s="46">
        <v>29</v>
      </c>
      <c r="H323" t="s">
        <v>441</v>
      </c>
      <c r="I323" t="str">
        <f>VLOOKUP(Tabla5[[#This Row],[Producto]],Referencia!$E$2:$F$238,2,0)</f>
        <v>P89</v>
      </c>
      <c r="J323" t="s">
        <v>455</v>
      </c>
      <c r="K323" s="47">
        <v>1</v>
      </c>
      <c r="L323" t="s">
        <v>1070</v>
      </c>
      <c r="M323" s="23">
        <v>5800</v>
      </c>
      <c r="N323" s="23">
        <v>12000</v>
      </c>
      <c r="O323" s="23">
        <v>6200</v>
      </c>
      <c r="P323" t="s">
        <v>27</v>
      </c>
    </row>
    <row r="324" spans="1:16" x14ac:dyDescent="0.35">
      <c r="A324" s="18">
        <v>45883</v>
      </c>
      <c r="B324" s="18" t="s">
        <v>1132</v>
      </c>
      <c r="C324" t="s">
        <v>1130</v>
      </c>
      <c r="D324" t="s">
        <v>8</v>
      </c>
      <c r="E324" t="s">
        <v>416</v>
      </c>
      <c r="F324" t="s">
        <v>619</v>
      </c>
      <c r="G324" s="46">
        <v>29</v>
      </c>
      <c r="H324" t="s">
        <v>441</v>
      </c>
      <c r="I324" t="str">
        <f>VLOOKUP(Tabla5[[#This Row],[Producto]],Referencia!$E$2:$F$238,2,0)</f>
        <v>P136</v>
      </c>
      <c r="J324" t="s">
        <v>519</v>
      </c>
      <c r="K324" s="47">
        <v>1</v>
      </c>
      <c r="L324" t="s">
        <v>1078</v>
      </c>
      <c r="M324" s="23">
        <v>12000</v>
      </c>
      <c r="N324" s="23">
        <v>20000</v>
      </c>
      <c r="O324" s="23">
        <v>8000</v>
      </c>
      <c r="P324" t="s">
        <v>27</v>
      </c>
    </row>
    <row r="325" spans="1:16" x14ac:dyDescent="0.35">
      <c r="A325" s="18">
        <v>45883</v>
      </c>
      <c r="B325" s="18" t="s">
        <v>1132</v>
      </c>
      <c r="C325" t="s">
        <v>1130</v>
      </c>
      <c r="D325" t="s">
        <v>8</v>
      </c>
      <c r="E325" t="s">
        <v>416</v>
      </c>
      <c r="F325" t="s">
        <v>619</v>
      </c>
      <c r="G325" s="46">
        <v>49</v>
      </c>
      <c r="H325" t="s">
        <v>77</v>
      </c>
      <c r="I325" t="str">
        <f>VLOOKUP(Tabla5[[#This Row],[Producto]],Referencia!$E$2:$F$238,2,0)</f>
        <v>P197</v>
      </c>
      <c r="J325" t="s">
        <v>586</v>
      </c>
      <c r="K325" s="47">
        <v>1</v>
      </c>
      <c r="L325" t="s">
        <v>1069</v>
      </c>
      <c r="M325" s="23">
        <v>30000</v>
      </c>
      <c r="N325" s="23">
        <v>60000</v>
      </c>
      <c r="O325" s="23">
        <v>30000</v>
      </c>
      <c r="P325" t="s">
        <v>27</v>
      </c>
    </row>
    <row r="326" spans="1:16" x14ac:dyDescent="0.35">
      <c r="A326" s="18">
        <v>45883</v>
      </c>
      <c r="B326" s="18" t="s">
        <v>1132</v>
      </c>
      <c r="C326" t="s">
        <v>1130</v>
      </c>
      <c r="D326" t="s">
        <v>8</v>
      </c>
      <c r="E326" t="s">
        <v>416</v>
      </c>
      <c r="F326" t="s">
        <v>619</v>
      </c>
      <c r="G326" s="46">
        <v>49</v>
      </c>
      <c r="H326" t="s">
        <v>77</v>
      </c>
      <c r="I326" t="str">
        <f>VLOOKUP(Tabla5[[#This Row],[Producto]],Referencia!$E$2:$F$238,2,0)</f>
        <v>P92</v>
      </c>
      <c r="J326" t="s">
        <v>460</v>
      </c>
      <c r="K326" s="47">
        <v>1</v>
      </c>
      <c r="L326" t="s">
        <v>1067</v>
      </c>
      <c r="M326" s="23">
        <v>100000</v>
      </c>
      <c r="N326" s="23">
        <v>190000</v>
      </c>
      <c r="O326" s="23">
        <v>90000</v>
      </c>
      <c r="P326" t="s">
        <v>27</v>
      </c>
    </row>
    <row r="327" spans="1:16" x14ac:dyDescent="0.35">
      <c r="A327" s="18">
        <v>45883</v>
      </c>
      <c r="B327" s="18" t="s">
        <v>1132</v>
      </c>
      <c r="C327" t="s">
        <v>1130</v>
      </c>
      <c r="D327" t="s">
        <v>8</v>
      </c>
      <c r="E327" t="s">
        <v>109</v>
      </c>
      <c r="F327" t="s">
        <v>619</v>
      </c>
      <c r="G327" s="46">
        <v>1</v>
      </c>
      <c r="H327" t="s">
        <v>108</v>
      </c>
      <c r="I327" t="str">
        <f>VLOOKUP(Tabla5[[#This Row],[Producto]],Referencia!$E$2:$F$238,2,0)</f>
        <v>P209</v>
      </c>
      <c r="J327" t="s">
        <v>599</v>
      </c>
      <c r="K327" s="47">
        <v>1</v>
      </c>
      <c r="L327" t="s">
        <v>1064</v>
      </c>
      <c r="M327" s="23">
        <v>38000</v>
      </c>
      <c r="N327" s="23">
        <v>60000</v>
      </c>
      <c r="O327" s="23">
        <v>22000</v>
      </c>
      <c r="P327" t="s">
        <v>27</v>
      </c>
    </row>
    <row r="328" spans="1:16" x14ac:dyDescent="0.35">
      <c r="A328" s="18">
        <v>45883</v>
      </c>
      <c r="B328" s="18" t="s">
        <v>1132</v>
      </c>
      <c r="C328" t="s">
        <v>1130</v>
      </c>
      <c r="D328" t="s">
        <v>8</v>
      </c>
      <c r="E328" t="s">
        <v>109</v>
      </c>
      <c r="F328" t="s">
        <v>619</v>
      </c>
      <c r="G328" s="46">
        <v>1</v>
      </c>
      <c r="H328" t="s">
        <v>108</v>
      </c>
      <c r="I328" t="str">
        <f>VLOOKUP(Tabla5[[#This Row],[Producto]],Referencia!$E$2:$F$238,2,0)</f>
        <v>P87</v>
      </c>
      <c r="J328" t="s">
        <v>454</v>
      </c>
      <c r="K328" s="47">
        <v>1</v>
      </c>
      <c r="L328" t="s">
        <v>1067</v>
      </c>
      <c r="M328" s="23">
        <v>55000</v>
      </c>
      <c r="N328" s="23">
        <v>125000</v>
      </c>
      <c r="O328" s="23">
        <v>70000</v>
      </c>
      <c r="P328" t="s">
        <v>27</v>
      </c>
    </row>
    <row r="329" spans="1:16" x14ac:dyDescent="0.35">
      <c r="A329" s="18">
        <v>45884</v>
      </c>
      <c r="B329" s="18" t="s">
        <v>1132</v>
      </c>
      <c r="C329" t="s">
        <v>1130</v>
      </c>
      <c r="D329" t="s">
        <v>9</v>
      </c>
      <c r="E329" t="s">
        <v>122</v>
      </c>
      <c r="F329" t="s">
        <v>619</v>
      </c>
      <c r="G329" s="46">
        <v>8</v>
      </c>
      <c r="H329" t="s">
        <v>511</v>
      </c>
      <c r="I329" t="str">
        <f>VLOOKUP(Tabla5[[#This Row],[Producto]],Referencia!$E$2:$F$238,2,0)</f>
        <v>P210</v>
      </c>
      <c r="J329" t="s">
        <v>600</v>
      </c>
      <c r="K329" s="47">
        <v>1</v>
      </c>
      <c r="L329" t="s">
        <v>1075</v>
      </c>
      <c r="M329" s="23">
        <v>146500</v>
      </c>
      <c r="N329" s="23">
        <v>280000</v>
      </c>
      <c r="O329" s="23">
        <v>133500</v>
      </c>
      <c r="P329" t="s">
        <v>27</v>
      </c>
    </row>
    <row r="330" spans="1:16" x14ac:dyDescent="0.35">
      <c r="A330" s="18">
        <v>45884</v>
      </c>
      <c r="B330" s="18" t="s">
        <v>1132</v>
      </c>
      <c r="C330" t="s">
        <v>1130</v>
      </c>
      <c r="D330" t="s">
        <v>9</v>
      </c>
      <c r="E330" t="s">
        <v>122</v>
      </c>
      <c r="F330" t="s">
        <v>619</v>
      </c>
      <c r="G330" s="46">
        <v>8</v>
      </c>
      <c r="H330" t="s">
        <v>511</v>
      </c>
      <c r="I330" t="str">
        <f>VLOOKUP(Tabla5[[#This Row],[Producto]],Referencia!$E$2:$F$238,2,0)</f>
        <v>P211</v>
      </c>
      <c r="J330" t="s">
        <v>601</v>
      </c>
      <c r="K330" s="47">
        <v>1</v>
      </c>
      <c r="L330" t="s">
        <v>1063</v>
      </c>
      <c r="M330" s="23">
        <v>38700</v>
      </c>
      <c r="N330" s="23">
        <v>70000</v>
      </c>
      <c r="O330" s="23">
        <v>70000</v>
      </c>
      <c r="P330" t="s">
        <v>27</v>
      </c>
    </row>
    <row r="331" spans="1:16" x14ac:dyDescent="0.35">
      <c r="A331" s="18">
        <v>45884</v>
      </c>
      <c r="B331" s="18" t="s">
        <v>1132</v>
      </c>
      <c r="C331" t="s">
        <v>1130</v>
      </c>
      <c r="D331" t="s">
        <v>9</v>
      </c>
      <c r="E331" t="s">
        <v>122</v>
      </c>
      <c r="F331" t="s">
        <v>619</v>
      </c>
      <c r="G331" s="46">
        <v>8</v>
      </c>
      <c r="H331" t="s">
        <v>511</v>
      </c>
      <c r="I331" t="str">
        <f>VLOOKUP(Tabla5[[#This Row],[Producto]],Referencia!$E$2:$F$238,2,0)</f>
        <v>P212</v>
      </c>
      <c r="J331" t="s">
        <v>602</v>
      </c>
      <c r="K331" s="47">
        <v>1</v>
      </c>
      <c r="L331" t="s">
        <v>1063</v>
      </c>
      <c r="M331" s="23">
        <v>9000</v>
      </c>
      <c r="N331" s="23">
        <v>20000</v>
      </c>
      <c r="O331" s="23">
        <v>11000</v>
      </c>
      <c r="P331" t="s">
        <v>27</v>
      </c>
    </row>
    <row r="332" spans="1:16" x14ac:dyDescent="0.35">
      <c r="A332" s="18">
        <v>45884</v>
      </c>
      <c r="B332" s="18" t="s">
        <v>1132</v>
      </c>
      <c r="C332" t="s">
        <v>1130</v>
      </c>
      <c r="D332" t="s">
        <v>9</v>
      </c>
      <c r="E332" t="s">
        <v>140</v>
      </c>
      <c r="F332" t="s">
        <v>619</v>
      </c>
      <c r="G332" s="46">
        <v>11</v>
      </c>
      <c r="H332" t="s">
        <v>529</v>
      </c>
      <c r="I332" t="str">
        <f>VLOOKUP(Tabla5[[#This Row],[Producto]],Referencia!$E$2:$F$238,2,0)</f>
        <v>P96</v>
      </c>
      <c r="J332" t="s">
        <v>538</v>
      </c>
      <c r="K332" s="47">
        <v>1</v>
      </c>
      <c r="L332" t="s">
        <v>1075</v>
      </c>
      <c r="M332" s="23">
        <v>20000</v>
      </c>
      <c r="N332" s="23">
        <v>35000</v>
      </c>
      <c r="O332" s="23">
        <v>15000</v>
      </c>
      <c r="P332" t="s">
        <v>27</v>
      </c>
    </row>
    <row r="333" spans="1:16" x14ac:dyDescent="0.35">
      <c r="A333" s="18">
        <v>45884</v>
      </c>
      <c r="B333" s="18" t="s">
        <v>1132</v>
      </c>
      <c r="C333" t="s">
        <v>1130</v>
      </c>
      <c r="D333" t="s">
        <v>9</v>
      </c>
      <c r="E333" t="s">
        <v>140</v>
      </c>
      <c r="F333" t="s">
        <v>619</v>
      </c>
      <c r="G333" s="46">
        <v>11</v>
      </c>
      <c r="H333" t="s">
        <v>529</v>
      </c>
      <c r="I333" t="str">
        <f>VLOOKUP(Tabla5[[#This Row],[Producto]],Referencia!$E$2:$F$238,2,0)</f>
        <v>P116</v>
      </c>
      <c r="J333" t="s">
        <v>494</v>
      </c>
      <c r="K333" s="47">
        <v>1</v>
      </c>
      <c r="L333" t="s">
        <v>1063</v>
      </c>
      <c r="M333" s="23">
        <v>15605</v>
      </c>
      <c r="N333" s="23">
        <v>25000</v>
      </c>
      <c r="O333" s="23">
        <v>9395</v>
      </c>
      <c r="P333" t="s">
        <v>27</v>
      </c>
    </row>
    <row r="334" spans="1:16" x14ac:dyDescent="0.35">
      <c r="A334" s="18">
        <v>45884</v>
      </c>
      <c r="B334" s="18" t="s">
        <v>1132</v>
      </c>
      <c r="C334" t="s">
        <v>1130</v>
      </c>
      <c r="D334" t="s">
        <v>9</v>
      </c>
      <c r="E334" t="s">
        <v>140</v>
      </c>
      <c r="F334" t="s">
        <v>619</v>
      </c>
      <c r="G334" s="46">
        <v>11</v>
      </c>
      <c r="H334" t="s">
        <v>529</v>
      </c>
      <c r="I334" t="str">
        <f>VLOOKUP(Tabla5[[#This Row],[Producto]],Referencia!$E$2:$F$238,2,0)</f>
        <v>P213</v>
      </c>
      <c r="J334" t="s">
        <v>603</v>
      </c>
      <c r="K334" s="47">
        <v>1</v>
      </c>
      <c r="L334" t="s">
        <v>1063</v>
      </c>
      <c r="M334" s="23">
        <v>15100</v>
      </c>
      <c r="N334" s="23">
        <v>25000</v>
      </c>
      <c r="O334" s="23">
        <v>9900</v>
      </c>
      <c r="P334" t="s">
        <v>27</v>
      </c>
    </row>
    <row r="335" spans="1:16" x14ac:dyDescent="0.35">
      <c r="A335" s="18">
        <v>45884</v>
      </c>
      <c r="B335" s="18" t="s">
        <v>1132</v>
      </c>
      <c r="C335" t="s">
        <v>1130</v>
      </c>
      <c r="D335" t="s">
        <v>9</v>
      </c>
      <c r="E335" t="s">
        <v>140</v>
      </c>
      <c r="F335" t="s">
        <v>619</v>
      </c>
      <c r="G335" s="46">
        <v>11</v>
      </c>
      <c r="H335" t="s">
        <v>529</v>
      </c>
      <c r="I335" t="str">
        <f>VLOOKUP(Tabla5[[#This Row],[Producto]],Referencia!$E$2:$F$238,2,0)</f>
        <v>P53</v>
      </c>
      <c r="J335" t="s">
        <v>629</v>
      </c>
      <c r="K335" s="47">
        <v>1</v>
      </c>
      <c r="L335" t="s">
        <v>1067</v>
      </c>
      <c r="M335" s="23">
        <v>60000</v>
      </c>
      <c r="N335" s="23">
        <v>110000</v>
      </c>
      <c r="O335" s="23">
        <v>50000</v>
      </c>
      <c r="P335" t="s">
        <v>27</v>
      </c>
    </row>
    <row r="336" spans="1:16" x14ac:dyDescent="0.35">
      <c r="A336" s="18">
        <v>45884</v>
      </c>
      <c r="B336" s="18" t="s">
        <v>1132</v>
      </c>
      <c r="C336" t="s">
        <v>1130</v>
      </c>
      <c r="D336" t="s">
        <v>9</v>
      </c>
      <c r="E336" t="s">
        <v>140</v>
      </c>
      <c r="F336" t="s">
        <v>619</v>
      </c>
      <c r="G336" s="46">
        <v>14</v>
      </c>
      <c r="H336" t="s">
        <v>147</v>
      </c>
      <c r="I336" t="str">
        <f>VLOOKUP(Tabla5[[#This Row],[Producto]],Referencia!$E$2:$F$238,2,0)</f>
        <v>P214</v>
      </c>
      <c r="J336" t="s">
        <v>604</v>
      </c>
      <c r="K336" s="47">
        <v>1</v>
      </c>
      <c r="L336" t="s">
        <v>1068</v>
      </c>
      <c r="M336" s="23">
        <v>6500</v>
      </c>
      <c r="N336" s="23">
        <v>12000</v>
      </c>
      <c r="O336" s="23">
        <v>5500</v>
      </c>
      <c r="P336" t="s">
        <v>27</v>
      </c>
    </row>
    <row r="337" spans="1:16" x14ac:dyDescent="0.35">
      <c r="A337" s="18">
        <v>45884</v>
      </c>
      <c r="B337" s="18" t="s">
        <v>1132</v>
      </c>
      <c r="C337" t="s">
        <v>1130</v>
      </c>
      <c r="D337" t="s">
        <v>9</v>
      </c>
      <c r="E337" t="s">
        <v>140</v>
      </c>
      <c r="F337" t="s">
        <v>619</v>
      </c>
      <c r="G337" s="46">
        <v>14</v>
      </c>
      <c r="H337" t="s">
        <v>147</v>
      </c>
      <c r="I337" t="str">
        <f>VLOOKUP(Tabla5[[#This Row],[Producto]],Referencia!$E$2:$F$238,2,0)</f>
        <v>P204</v>
      </c>
      <c r="J337" t="s">
        <v>594</v>
      </c>
      <c r="K337" s="47">
        <v>1</v>
      </c>
      <c r="L337" t="s">
        <v>1078</v>
      </c>
      <c r="M337" s="23">
        <v>40000</v>
      </c>
      <c r="N337" s="23">
        <v>75000</v>
      </c>
      <c r="O337" s="23">
        <v>35000</v>
      </c>
      <c r="P337" t="s">
        <v>27</v>
      </c>
    </row>
    <row r="338" spans="1:16" x14ac:dyDescent="0.35">
      <c r="A338" s="18">
        <v>45884</v>
      </c>
      <c r="B338" s="18" t="s">
        <v>1132</v>
      </c>
      <c r="C338" t="s">
        <v>1130</v>
      </c>
      <c r="D338" t="s">
        <v>9</v>
      </c>
      <c r="E338" t="s">
        <v>140</v>
      </c>
      <c r="F338" t="s">
        <v>619</v>
      </c>
      <c r="G338" s="46">
        <v>14</v>
      </c>
      <c r="H338" t="s">
        <v>147</v>
      </c>
      <c r="I338" t="str">
        <f>VLOOKUP(Tabla5[[#This Row],[Producto]],Referencia!$E$2:$F$238,2,0)</f>
        <v>P215</v>
      </c>
      <c r="J338" t="s">
        <v>605</v>
      </c>
      <c r="K338" s="47">
        <v>1</v>
      </c>
      <c r="L338" t="s">
        <v>1068</v>
      </c>
      <c r="M338" s="23">
        <v>7500</v>
      </c>
      <c r="N338" s="23">
        <v>12000</v>
      </c>
      <c r="O338" s="23">
        <v>4500</v>
      </c>
      <c r="P338" t="s">
        <v>27</v>
      </c>
    </row>
    <row r="339" spans="1:16" x14ac:dyDescent="0.35">
      <c r="A339" s="18">
        <v>45884</v>
      </c>
      <c r="B339" s="18" t="s">
        <v>1132</v>
      </c>
      <c r="C339" t="s">
        <v>1130</v>
      </c>
      <c r="D339" t="s">
        <v>9</v>
      </c>
      <c r="E339" t="s">
        <v>122</v>
      </c>
      <c r="F339" t="s">
        <v>619</v>
      </c>
      <c r="G339" s="46">
        <v>15</v>
      </c>
      <c r="H339" t="s">
        <v>96</v>
      </c>
      <c r="I339" t="str">
        <f>VLOOKUP(Tabla5[[#This Row],[Producto]],Referencia!$E$2:$F$238,2,0)</f>
        <v>P208</v>
      </c>
      <c r="J339" t="s">
        <v>598</v>
      </c>
      <c r="K339" s="47">
        <v>1</v>
      </c>
      <c r="L339" t="s">
        <v>1078</v>
      </c>
      <c r="M339" s="23">
        <v>7000</v>
      </c>
      <c r="N339" s="23">
        <v>15000</v>
      </c>
      <c r="O339" s="23">
        <v>8000</v>
      </c>
      <c r="P339" t="s">
        <v>27</v>
      </c>
    </row>
    <row r="340" spans="1:16" x14ac:dyDescent="0.35">
      <c r="A340" s="18">
        <v>45884</v>
      </c>
      <c r="B340" s="18" t="s">
        <v>1132</v>
      </c>
      <c r="C340" t="s">
        <v>1130</v>
      </c>
      <c r="D340" t="s">
        <v>9</v>
      </c>
      <c r="E340" t="s">
        <v>122</v>
      </c>
      <c r="F340" t="s">
        <v>619</v>
      </c>
      <c r="G340" s="46">
        <v>15</v>
      </c>
      <c r="H340" t="s">
        <v>96</v>
      </c>
      <c r="I340" t="str">
        <f>VLOOKUP(Tabla5[[#This Row],[Producto]],Referencia!$E$2:$F$238,2,0)</f>
        <v>P216</v>
      </c>
      <c r="J340" t="s">
        <v>606</v>
      </c>
      <c r="K340" s="47">
        <v>1</v>
      </c>
      <c r="L340" t="s">
        <v>1078</v>
      </c>
      <c r="M340" s="23">
        <v>16000</v>
      </c>
      <c r="N340" s="23">
        <v>28000</v>
      </c>
      <c r="O340" s="23">
        <v>12000</v>
      </c>
      <c r="P340" t="s">
        <v>27</v>
      </c>
    </row>
    <row r="341" spans="1:16" x14ac:dyDescent="0.35">
      <c r="A341" s="18">
        <v>45884</v>
      </c>
      <c r="B341" s="18" t="s">
        <v>1132</v>
      </c>
      <c r="C341" t="s">
        <v>1130</v>
      </c>
      <c r="D341" t="s">
        <v>9</v>
      </c>
      <c r="E341" t="s">
        <v>122</v>
      </c>
      <c r="F341" t="s">
        <v>619</v>
      </c>
      <c r="G341" s="46">
        <v>15</v>
      </c>
      <c r="H341" t="s">
        <v>96</v>
      </c>
      <c r="I341" t="str">
        <f>VLOOKUP(Tabla5[[#This Row],[Producto]],Referencia!$E$2:$F$238,2,0)</f>
        <v>P89</v>
      </c>
      <c r="J341" t="s">
        <v>455</v>
      </c>
      <c r="K341" s="47">
        <v>1</v>
      </c>
      <c r="L341" t="s">
        <v>1070</v>
      </c>
      <c r="M341" s="23">
        <v>11200</v>
      </c>
      <c r="N341" s="23">
        <v>18000</v>
      </c>
      <c r="O341" s="23">
        <v>6800</v>
      </c>
      <c r="P341" t="s">
        <v>27</v>
      </c>
    </row>
    <row r="342" spans="1:16" x14ac:dyDescent="0.35">
      <c r="A342" s="18">
        <v>45884</v>
      </c>
      <c r="B342" s="18" t="s">
        <v>1132</v>
      </c>
      <c r="C342" t="s">
        <v>1130</v>
      </c>
      <c r="D342" t="s">
        <v>9</v>
      </c>
      <c r="E342" t="s">
        <v>155</v>
      </c>
      <c r="F342" t="s">
        <v>619</v>
      </c>
      <c r="G342" s="46">
        <v>20</v>
      </c>
      <c r="H342" t="s">
        <v>520</v>
      </c>
      <c r="I342" t="str">
        <f>VLOOKUP(Tabla5[[#This Row],[Producto]],Referencia!$E$2:$F$238,2,0)</f>
        <v>P128</v>
      </c>
      <c r="J342" t="s">
        <v>632</v>
      </c>
      <c r="K342" s="47">
        <v>1</v>
      </c>
      <c r="L342" t="s">
        <v>1078</v>
      </c>
      <c r="M342" s="23">
        <v>36000</v>
      </c>
      <c r="N342" s="23">
        <v>90000</v>
      </c>
      <c r="O342" s="23">
        <v>54000</v>
      </c>
      <c r="P342" t="s">
        <v>27</v>
      </c>
    </row>
    <row r="343" spans="1:16" x14ac:dyDescent="0.35">
      <c r="A343" s="18">
        <v>45884</v>
      </c>
      <c r="B343" s="18" t="s">
        <v>1132</v>
      </c>
      <c r="C343" t="s">
        <v>1130</v>
      </c>
      <c r="D343" t="s">
        <v>9</v>
      </c>
      <c r="E343" t="s">
        <v>122</v>
      </c>
      <c r="F343" t="s">
        <v>619</v>
      </c>
      <c r="G343" s="46">
        <v>12</v>
      </c>
      <c r="H343" t="s">
        <v>141</v>
      </c>
      <c r="I343" t="str">
        <f>VLOOKUP(Tabla5[[#This Row],[Producto]],Referencia!$E$2:$F$238,2,0)</f>
        <v>P128</v>
      </c>
      <c r="J343" t="s">
        <v>632</v>
      </c>
      <c r="K343" s="47">
        <v>1</v>
      </c>
      <c r="L343" t="s">
        <v>1078</v>
      </c>
      <c r="M343" s="23">
        <v>36000</v>
      </c>
      <c r="N343" s="23">
        <v>90000</v>
      </c>
      <c r="O343" s="23">
        <v>54000</v>
      </c>
      <c r="P343" t="s">
        <v>27</v>
      </c>
    </row>
    <row r="344" spans="1:16" x14ac:dyDescent="0.35">
      <c r="A344" s="18">
        <v>45884</v>
      </c>
      <c r="B344" s="18" t="s">
        <v>1132</v>
      </c>
      <c r="C344" t="s">
        <v>1130</v>
      </c>
      <c r="D344" t="s">
        <v>9</v>
      </c>
      <c r="E344" t="s">
        <v>82</v>
      </c>
      <c r="F344" t="s">
        <v>619</v>
      </c>
      <c r="G344" s="46">
        <v>21</v>
      </c>
      <c r="H344" t="s">
        <v>52</v>
      </c>
      <c r="I344" t="str">
        <f>VLOOKUP(Tabla5[[#This Row],[Producto]],Referencia!$E$2:$F$238,2,0)</f>
        <v>P46</v>
      </c>
      <c r="J344" t="s">
        <v>607</v>
      </c>
      <c r="K344" s="47">
        <v>1</v>
      </c>
      <c r="L344" t="s">
        <v>1078</v>
      </c>
      <c r="M344" s="23">
        <v>34000</v>
      </c>
      <c r="N344" s="23">
        <v>55000</v>
      </c>
      <c r="O344" s="23">
        <v>21000</v>
      </c>
      <c r="P344" t="s">
        <v>27</v>
      </c>
    </row>
    <row r="345" spans="1:16" x14ac:dyDescent="0.35">
      <c r="A345" s="18">
        <v>45884</v>
      </c>
      <c r="B345" s="18" t="s">
        <v>1132</v>
      </c>
      <c r="C345" t="s">
        <v>1130</v>
      </c>
      <c r="D345" t="s">
        <v>9</v>
      </c>
      <c r="E345" t="s">
        <v>122</v>
      </c>
      <c r="F345" t="s">
        <v>619</v>
      </c>
      <c r="G345" s="46">
        <v>182</v>
      </c>
      <c r="H345" t="s">
        <v>609</v>
      </c>
      <c r="I345" t="str">
        <f>VLOOKUP(Tabla5[[#This Row],[Producto]],Referencia!$E$2:$F$238,2,0)</f>
        <v>P217</v>
      </c>
      <c r="J345" t="s">
        <v>626</v>
      </c>
      <c r="K345" s="47">
        <v>1</v>
      </c>
      <c r="L345" t="s">
        <v>1071</v>
      </c>
      <c r="M345" s="23">
        <v>447000</v>
      </c>
      <c r="N345" s="23">
        <v>780000</v>
      </c>
      <c r="O345" s="23">
        <v>333000</v>
      </c>
      <c r="P345" t="s">
        <v>27</v>
      </c>
    </row>
    <row r="346" spans="1:16" x14ac:dyDescent="0.35">
      <c r="A346" s="18">
        <v>45884</v>
      </c>
      <c r="B346" s="18" t="s">
        <v>1132</v>
      </c>
      <c r="C346" t="s">
        <v>1130</v>
      </c>
      <c r="D346" t="s">
        <v>9</v>
      </c>
      <c r="E346" t="s">
        <v>122</v>
      </c>
      <c r="F346" t="s">
        <v>617</v>
      </c>
      <c r="G346" s="46" t="s">
        <v>618</v>
      </c>
      <c r="H346" t="s">
        <v>477</v>
      </c>
      <c r="I346" t="str">
        <f>VLOOKUP(Tabla5[[#This Row],[Producto]],Referencia!$E$2:$F$238,2,0)</f>
        <v>P19</v>
      </c>
      <c r="J346" t="s">
        <v>48</v>
      </c>
      <c r="K346" s="47">
        <v>1</v>
      </c>
      <c r="L346" t="s">
        <v>1078</v>
      </c>
      <c r="M346" s="23">
        <v>18000</v>
      </c>
      <c r="N346" s="23">
        <v>30000</v>
      </c>
      <c r="O346" s="23">
        <v>12000</v>
      </c>
      <c r="P346" t="s">
        <v>23</v>
      </c>
    </row>
    <row r="347" spans="1:16" x14ac:dyDescent="0.35">
      <c r="A347" s="18">
        <v>45884</v>
      </c>
      <c r="B347" s="18" t="s">
        <v>1132</v>
      </c>
      <c r="C347" t="s">
        <v>1130</v>
      </c>
      <c r="D347" t="s">
        <v>9</v>
      </c>
      <c r="E347" t="s">
        <v>122</v>
      </c>
      <c r="F347" t="s">
        <v>617</v>
      </c>
      <c r="G347" s="46" t="s">
        <v>618</v>
      </c>
      <c r="H347" t="s">
        <v>477</v>
      </c>
      <c r="I347" t="str">
        <f>VLOOKUP(Tabla5[[#This Row],[Producto]],Referencia!$E$2:$F$238,2,0)</f>
        <v>P218</v>
      </c>
      <c r="J347" t="s">
        <v>610</v>
      </c>
      <c r="K347" s="47">
        <v>1</v>
      </c>
      <c r="L347" t="s">
        <v>1063</v>
      </c>
      <c r="M347" s="23">
        <v>33260</v>
      </c>
      <c r="N347" s="23">
        <v>56000</v>
      </c>
      <c r="O347" s="23">
        <v>22740</v>
      </c>
      <c r="P347" t="s">
        <v>23</v>
      </c>
    </row>
    <row r="348" spans="1:16" x14ac:dyDescent="0.35">
      <c r="A348" s="18">
        <v>45884</v>
      </c>
      <c r="B348" s="18" t="s">
        <v>1132</v>
      </c>
      <c r="C348" t="s">
        <v>1130</v>
      </c>
      <c r="D348" t="s">
        <v>9</v>
      </c>
      <c r="E348" t="s">
        <v>122</v>
      </c>
      <c r="F348" t="s">
        <v>617</v>
      </c>
      <c r="G348" s="46" t="s">
        <v>618</v>
      </c>
      <c r="H348" t="s">
        <v>477</v>
      </c>
      <c r="I348" t="str">
        <f>VLOOKUP(Tabla5[[#This Row],[Producto]],Referencia!$E$2:$F$238,2,0)</f>
        <v>P219</v>
      </c>
      <c r="J348" t="s">
        <v>611</v>
      </c>
      <c r="K348" s="47">
        <v>1</v>
      </c>
      <c r="L348" t="s">
        <v>1066</v>
      </c>
      <c r="M348" s="23">
        <v>25000</v>
      </c>
      <c r="N348" s="23">
        <v>35000</v>
      </c>
      <c r="O348" s="23">
        <v>10000</v>
      </c>
      <c r="P348" t="s">
        <v>23</v>
      </c>
    </row>
    <row r="349" spans="1:16" x14ac:dyDescent="0.35">
      <c r="A349" s="18">
        <v>45884</v>
      </c>
      <c r="B349" s="18" t="s">
        <v>1132</v>
      </c>
      <c r="C349" t="s">
        <v>1130</v>
      </c>
      <c r="D349" t="s">
        <v>9</v>
      </c>
      <c r="E349" t="s">
        <v>122</v>
      </c>
      <c r="F349" t="s">
        <v>617</v>
      </c>
      <c r="G349" s="46" t="s">
        <v>618</v>
      </c>
      <c r="H349" t="s">
        <v>477</v>
      </c>
      <c r="I349" t="str">
        <f>VLOOKUP(Tabla5[[#This Row],[Producto]],Referencia!$E$2:$F$238,2,0)</f>
        <v>P204</v>
      </c>
      <c r="J349" t="s">
        <v>594</v>
      </c>
      <c r="K349" s="47">
        <v>1</v>
      </c>
      <c r="L349" t="s">
        <v>1066</v>
      </c>
      <c r="M349" s="23">
        <v>18562</v>
      </c>
      <c r="N349" s="23">
        <v>35000</v>
      </c>
      <c r="O349" s="23">
        <v>16438</v>
      </c>
      <c r="P349" t="s">
        <v>23</v>
      </c>
    </row>
    <row r="350" spans="1:16" x14ac:dyDescent="0.35">
      <c r="A350" s="18">
        <v>45884</v>
      </c>
      <c r="B350" s="18" t="s">
        <v>1132</v>
      </c>
      <c r="C350" t="s">
        <v>1130</v>
      </c>
      <c r="D350" t="s">
        <v>9</v>
      </c>
      <c r="E350" t="s">
        <v>122</v>
      </c>
      <c r="F350" t="s">
        <v>617</v>
      </c>
      <c r="G350" s="46" t="s">
        <v>618</v>
      </c>
      <c r="H350" t="s">
        <v>477</v>
      </c>
      <c r="I350" t="str">
        <f>VLOOKUP(Tabla5[[#This Row],[Producto]],Referencia!$E$2:$F$238,2,0)</f>
        <v>P220</v>
      </c>
      <c r="J350" t="s">
        <v>612</v>
      </c>
      <c r="K350" s="47">
        <v>1</v>
      </c>
      <c r="L350" t="s">
        <v>1063</v>
      </c>
      <c r="M350" s="23">
        <v>8900</v>
      </c>
      <c r="N350" s="23">
        <v>0</v>
      </c>
      <c r="O350" s="23">
        <v>-8900</v>
      </c>
      <c r="P350" t="s">
        <v>23</v>
      </c>
    </row>
    <row r="351" spans="1:16" x14ac:dyDescent="0.35">
      <c r="A351" s="18">
        <v>45884</v>
      </c>
      <c r="B351" s="18" t="s">
        <v>1132</v>
      </c>
      <c r="C351" t="s">
        <v>1130</v>
      </c>
      <c r="D351" t="s">
        <v>9</v>
      </c>
      <c r="E351" t="s">
        <v>122</v>
      </c>
      <c r="F351" t="s">
        <v>617</v>
      </c>
      <c r="G351" s="46" t="s">
        <v>618</v>
      </c>
      <c r="H351" t="s">
        <v>477</v>
      </c>
      <c r="I351" t="str">
        <f>VLOOKUP(Tabla5[[#This Row],[Producto]],Referencia!$E$2:$F$238,2,0)</f>
        <v>P221</v>
      </c>
      <c r="J351" t="s">
        <v>613</v>
      </c>
      <c r="K351" s="47">
        <v>1</v>
      </c>
      <c r="L351" t="s">
        <v>1063</v>
      </c>
      <c r="M351" s="23">
        <v>12500</v>
      </c>
      <c r="N351" s="23">
        <v>18000</v>
      </c>
      <c r="O351" s="23">
        <v>18000</v>
      </c>
      <c r="P351" t="s">
        <v>23</v>
      </c>
    </row>
    <row r="352" spans="1:16" x14ac:dyDescent="0.35">
      <c r="A352" s="18">
        <v>45884</v>
      </c>
      <c r="B352" s="18" t="s">
        <v>1132</v>
      </c>
      <c r="C352" t="s">
        <v>1130</v>
      </c>
      <c r="D352" t="s">
        <v>9</v>
      </c>
      <c r="E352" t="s">
        <v>122</v>
      </c>
      <c r="F352" t="s">
        <v>617</v>
      </c>
      <c r="G352" s="46" t="s">
        <v>618</v>
      </c>
      <c r="H352" t="s">
        <v>477</v>
      </c>
      <c r="I352" t="str">
        <f>VLOOKUP(Tabla5[[#This Row],[Producto]],Referencia!$E$2:$F$238,2,0)</f>
        <v>P54</v>
      </c>
      <c r="J352" t="s">
        <v>505</v>
      </c>
      <c r="K352" s="47">
        <v>1</v>
      </c>
      <c r="L352" t="s">
        <v>1063</v>
      </c>
      <c r="M352" s="23">
        <v>29600</v>
      </c>
      <c r="N352" s="23">
        <v>70000</v>
      </c>
      <c r="O352" s="23">
        <v>40400</v>
      </c>
      <c r="P352" t="s">
        <v>23</v>
      </c>
    </row>
    <row r="353" spans="1:16" x14ac:dyDescent="0.35">
      <c r="A353" s="18">
        <v>45884</v>
      </c>
      <c r="B353" s="18" t="s">
        <v>1132</v>
      </c>
      <c r="C353" t="s">
        <v>1130</v>
      </c>
      <c r="D353" t="s">
        <v>9</v>
      </c>
      <c r="E353" t="s">
        <v>122</v>
      </c>
      <c r="F353" t="s">
        <v>619</v>
      </c>
      <c r="G353" s="46">
        <v>9</v>
      </c>
      <c r="H353" t="s">
        <v>50</v>
      </c>
      <c r="I353" t="str">
        <f>VLOOKUP(Tabla5[[#This Row],[Producto]],Referencia!$E$2:$F$238,2,0)</f>
        <v>P100</v>
      </c>
      <c r="J353" t="s">
        <v>472</v>
      </c>
      <c r="K353" s="47">
        <v>1</v>
      </c>
      <c r="L353" t="s">
        <v>1067</v>
      </c>
      <c r="M353" s="23">
        <v>110000</v>
      </c>
      <c r="N353" s="23">
        <v>200000</v>
      </c>
      <c r="O353" s="23">
        <v>90000</v>
      </c>
      <c r="P353" t="s">
        <v>27</v>
      </c>
    </row>
    <row r="354" spans="1:16" x14ac:dyDescent="0.35">
      <c r="A354" s="18">
        <v>45889</v>
      </c>
      <c r="B354" s="18" t="s">
        <v>1132</v>
      </c>
      <c r="C354" t="s">
        <v>1130</v>
      </c>
      <c r="D354" t="s">
        <v>615</v>
      </c>
      <c r="E354" t="s">
        <v>127</v>
      </c>
      <c r="F354" t="s">
        <v>619</v>
      </c>
      <c r="G354" s="46">
        <v>44</v>
      </c>
      <c r="H354" t="s">
        <v>459</v>
      </c>
      <c r="I354" t="str">
        <f>VLOOKUP(Tabla5[[#This Row],[Producto]],Referencia!$E$2:$F$238,2,0)</f>
        <v>P149</v>
      </c>
      <c r="J354" t="s">
        <v>533</v>
      </c>
      <c r="K354" s="47">
        <v>1</v>
      </c>
      <c r="L354" t="s">
        <v>1078</v>
      </c>
      <c r="M354" s="23">
        <v>20000</v>
      </c>
      <c r="N354" s="23">
        <v>40000</v>
      </c>
      <c r="O354" s="23">
        <v>20000</v>
      </c>
      <c r="P354" t="s">
        <v>27</v>
      </c>
    </row>
    <row r="355" spans="1:16" x14ac:dyDescent="0.35">
      <c r="A355" s="18">
        <v>45889</v>
      </c>
      <c r="B355" s="18" t="s">
        <v>1132</v>
      </c>
      <c r="C355" t="s">
        <v>1130</v>
      </c>
      <c r="D355" t="s">
        <v>615</v>
      </c>
      <c r="E355" t="s">
        <v>127</v>
      </c>
      <c r="F355" t="s">
        <v>619</v>
      </c>
      <c r="G355" s="46">
        <v>44</v>
      </c>
      <c r="H355" t="s">
        <v>459</v>
      </c>
      <c r="I355" t="str">
        <f>VLOOKUP(Tabla5[[#This Row],[Producto]],Referencia!$E$2:$F$238,2,0)</f>
        <v>P6</v>
      </c>
      <c r="J355" t="s">
        <v>627</v>
      </c>
      <c r="K355" s="47">
        <v>1</v>
      </c>
      <c r="L355" t="s">
        <v>31</v>
      </c>
      <c r="M355" s="23">
        <v>20</v>
      </c>
      <c r="N355" s="23">
        <v>35000</v>
      </c>
      <c r="O355" s="23">
        <v>34980</v>
      </c>
      <c r="P355" t="s">
        <v>27</v>
      </c>
    </row>
    <row r="356" spans="1:16" x14ac:dyDescent="0.35">
      <c r="A356" s="18">
        <v>45889</v>
      </c>
      <c r="B356" s="18" t="s">
        <v>1132</v>
      </c>
      <c r="C356" t="s">
        <v>1130</v>
      </c>
      <c r="D356" t="s">
        <v>615</v>
      </c>
      <c r="E356" t="s">
        <v>129</v>
      </c>
      <c r="F356" t="s">
        <v>619</v>
      </c>
      <c r="G356" s="46" t="s">
        <v>618</v>
      </c>
      <c r="H356" t="s">
        <v>477</v>
      </c>
      <c r="I356" t="str">
        <f>VLOOKUP(Tabla5[[#This Row],[Producto]],Referencia!$E$2:$F$238,2,0)</f>
        <v>P222</v>
      </c>
      <c r="J356" t="s">
        <v>635</v>
      </c>
      <c r="K356" s="47">
        <v>1</v>
      </c>
      <c r="L356" t="s">
        <v>1067</v>
      </c>
      <c r="M356" s="23">
        <v>125000</v>
      </c>
      <c r="N356" s="23">
        <v>240000</v>
      </c>
      <c r="O356" s="23">
        <v>115000</v>
      </c>
      <c r="P356" t="s">
        <v>23</v>
      </c>
    </row>
    <row r="357" spans="1:16" x14ac:dyDescent="0.35">
      <c r="A357" s="18">
        <v>45889</v>
      </c>
      <c r="B357" s="18" t="s">
        <v>1132</v>
      </c>
      <c r="C357" t="s">
        <v>1130</v>
      </c>
      <c r="D357" t="s">
        <v>615</v>
      </c>
      <c r="E357" t="s">
        <v>129</v>
      </c>
      <c r="F357" t="s">
        <v>619</v>
      </c>
      <c r="G357" s="46">
        <v>38</v>
      </c>
      <c r="H357" t="s">
        <v>179</v>
      </c>
      <c r="I357" t="str">
        <f>VLOOKUP(Tabla5[[#This Row],[Producto]],Referencia!$E$2:$F$238,2,0)</f>
        <v>P223</v>
      </c>
      <c r="J357" t="s">
        <v>624</v>
      </c>
      <c r="K357" s="47">
        <v>1</v>
      </c>
      <c r="L357" t="s">
        <v>74</v>
      </c>
      <c r="M357" s="23">
        <v>80000</v>
      </c>
      <c r="N357" s="23">
        <v>140000</v>
      </c>
      <c r="O357" s="23">
        <v>60000</v>
      </c>
      <c r="P357" t="s">
        <v>23</v>
      </c>
    </row>
    <row r="358" spans="1:16" x14ac:dyDescent="0.35">
      <c r="A358" s="18">
        <v>45889</v>
      </c>
      <c r="B358" s="18" t="s">
        <v>1132</v>
      </c>
      <c r="C358" t="s">
        <v>1130</v>
      </c>
      <c r="D358" t="s">
        <v>615</v>
      </c>
      <c r="E358" t="s">
        <v>127</v>
      </c>
      <c r="F358" t="s">
        <v>619</v>
      </c>
      <c r="G358" s="46">
        <v>6</v>
      </c>
      <c r="H358" t="s">
        <v>126</v>
      </c>
      <c r="I358" t="str">
        <f>VLOOKUP(Tabla5[[#This Row],[Producto]],Referencia!$E$2:$F$238,2,0)</f>
        <v>P224</v>
      </c>
      <c r="J358" t="s">
        <v>625</v>
      </c>
      <c r="K358" s="47">
        <v>1</v>
      </c>
      <c r="L358" t="s">
        <v>1067</v>
      </c>
      <c r="M358" s="23">
        <v>0</v>
      </c>
      <c r="N358" s="23">
        <v>16000</v>
      </c>
      <c r="O358" s="23">
        <v>16000</v>
      </c>
      <c r="P358" t="s">
        <v>23</v>
      </c>
    </row>
    <row r="359" spans="1:16" x14ac:dyDescent="0.35">
      <c r="A359" s="18">
        <v>45889</v>
      </c>
      <c r="B359" s="18" t="s">
        <v>1132</v>
      </c>
      <c r="C359" t="s">
        <v>1130</v>
      </c>
      <c r="D359" t="s">
        <v>615</v>
      </c>
      <c r="E359" t="s">
        <v>127</v>
      </c>
      <c r="F359" t="s">
        <v>619</v>
      </c>
      <c r="G359" s="46">
        <v>6</v>
      </c>
      <c r="H359" t="s">
        <v>126</v>
      </c>
      <c r="I359" t="str">
        <f>VLOOKUP(Tabla5[[#This Row],[Producto]],Referencia!$E$2:$F$238,2,0)</f>
        <v>P213</v>
      </c>
      <c r="J359" t="s">
        <v>603</v>
      </c>
      <c r="K359" s="47">
        <v>1</v>
      </c>
      <c r="L359" t="s">
        <v>1063</v>
      </c>
      <c r="M359" s="23">
        <v>15400</v>
      </c>
      <c r="N359" s="23">
        <v>25000</v>
      </c>
      <c r="O359" s="23">
        <v>9600</v>
      </c>
      <c r="P359" t="s">
        <v>23</v>
      </c>
    </row>
    <row r="360" spans="1:16" x14ac:dyDescent="0.35">
      <c r="A360" s="18">
        <v>45890</v>
      </c>
      <c r="B360" s="18" t="s">
        <v>1132</v>
      </c>
      <c r="C360" t="s">
        <v>1130</v>
      </c>
      <c r="D360" t="s">
        <v>8</v>
      </c>
      <c r="E360" t="s">
        <v>155</v>
      </c>
      <c r="F360" t="s">
        <v>619</v>
      </c>
      <c r="G360" s="46">
        <v>20</v>
      </c>
      <c r="H360" t="s">
        <v>520</v>
      </c>
      <c r="I360" t="str">
        <f>VLOOKUP(Tabla5[[#This Row],[Producto]],Referencia!$E$2:$F$238,2,0)</f>
        <v>P229</v>
      </c>
      <c r="J360" t="s">
        <v>1055</v>
      </c>
      <c r="K360" s="47">
        <v>1</v>
      </c>
      <c r="L360" t="s">
        <v>1075</v>
      </c>
      <c r="M360" s="23">
        <v>32750</v>
      </c>
      <c r="N360" s="23">
        <v>50000</v>
      </c>
      <c r="O360" s="23">
        <v>17250</v>
      </c>
      <c r="P360" t="s">
        <v>27</v>
      </c>
    </row>
    <row r="361" spans="1:16" x14ac:dyDescent="0.35">
      <c r="A361" s="18">
        <v>45890</v>
      </c>
      <c r="B361" s="18" t="s">
        <v>1132</v>
      </c>
      <c r="C361" t="s">
        <v>1130</v>
      </c>
      <c r="D361" t="s">
        <v>8</v>
      </c>
      <c r="E361" t="s">
        <v>155</v>
      </c>
      <c r="F361" t="s">
        <v>619</v>
      </c>
      <c r="G361" s="46">
        <v>20</v>
      </c>
      <c r="H361" t="s">
        <v>520</v>
      </c>
      <c r="I361" t="str">
        <f>VLOOKUP(Tabla5[[#This Row],[Producto]],Referencia!$E$2:$F$238,2,0)</f>
        <v>P230</v>
      </c>
      <c r="J361" t="s">
        <v>1056</v>
      </c>
      <c r="K361" s="47">
        <v>1</v>
      </c>
      <c r="L361" t="s">
        <v>1078</v>
      </c>
      <c r="M361" s="23">
        <v>10500</v>
      </c>
      <c r="N361" s="23">
        <v>0</v>
      </c>
      <c r="O361" s="23">
        <v>-10500</v>
      </c>
      <c r="P361" t="s">
        <v>27</v>
      </c>
    </row>
    <row r="362" spans="1:16" x14ac:dyDescent="0.35">
      <c r="A362" s="18">
        <v>45890</v>
      </c>
      <c r="B362" s="18" t="s">
        <v>1132</v>
      </c>
      <c r="C362" t="s">
        <v>1130</v>
      </c>
      <c r="D362" t="s">
        <v>8</v>
      </c>
      <c r="E362" t="s">
        <v>416</v>
      </c>
      <c r="F362" t="s">
        <v>619</v>
      </c>
      <c r="G362" s="46">
        <v>29</v>
      </c>
      <c r="H362" t="s">
        <v>441</v>
      </c>
      <c r="I362" t="str">
        <f>VLOOKUP(Tabla5[[#This Row],[Producto]],Referencia!$E$2:$F$238,2,0)</f>
        <v>P230</v>
      </c>
      <c r="J362" t="s">
        <v>1056</v>
      </c>
      <c r="K362" s="47">
        <v>1</v>
      </c>
      <c r="L362" t="s">
        <v>1078</v>
      </c>
      <c r="M362" s="23">
        <v>10500</v>
      </c>
      <c r="N362" s="23">
        <v>15000</v>
      </c>
      <c r="O362" s="23">
        <v>4500</v>
      </c>
      <c r="P362" t="s">
        <v>27</v>
      </c>
    </row>
    <row r="363" spans="1:16" x14ac:dyDescent="0.35">
      <c r="A363" s="18">
        <v>45890</v>
      </c>
      <c r="B363" s="18" t="s">
        <v>1132</v>
      </c>
      <c r="C363" t="s">
        <v>1130</v>
      </c>
      <c r="D363" t="s">
        <v>8</v>
      </c>
      <c r="E363" t="s">
        <v>416</v>
      </c>
      <c r="F363" t="s">
        <v>619</v>
      </c>
      <c r="G363" s="46">
        <v>29</v>
      </c>
      <c r="H363" t="s">
        <v>441</v>
      </c>
      <c r="I363" t="str">
        <f>VLOOKUP(Tabla5[[#This Row],[Producto]],Referencia!$E$2:$F$238,2,0)</f>
        <v>P232</v>
      </c>
      <c r="J363" t="s">
        <v>1057</v>
      </c>
      <c r="K363" s="47">
        <v>1</v>
      </c>
      <c r="L363" t="s">
        <v>1078</v>
      </c>
      <c r="M363" s="23">
        <v>5500</v>
      </c>
      <c r="N363" s="23">
        <v>10000</v>
      </c>
      <c r="O363" s="23">
        <v>4500</v>
      </c>
      <c r="P363" t="s">
        <v>27</v>
      </c>
    </row>
    <row r="364" spans="1:16" x14ac:dyDescent="0.35">
      <c r="A364" s="18">
        <v>45890</v>
      </c>
      <c r="B364" s="18" t="s">
        <v>1132</v>
      </c>
      <c r="C364" t="s">
        <v>1130</v>
      </c>
      <c r="D364" t="s">
        <v>8</v>
      </c>
      <c r="E364" t="s">
        <v>109</v>
      </c>
      <c r="F364" t="s">
        <v>619</v>
      </c>
      <c r="G364" s="46">
        <v>2</v>
      </c>
      <c r="H364" t="s">
        <v>112</v>
      </c>
      <c r="I364" t="str">
        <f>VLOOKUP(Tabla5[[#This Row],[Producto]],Referencia!$E$2:$F$238,2,0)</f>
        <v>P233</v>
      </c>
      <c r="J364" t="s">
        <v>1058</v>
      </c>
      <c r="K364" s="47">
        <v>1</v>
      </c>
      <c r="L364" t="s">
        <v>1075</v>
      </c>
      <c r="M364" s="23">
        <v>12000</v>
      </c>
      <c r="N364" s="23">
        <v>20000</v>
      </c>
      <c r="O364" s="23">
        <v>8000</v>
      </c>
      <c r="P364" t="s">
        <v>27</v>
      </c>
    </row>
    <row r="365" spans="1:16" x14ac:dyDescent="0.35">
      <c r="A365" s="18">
        <v>45890</v>
      </c>
      <c r="B365" s="18" t="s">
        <v>1132</v>
      </c>
      <c r="C365" t="s">
        <v>1130</v>
      </c>
      <c r="D365" t="s">
        <v>8</v>
      </c>
      <c r="E365" t="s">
        <v>109</v>
      </c>
      <c r="F365" t="s">
        <v>619</v>
      </c>
      <c r="G365" s="46">
        <v>2</v>
      </c>
      <c r="H365" t="s">
        <v>112</v>
      </c>
      <c r="I365" t="str">
        <f>VLOOKUP(Tabla5[[#This Row],[Producto]],Referencia!$E$2:$F$238,2,0)</f>
        <v>P234</v>
      </c>
      <c r="J365" t="s">
        <v>1059</v>
      </c>
      <c r="K365" s="47">
        <v>5</v>
      </c>
      <c r="L365" t="s">
        <v>1064</v>
      </c>
      <c r="M365" s="23">
        <v>20000</v>
      </c>
      <c r="N365" s="23">
        <v>35000</v>
      </c>
      <c r="O365" s="23">
        <v>35000</v>
      </c>
      <c r="P365" t="s">
        <v>27</v>
      </c>
    </row>
    <row r="366" spans="1:16" x14ac:dyDescent="0.35">
      <c r="A366" s="18">
        <v>45890</v>
      </c>
      <c r="B366" s="18" t="s">
        <v>1132</v>
      </c>
      <c r="C366" t="s">
        <v>1130</v>
      </c>
      <c r="D366" t="s">
        <v>8</v>
      </c>
      <c r="E366" t="s">
        <v>109</v>
      </c>
      <c r="F366" t="s">
        <v>619</v>
      </c>
      <c r="G366" s="46">
        <v>4</v>
      </c>
      <c r="H366" t="s">
        <v>118</v>
      </c>
      <c r="I366" t="str">
        <f>VLOOKUP(Tabla5[[#This Row],[Producto]],Referencia!$E$2:$F$238,2,0)</f>
        <v>P235</v>
      </c>
      <c r="J366" t="s">
        <v>1060</v>
      </c>
      <c r="K366" s="47">
        <v>1</v>
      </c>
      <c r="L366" t="s">
        <v>1069</v>
      </c>
      <c r="M366" s="23">
        <v>55000</v>
      </c>
      <c r="N366" s="23">
        <v>90000</v>
      </c>
      <c r="O366" s="23">
        <v>90000</v>
      </c>
      <c r="P366" t="s">
        <v>27</v>
      </c>
    </row>
    <row r="367" spans="1:16" x14ac:dyDescent="0.35">
      <c r="A367" s="18">
        <v>45890</v>
      </c>
      <c r="B367" s="18" t="s">
        <v>1132</v>
      </c>
      <c r="C367" t="s">
        <v>1130</v>
      </c>
      <c r="D367" t="s">
        <v>8</v>
      </c>
      <c r="E367" t="s">
        <v>109</v>
      </c>
      <c r="F367" t="s">
        <v>619</v>
      </c>
      <c r="G367" s="46">
        <v>1</v>
      </c>
      <c r="H367" t="s">
        <v>108</v>
      </c>
      <c r="I367" t="str">
        <f>VLOOKUP(Tabla5[[#This Row],[Producto]],Referencia!$E$2:$F$238,2,0)</f>
        <v>P127</v>
      </c>
      <c r="J367" t="s">
        <v>507</v>
      </c>
      <c r="K367" s="47">
        <v>1</v>
      </c>
      <c r="L367" t="s">
        <v>1078</v>
      </c>
      <c r="M367" s="23">
        <v>11000</v>
      </c>
      <c r="N367" s="23">
        <v>30000</v>
      </c>
      <c r="O367" s="23">
        <v>19000</v>
      </c>
      <c r="P367" t="s">
        <v>27</v>
      </c>
    </row>
    <row r="368" spans="1:16" x14ac:dyDescent="0.35">
      <c r="A368" s="18">
        <v>45890</v>
      </c>
      <c r="B368" s="18" t="s">
        <v>1132</v>
      </c>
      <c r="C368" t="s">
        <v>1130</v>
      </c>
      <c r="D368" t="s">
        <v>8</v>
      </c>
      <c r="E368" t="s">
        <v>416</v>
      </c>
      <c r="F368" t="s">
        <v>619</v>
      </c>
      <c r="G368" s="46">
        <v>179</v>
      </c>
      <c r="H368" t="s">
        <v>518</v>
      </c>
      <c r="I368" t="str">
        <f>VLOOKUP(Tabla5[[#This Row],[Producto]],Referencia!$E$2:$F$238,2,0)</f>
        <v>P74</v>
      </c>
      <c r="J368" t="s">
        <v>434</v>
      </c>
      <c r="K368" s="47">
        <v>1</v>
      </c>
      <c r="L368" t="s">
        <v>74</v>
      </c>
      <c r="M368" s="23">
        <v>35000</v>
      </c>
      <c r="N368" s="23">
        <v>55000</v>
      </c>
      <c r="O368" s="23">
        <v>20000</v>
      </c>
      <c r="P368" t="s">
        <v>27</v>
      </c>
    </row>
    <row r="369" spans="1:16" x14ac:dyDescent="0.35">
      <c r="A369" s="18">
        <v>45891</v>
      </c>
      <c r="B369" s="18" t="s">
        <v>1132</v>
      </c>
      <c r="C369" t="s">
        <v>1130</v>
      </c>
      <c r="D369" t="s">
        <v>9</v>
      </c>
      <c r="E369" t="s">
        <v>122</v>
      </c>
      <c r="F369" t="s">
        <v>619</v>
      </c>
      <c r="G369" s="46">
        <v>34</v>
      </c>
      <c r="H369" t="s">
        <v>172</v>
      </c>
      <c r="I369" t="str">
        <f>VLOOKUP(Tabla5[[#This Row],[Producto]],Referencia!$E$2:$F$238,2,0)</f>
        <v>P16</v>
      </c>
      <c r="J369" t="s">
        <v>45</v>
      </c>
      <c r="K369" s="47">
        <v>1</v>
      </c>
      <c r="L369" t="s">
        <v>1078</v>
      </c>
      <c r="M369" s="23">
        <v>38000</v>
      </c>
      <c r="N369" s="23">
        <v>70000</v>
      </c>
      <c r="O369" s="23">
        <v>32000</v>
      </c>
      <c r="P369" t="s">
        <v>27</v>
      </c>
    </row>
    <row r="370" spans="1:16" x14ac:dyDescent="0.35">
      <c r="A370" s="18">
        <v>45891</v>
      </c>
      <c r="B370" s="18" t="s">
        <v>1132</v>
      </c>
      <c r="C370" t="s">
        <v>1130</v>
      </c>
      <c r="D370" t="s">
        <v>9</v>
      </c>
      <c r="E370" t="s">
        <v>122</v>
      </c>
      <c r="F370" t="s">
        <v>619</v>
      </c>
      <c r="G370" s="46">
        <v>8</v>
      </c>
      <c r="H370" t="s">
        <v>476</v>
      </c>
      <c r="I370" t="str">
        <f>VLOOKUP(Tabla5[[#This Row],[Producto]],Referencia!$E$2:$F$238,2,0)</f>
        <v>P236</v>
      </c>
      <c r="J370" t="s">
        <v>1094</v>
      </c>
      <c r="K370" s="47">
        <v>1</v>
      </c>
      <c r="L370" t="s">
        <v>31</v>
      </c>
      <c r="M370" s="23">
        <v>20000</v>
      </c>
      <c r="N370" s="23">
        <v>30000</v>
      </c>
      <c r="O370" s="23">
        <v>10000</v>
      </c>
      <c r="P370" t="s">
        <v>27</v>
      </c>
    </row>
    <row r="371" spans="1:16" x14ac:dyDescent="0.35">
      <c r="A371" s="18">
        <v>45891</v>
      </c>
      <c r="B371" s="18" t="s">
        <v>1132</v>
      </c>
      <c r="C371" t="s">
        <v>1130</v>
      </c>
      <c r="D371" t="s">
        <v>9</v>
      </c>
      <c r="E371" t="s">
        <v>122</v>
      </c>
      <c r="F371" t="s">
        <v>619</v>
      </c>
      <c r="G371" s="46">
        <v>8</v>
      </c>
      <c r="H371" t="s">
        <v>476</v>
      </c>
      <c r="I371" t="str">
        <f>VLOOKUP(Tabla5[[#This Row],[Producto]],Referencia!$E$2:$F$238,2,0)</f>
        <v>P129</v>
      </c>
      <c r="J371" t="s">
        <v>508</v>
      </c>
      <c r="K371" s="47">
        <v>1</v>
      </c>
      <c r="L371" t="s">
        <v>1065</v>
      </c>
      <c r="M371" s="23">
        <v>11340</v>
      </c>
      <c r="N371" s="23">
        <v>18000</v>
      </c>
      <c r="O371" s="23">
        <v>6660</v>
      </c>
      <c r="P371" t="s">
        <v>27</v>
      </c>
    </row>
    <row r="372" spans="1:16" x14ac:dyDescent="0.35">
      <c r="A372" s="18">
        <v>45891</v>
      </c>
      <c r="B372" s="18" t="s">
        <v>1132</v>
      </c>
      <c r="C372" t="s">
        <v>1130</v>
      </c>
      <c r="D372" t="s">
        <v>9</v>
      </c>
      <c r="E372" t="s">
        <v>122</v>
      </c>
      <c r="F372" t="s">
        <v>619</v>
      </c>
      <c r="G372" s="46">
        <v>8</v>
      </c>
      <c r="H372" t="s">
        <v>476</v>
      </c>
      <c r="I372" t="str">
        <f>VLOOKUP(Tabla5[[#This Row],[Producto]],Referencia!$E$2:$F$238,2,0)</f>
        <v>P67</v>
      </c>
      <c r="J372" t="s">
        <v>435</v>
      </c>
      <c r="K372" s="47">
        <v>1</v>
      </c>
      <c r="L372" t="s">
        <v>1078</v>
      </c>
      <c r="M372" s="23">
        <v>75000</v>
      </c>
      <c r="N372" s="23">
        <v>120000</v>
      </c>
      <c r="O372" s="23">
        <v>45000</v>
      </c>
      <c r="P372" t="s">
        <v>27</v>
      </c>
    </row>
    <row r="373" spans="1:16" x14ac:dyDescent="0.35">
      <c r="A373" s="18">
        <v>45891</v>
      </c>
      <c r="B373" s="18" t="s">
        <v>1132</v>
      </c>
      <c r="C373" t="s">
        <v>1130</v>
      </c>
      <c r="D373" t="s">
        <v>9</v>
      </c>
      <c r="E373" t="s">
        <v>122</v>
      </c>
      <c r="F373" t="s">
        <v>619</v>
      </c>
      <c r="G373" s="46">
        <v>8</v>
      </c>
      <c r="H373" t="s">
        <v>476</v>
      </c>
      <c r="I373" t="str">
        <f>VLOOKUP(Tabla5[[#This Row],[Producto]],Referencia!$E$2:$F$238,2,0)</f>
        <v>P167</v>
      </c>
      <c r="J373" t="s">
        <v>553</v>
      </c>
      <c r="K373" s="47">
        <v>1</v>
      </c>
      <c r="L373" t="s">
        <v>1063</v>
      </c>
      <c r="M373" s="23">
        <v>36076</v>
      </c>
      <c r="N373" s="23">
        <v>60000</v>
      </c>
      <c r="O373" s="23">
        <v>23924</v>
      </c>
      <c r="P373" t="s">
        <v>27</v>
      </c>
    </row>
    <row r="374" spans="1:16" x14ac:dyDescent="0.35">
      <c r="A374" s="18">
        <v>45891</v>
      </c>
      <c r="B374" s="18" t="s">
        <v>1132</v>
      </c>
      <c r="C374" t="s">
        <v>1130</v>
      </c>
      <c r="D374" t="s">
        <v>9</v>
      </c>
      <c r="E374" t="s">
        <v>122</v>
      </c>
      <c r="F374" t="s">
        <v>619</v>
      </c>
      <c r="G374" s="46">
        <v>15</v>
      </c>
      <c r="H374" t="s">
        <v>96</v>
      </c>
      <c r="I374" t="str">
        <f>VLOOKUP(Tabla5[[#This Row],[Producto]],Referencia!$E$2:$F$238,2,0)</f>
        <v>P129</v>
      </c>
      <c r="J374" t="s">
        <v>508</v>
      </c>
      <c r="K374" s="47">
        <v>1</v>
      </c>
      <c r="L374" t="s">
        <v>1065</v>
      </c>
      <c r="M374" s="23">
        <v>11340</v>
      </c>
      <c r="N374" s="23">
        <v>18000</v>
      </c>
      <c r="O374" s="23">
        <v>6660</v>
      </c>
      <c r="P374" t="s">
        <v>27</v>
      </c>
    </row>
    <row r="375" spans="1:16" x14ac:dyDescent="0.35">
      <c r="A375" s="18">
        <v>45891</v>
      </c>
      <c r="B375" s="18" t="s">
        <v>1132</v>
      </c>
      <c r="C375" t="s">
        <v>1130</v>
      </c>
      <c r="D375" t="s">
        <v>9</v>
      </c>
      <c r="E375" t="s">
        <v>122</v>
      </c>
      <c r="F375" t="s">
        <v>619</v>
      </c>
      <c r="G375" s="46">
        <v>15</v>
      </c>
      <c r="H375" t="s">
        <v>96</v>
      </c>
      <c r="I375" t="str">
        <f>VLOOKUP(Tabla5[[#This Row],[Producto]],Referencia!$E$2:$F$238,2,0)</f>
        <v>P237</v>
      </c>
      <c r="J375" t="s">
        <v>1095</v>
      </c>
      <c r="K375" s="47">
        <v>1</v>
      </c>
      <c r="L375" t="s">
        <v>1078</v>
      </c>
      <c r="M375" s="23">
        <v>14000</v>
      </c>
      <c r="N375" s="23">
        <v>25000</v>
      </c>
      <c r="O375" s="23">
        <v>11000</v>
      </c>
      <c r="P375" t="s">
        <v>27</v>
      </c>
    </row>
    <row r="376" spans="1:16" x14ac:dyDescent="0.35">
      <c r="B376" s="18"/>
      <c r="F376"/>
      <c r="G376" s="46"/>
      <c r="J376"/>
      <c r="K376" s="47"/>
      <c r="L376"/>
      <c r="O376" s="23"/>
    </row>
    <row r="377" spans="1:16" x14ac:dyDescent="0.35">
      <c r="B377" s="18"/>
      <c r="F377"/>
      <c r="G377" s="46"/>
      <c r="J377"/>
      <c r="K377" s="47"/>
      <c r="L377"/>
      <c r="O377" s="23"/>
    </row>
    <row r="378" spans="1:16" x14ac:dyDescent="0.35">
      <c r="B378" s="18"/>
      <c r="F378"/>
      <c r="G378" s="46"/>
      <c r="J378"/>
      <c r="K378" s="47"/>
      <c r="L378"/>
      <c r="O378" s="23"/>
    </row>
    <row r="379" spans="1:16" x14ac:dyDescent="0.35">
      <c r="B379" s="18"/>
      <c r="F379"/>
      <c r="G379" s="46"/>
      <c r="J379"/>
      <c r="K379" s="47"/>
      <c r="L379"/>
      <c r="O379" s="23"/>
    </row>
    <row r="380" spans="1:16" x14ac:dyDescent="0.35">
      <c r="B380" s="18"/>
      <c r="F380"/>
      <c r="G380" s="46"/>
      <c r="J380"/>
      <c r="K380" s="47"/>
      <c r="L380"/>
      <c r="O380" s="23"/>
    </row>
    <row r="381" spans="1:16" x14ac:dyDescent="0.35">
      <c r="B381" s="18"/>
      <c r="F381"/>
      <c r="G381" s="46"/>
      <c r="J381"/>
      <c r="K381" s="47"/>
      <c r="L381"/>
      <c r="O381" s="23"/>
    </row>
    <row r="382" spans="1:16" x14ac:dyDescent="0.35">
      <c r="B382" s="18"/>
      <c r="F382"/>
      <c r="G382" s="46"/>
      <c r="J382"/>
      <c r="K382" s="47"/>
      <c r="L382"/>
      <c r="O382" s="23"/>
    </row>
    <row r="383" spans="1:16" x14ac:dyDescent="0.35">
      <c r="B383" s="18"/>
      <c r="F383"/>
      <c r="G383" s="46"/>
      <c r="J383"/>
      <c r="K383" s="47"/>
      <c r="L383"/>
      <c r="O383" s="23"/>
    </row>
    <row r="384" spans="1:16" x14ac:dyDescent="0.35">
      <c r="B384" s="18"/>
      <c r="F384"/>
      <c r="G384" s="46"/>
      <c r="J384"/>
      <c r="K384" s="47"/>
      <c r="L384"/>
      <c r="O384" s="23"/>
    </row>
    <row r="385" spans="2:15" x14ac:dyDescent="0.35">
      <c r="B385" s="18"/>
      <c r="F385"/>
      <c r="G385" s="46"/>
      <c r="J385"/>
      <c r="K385" s="47"/>
      <c r="L385"/>
      <c r="O385" s="23"/>
    </row>
    <row r="386" spans="2:15" x14ac:dyDescent="0.35">
      <c r="B386" s="18"/>
      <c r="F386"/>
      <c r="G386" s="46"/>
      <c r="J386"/>
      <c r="K386" s="47"/>
      <c r="L386"/>
      <c r="O386" s="23"/>
    </row>
    <row r="387" spans="2:15" x14ac:dyDescent="0.35">
      <c r="B387" s="18"/>
      <c r="F387"/>
      <c r="G387" s="46"/>
      <c r="J387"/>
      <c r="K387" s="47"/>
      <c r="L387"/>
      <c r="O387" s="2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F4AD-6FFB-49D6-9A16-6F645316BAF2}">
  <dimension ref="A1:M179"/>
  <sheetViews>
    <sheetView workbookViewId="0">
      <pane ySplit="1" topLeftCell="A161" activePane="bottomLeft" state="frozen"/>
      <selection pane="bottomLeft" activeCell="D173" sqref="D173"/>
    </sheetView>
  </sheetViews>
  <sheetFormatPr baseColWidth="10" defaultRowHeight="14.5" x14ac:dyDescent="0.35"/>
  <cols>
    <col min="1" max="1" width="5.54296875" style="1" customWidth="1"/>
    <col min="2" max="2" width="24.1796875" style="11" customWidth="1"/>
    <col min="3" max="3" width="10.90625" style="11"/>
    <col min="4" max="4" width="22.36328125" style="11" customWidth="1"/>
    <col min="5" max="5" width="10.90625" style="11" customWidth="1"/>
    <col min="6" max="7" width="10.90625" style="11"/>
    <col min="8" max="8" width="11" style="45" bestFit="1" customWidth="1"/>
    <col min="9" max="9" width="21.6328125" style="20" customWidth="1"/>
    <col min="10" max="10" width="33.6328125" style="11" customWidth="1"/>
    <col min="11" max="11" width="16.453125" style="11" customWidth="1"/>
    <col min="12" max="12" width="27.7265625" style="11" customWidth="1"/>
    <col min="13" max="13" width="20.6328125" style="11" customWidth="1"/>
  </cols>
  <sheetData>
    <row r="1" spans="1:13" x14ac:dyDescent="0.35">
      <c r="A1" s="7" t="s">
        <v>413</v>
      </c>
      <c r="B1" s="9" t="s">
        <v>412</v>
      </c>
      <c r="C1" s="9" t="s">
        <v>414</v>
      </c>
      <c r="D1" s="8" t="s">
        <v>0</v>
      </c>
      <c r="E1" s="9" t="s">
        <v>100</v>
      </c>
      <c r="F1" s="9" t="s">
        <v>101</v>
      </c>
      <c r="G1" s="9" t="s">
        <v>102</v>
      </c>
      <c r="H1" s="44" t="s">
        <v>103</v>
      </c>
      <c r="I1" s="19" t="s">
        <v>104</v>
      </c>
      <c r="J1" s="9" t="s">
        <v>105</v>
      </c>
      <c r="K1" s="9" t="s">
        <v>106</v>
      </c>
      <c r="L1" s="8" t="s">
        <v>107</v>
      </c>
      <c r="M1" s="9" t="s">
        <v>7</v>
      </c>
    </row>
    <row r="2" spans="1:13" x14ac:dyDescent="0.35">
      <c r="A2" s="1">
        <v>2</v>
      </c>
      <c r="B2" s="10" t="s">
        <v>112</v>
      </c>
      <c r="C2" s="11" t="s">
        <v>109</v>
      </c>
      <c r="D2" s="11" t="str">
        <f>VLOOKUP(C2,Referencia!$A$2:$B$13,2,0)</f>
        <v>Sabana Norte</v>
      </c>
      <c r="E2" s="11" t="s">
        <v>110</v>
      </c>
      <c r="F2" s="11" t="s">
        <v>113</v>
      </c>
      <c r="G2" s="11" t="s">
        <v>111</v>
      </c>
      <c r="H2" s="45">
        <v>2500000</v>
      </c>
      <c r="I2" s="20">
        <v>45848</v>
      </c>
    </row>
    <row r="3" spans="1:13" x14ac:dyDescent="0.35">
      <c r="A3" s="1">
        <v>35</v>
      </c>
      <c r="B3" s="10" t="s">
        <v>173</v>
      </c>
      <c r="C3" s="11" t="s">
        <v>174</v>
      </c>
      <c r="D3" s="11" t="str">
        <f>VLOOKUP(C3,Referencia!$A$2:$B$13,2,0)</f>
        <v>Sabana Norte</v>
      </c>
      <c r="E3" s="11" t="s">
        <v>110</v>
      </c>
      <c r="G3" s="11" t="s">
        <v>111</v>
      </c>
      <c r="H3" s="45">
        <v>530000</v>
      </c>
      <c r="L3" s="10" t="s">
        <v>175</v>
      </c>
    </row>
    <row r="4" spans="1:13" x14ac:dyDescent="0.35">
      <c r="A4" s="1">
        <v>3</v>
      </c>
      <c r="B4" s="10" t="s">
        <v>115</v>
      </c>
      <c r="C4" s="11" t="s">
        <v>82</v>
      </c>
      <c r="D4" s="11" t="str">
        <f>VLOOKUP(C4,Referencia!$A$2:$B$13,2,0)</f>
        <v>Occidente</v>
      </c>
      <c r="E4" s="11" t="s">
        <v>110</v>
      </c>
      <c r="F4" s="11" t="s">
        <v>113</v>
      </c>
      <c r="G4" s="11" t="s">
        <v>111</v>
      </c>
      <c r="H4" s="45">
        <v>2090000</v>
      </c>
      <c r="I4" s="20" t="s">
        <v>116</v>
      </c>
      <c r="L4" s="10" t="s">
        <v>117</v>
      </c>
    </row>
    <row r="5" spans="1:13" x14ac:dyDescent="0.35">
      <c r="A5" s="1">
        <v>4</v>
      </c>
      <c r="B5" s="10" t="s">
        <v>118</v>
      </c>
      <c r="C5" s="11" t="s">
        <v>109</v>
      </c>
      <c r="D5" s="11" t="str">
        <f>VLOOKUP(C5,Referencia!$A$2:$B$13,2,0)</f>
        <v>Sabana Norte</v>
      </c>
      <c r="E5" s="11" t="s">
        <v>119</v>
      </c>
      <c r="G5" s="11" t="s">
        <v>111</v>
      </c>
      <c r="H5" s="45">
        <v>405000</v>
      </c>
      <c r="L5" s="10" t="s">
        <v>120</v>
      </c>
    </row>
    <row r="6" spans="1:13" x14ac:dyDescent="0.35">
      <c r="A6" s="1">
        <v>5</v>
      </c>
      <c r="B6" s="10" t="s">
        <v>121</v>
      </c>
      <c r="C6" s="11" t="s">
        <v>122</v>
      </c>
      <c r="D6" s="11" t="str">
        <f>VLOOKUP(C6,Referencia!$A$2:$B$13,2,0)</f>
        <v>Sabana Noroccidente</v>
      </c>
      <c r="E6" s="11" t="s">
        <v>123</v>
      </c>
      <c r="F6" s="11" t="s">
        <v>124</v>
      </c>
      <c r="G6" s="11" t="s">
        <v>132</v>
      </c>
      <c r="H6" s="45">
        <v>0</v>
      </c>
      <c r="I6" s="20">
        <v>45877</v>
      </c>
      <c r="L6" s="10" t="s">
        <v>125</v>
      </c>
    </row>
    <row r="7" spans="1:13" x14ac:dyDescent="0.35">
      <c r="A7" s="1">
        <v>38</v>
      </c>
      <c r="B7" s="10" t="s">
        <v>179</v>
      </c>
      <c r="C7" s="11" t="s">
        <v>129</v>
      </c>
      <c r="D7" s="11" t="str">
        <f>VLOOKUP(C7,Referencia!$A$2:$B$13,2,0)</f>
        <v>Serrania Majuy</v>
      </c>
      <c r="E7" s="11" t="s">
        <v>110</v>
      </c>
      <c r="G7" s="11" t="s">
        <v>111</v>
      </c>
      <c r="H7" s="45">
        <v>740000</v>
      </c>
      <c r="I7" s="20">
        <v>45882</v>
      </c>
      <c r="L7" s="10" t="s">
        <v>180</v>
      </c>
    </row>
    <row r="8" spans="1:13" x14ac:dyDescent="0.35">
      <c r="A8" s="1">
        <v>7</v>
      </c>
      <c r="B8" s="10" t="s">
        <v>128</v>
      </c>
      <c r="C8" s="11" t="s">
        <v>129</v>
      </c>
      <c r="D8" s="11" t="str">
        <f>VLOOKUP(C8,Referencia!$A$2:$B$13,2,0)</f>
        <v>Serrania Majuy</v>
      </c>
      <c r="E8" s="11" t="s">
        <v>110</v>
      </c>
      <c r="F8" s="11" t="s">
        <v>144</v>
      </c>
      <c r="G8" s="11" t="s">
        <v>111</v>
      </c>
      <c r="H8" s="45">
        <v>690000</v>
      </c>
      <c r="I8" s="20">
        <v>45840</v>
      </c>
      <c r="L8" s="10" t="s">
        <v>130</v>
      </c>
    </row>
    <row r="9" spans="1:13" x14ac:dyDescent="0.35">
      <c r="A9" s="1">
        <v>8</v>
      </c>
      <c r="B9" s="10" t="s">
        <v>131</v>
      </c>
      <c r="C9" s="11" t="s">
        <v>122</v>
      </c>
      <c r="D9" s="11" t="str">
        <f>VLOOKUP(C9,Referencia!$A$2:$B$13,2,0)</f>
        <v>Sabana Noroccidente</v>
      </c>
      <c r="E9" s="11" t="s">
        <v>123</v>
      </c>
      <c r="G9" s="11" t="s">
        <v>111</v>
      </c>
      <c r="H9" s="45">
        <v>230000</v>
      </c>
      <c r="K9" s="11" t="s">
        <v>133</v>
      </c>
    </row>
    <row r="10" spans="1:13" x14ac:dyDescent="0.35">
      <c r="A10" s="1">
        <v>9</v>
      </c>
      <c r="B10" s="10" t="s">
        <v>50</v>
      </c>
      <c r="C10" s="11" t="s">
        <v>122</v>
      </c>
      <c r="D10" s="11" t="str">
        <f>VLOOKUP(C10,Referencia!$A$2:$B$13,2,0)</f>
        <v>Sabana Noroccidente</v>
      </c>
      <c r="E10" s="11" t="s">
        <v>110</v>
      </c>
      <c r="F10" s="11" t="s">
        <v>134</v>
      </c>
      <c r="G10" s="11" t="s">
        <v>111</v>
      </c>
      <c r="H10" s="45">
        <v>400000</v>
      </c>
      <c r="I10" s="20">
        <v>45870</v>
      </c>
      <c r="J10" s="11" t="s">
        <v>136</v>
      </c>
      <c r="L10" s="10" t="s">
        <v>137</v>
      </c>
    </row>
    <row r="11" spans="1:13" x14ac:dyDescent="0.35">
      <c r="A11" s="1">
        <v>10</v>
      </c>
      <c r="B11" s="10" t="s">
        <v>138</v>
      </c>
      <c r="C11" s="11" t="s">
        <v>122</v>
      </c>
      <c r="D11" s="11" t="str">
        <f>VLOOKUP(C11,Referencia!$A$2:$B$13,2,0)</f>
        <v>Sabana Noroccidente</v>
      </c>
      <c r="E11" s="11" t="s">
        <v>110</v>
      </c>
      <c r="F11" s="11" t="s">
        <v>113</v>
      </c>
      <c r="G11" s="11" t="s">
        <v>111</v>
      </c>
      <c r="H11" s="45">
        <v>300000</v>
      </c>
      <c r="I11" s="20">
        <v>45879</v>
      </c>
      <c r="J11" s="11" t="s">
        <v>139</v>
      </c>
    </row>
    <row r="12" spans="1:13" x14ac:dyDescent="0.35">
      <c r="A12" s="1">
        <v>11</v>
      </c>
      <c r="B12" s="10" t="s">
        <v>529</v>
      </c>
      <c r="C12" s="11" t="s">
        <v>140</v>
      </c>
      <c r="D12" s="11" t="str">
        <f>VLOOKUP(C12,Referencia!$A$2:$B$13,2,0)</f>
        <v>Sabana Noroccidente</v>
      </c>
      <c r="E12" s="11" t="s">
        <v>119</v>
      </c>
      <c r="G12" s="11" t="s">
        <v>111</v>
      </c>
      <c r="H12" s="45">
        <v>160000</v>
      </c>
      <c r="K12" s="11">
        <v>3154635154</v>
      </c>
    </row>
    <row r="13" spans="1:13" x14ac:dyDescent="0.35">
      <c r="A13" s="1">
        <v>12</v>
      </c>
      <c r="B13" s="10" t="s">
        <v>141</v>
      </c>
      <c r="C13" s="11" t="s">
        <v>122</v>
      </c>
      <c r="D13" s="11" t="str">
        <f>VLOOKUP(C13,Referencia!$A$2:$B$13,2,0)</f>
        <v>Sabana Noroccidente</v>
      </c>
      <c r="E13" s="11" t="s">
        <v>110</v>
      </c>
      <c r="G13" s="11" t="s">
        <v>132</v>
      </c>
      <c r="H13" s="45">
        <v>0</v>
      </c>
      <c r="I13" s="20">
        <v>45884</v>
      </c>
      <c r="L13" s="10" t="s">
        <v>142</v>
      </c>
    </row>
    <row r="14" spans="1:13" x14ac:dyDescent="0.35">
      <c r="A14" s="1">
        <v>13</v>
      </c>
      <c r="B14" s="10" t="s">
        <v>143</v>
      </c>
      <c r="C14" s="11" t="s">
        <v>122</v>
      </c>
      <c r="D14" s="11" t="str">
        <f>VLOOKUP(C14,Referencia!$A$2:$B$13,2,0)</f>
        <v>Sabana Noroccidente</v>
      </c>
      <c r="E14" s="11" t="s">
        <v>110</v>
      </c>
      <c r="F14" s="11" t="s">
        <v>144</v>
      </c>
      <c r="G14" s="11" t="s">
        <v>111</v>
      </c>
      <c r="H14" s="45">
        <v>307000</v>
      </c>
      <c r="J14" s="11" t="s">
        <v>145</v>
      </c>
      <c r="L14" s="10" t="s">
        <v>146</v>
      </c>
    </row>
    <row r="15" spans="1:13" x14ac:dyDescent="0.35">
      <c r="A15" s="1">
        <v>14</v>
      </c>
      <c r="B15" s="10" t="s">
        <v>147</v>
      </c>
      <c r="C15" s="11" t="s">
        <v>140</v>
      </c>
      <c r="D15" s="11" t="str">
        <f>VLOOKUP(C15,Referencia!$A$2:$B$13,2,0)</f>
        <v>Sabana Noroccidente</v>
      </c>
      <c r="E15" s="11" t="s">
        <v>119</v>
      </c>
      <c r="F15" s="11" t="s">
        <v>144</v>
      </c>
      <c r="G15" s="11" t="s">
        <v>111</v>
      </c>
      <c r="H15" s="45">
        <v>279000</v>
      </c>
      <c r="I15" s="20">
        <v>45885</v>
      </c>
      <c r="J15" s="11" t="s">
        <v>148</v>
      </c>
    </row>
    <row r="16" spans="1:13" x14ac:dyDescent="0.35">
      <c r="A16" s="1">
        <v>15</v>
      </c>
      <c r="B16" s="10" t="s">
        <v>96</v>
      </c>
      <c r="C16" s="11" t="s">
        <v>122</v>
      </c>
      <c r="D16" s="11" t="str">
        <f>VLOOKUP(C16,Referencia!$A$2:$B$13,2,0)</f>
        <v>Sabana Noroccidente</v>
      </c>
      <c r="E16" s="11" t="s">
        <v>123</v>
      </c>
      <c r="G16" s="11" t="s">
        <v>111</v>
      </c>
      <c r="H16" s="45">
        <v>1440000</v>
      </c>
      <c r="I16" s="20" t="s">
        <v>135</v>
      </c>
      <c r="K16" s="11" t="s">
        <v>133</v>
      </c>
    </row>
    <row r="17" spans="1:12" x14ac:dyDescent="0.35">
      <c r="A17" s="1">
        <v>16</v>
      </c>
      <c r="B17" s="10" t="s">
        <v>149</v>
      </c>
      <c r="C17" s="11" t="s">
        <v>122</v>
      </c>
      <c r="D17" s="11" t="str">
        <f>VLOOKUP(C17,Referencia!$A$2:$B$13,2,0)</f>
        <v>Sabana Noroccidente</v>
      </c>
      <c r="E17" s="11" t="s">
        <v>110</v>
      </c>
      <c r="F17" s="11" t="s">
        <v>113</v>
      </c>
      <c r="G17" s="11" t="s">
        <v>111</v>
      </c>
      <c r="H17" s="45">
        <v>890000</v>
      </c>
    </row>
    <row r="18" spans="1:12" x14ac:dyDescent="0.35">
      <c r="A18" s="1">
        <v>6</v>
      </c>
      <c r="B18" s="10" t="s">
        <v>126</v>
      </c>
      <c r="C18" s="11" t="s">
        <v>127</v>
      </c>
      <c r="D18" s="11" t="str">
        <f>VLOOKUP(C18,Referencia!$A$2:$B$13,2,0)</f>
        <v>Serrania Majuy</v>
      </c>
      <c r="E18" s="11" t="s">
        <v>110</v>
      </c>
      <c r="G18" s="11" t="s">
        <v>111</v>
      </c>
      <c r="H18" s="45">
        <v>286000</v>
      </c>
      <c r="K18" s="11">
        <v>3223062649</v>
      </c>
    </row>
    <row r="19" spans="1:12" x14ac:dyDescent="0.35">
      <c r="A19" s="1">
        <v>26</v>
      </c>
      <c r="B19" s="10" t="s">
        <v>161</v>
      </c>
      <c r="C19" s="11" t="s">
        <v>127</v>
      </c>
      <c r="D19" s="11" t="str">
        <f>VLOOKUP(C19,Referencia!$A$2:$B$13,2,0)</f>
        <v>Serrania Majuy</v>
      </c>
      <c r="E19" s="11" t="s">
        <v>162</v>
      </c>
      <c r="F19" s="11" t="s">
        <v>144</v>
      </c>
      <c r="G19" s="11" t="s">
        <v>111</v>
      </c>
      <c r="H19" s="45">
        <v>210000</v>
      </c>
    </row>
    <row r="20" spans="1:12" x14ac:dyDescent="0.35">
      <c r="A20" s="1">
        <v>19</v>
      </c>
      <c r="B20" s="10" t="s">
        <v>154</v>
      </c>
      <c r="C20" s="11" t="s">
        <v>82</v>
      </c>
      <c r="D20" s="11" t="str">
        <f>VLOOKUP(C20,Referencia!$A$2:$B$13,2,0)</f>
        <v>Occidente</v>
      </c>
      <c r="E20" s="11" t="s">
        <v>110</v>
      </c>
      <c r="F20" s="11" t="s">
        <v>113</v>
      </c>
      <c r="G20" s="11" t="s">
        <v>111</v>
      </c>
      <c r="H20" s="45">
        <v>190000</v>
      </c>
    </row>
    <row r="21" spans="1:12" x14ac:dyDescent="0.35">
      <c r="A21" s="1">
        <v>20</v>
      </c>
      <c r="B21" s="10" t="s">
        <v>520</v>
      </c>
      <c r="C21" s="11" t="s">
        <v>155</v>
      </c>
      <c r="D21" s="11" t="str">
        <f>VLOOKUP(C21,Referencia!$A$2:$B$13,2,0)</f>
        <v>Sabana Noroccidente</v>
      </c>
      <c r="E21" s="11" t="s">
        <v>110</v>
      </c>
      <c r="G21" s="11" t="s">
        <v>111</v>
      </c>
      <c r="H21" s="45">
        <v>475000</v>
      </c>
      <c r="I21" s="20">
        <v>45885</v>
      </c>
    </row>
    <row r="22" spans="1:12" x14ac:dyDescent="0.35">
      <c r="A22" s="1">
        <v>21</v>
      </c>
      <c r="B22" s="10" t="s">
        <v>156</v>
      </c>
      <c r="C22" s="11" t="s">
        <v>82</v>
      </c>
      <c r="D22" s="11" t="str">
        <f>VLOOKUP(C22,Referencia!$A$2:$B$13,2,0)</f>
        <v>Occidente</v>
      </c>
      <c r="E22" s="11" t="s">
        <v>110</v>
      </c>
      <c r="F22" s="11" t="s">
        <v>113</v>
      </c>
      <c r="G22" s="11" t="s">
        <v>111</v>
      </c>
      <c r="H22" s="45">
        <v>985000</v>
      </c>
      <c r="L22" s="10" t="s">
        <v>157</v>
      </c>
    </row>
    <row r="23" spans="1:12" x14ac:dyDescent="0.35">
      <c r="A23" s="1">
        <v>22</v>
      </c>
      <c r="B23" s="10" t="s">
        <v>461</v>
      </c>
      <c r="C23" s="11" t="s">
        <v>82</v>
      </c>
      <c r="D23" s="11" t="str">
        <f>VLOOKUP(C23,Referencia!$A$2:$B$13,2,0)</f>
        <v>Occidente</v>
      </c>
      <c r="E23" s="11" t="s">
        <v>119</v>
      </c>
      <c r="F23" s="11" t="s">
        <v>113</v>
      </c>
      <c r="G23" s="11" t="s">
        <v>111</v>
      </c>
      <c r="H23" s="45">
        <v>190000</v>
      </c>
      <c r="L23" s="10" t="s">
        <v>158</v>
      </c>
    </row>
    <row r="24" spans="1:12" x14ac:dyDescent="0.35">
      <c r="A24" s="1">
        <v>30</v>
      </c>
      <c r="B24" s="10" t="s">
        <v>166</v>
      </c>
      <c r="C24" s="11" t="s">
        <v>127</v>
      </c>
      <c r="D24" s="11" t="str">
        <f>VLOOKUP(C24,Referencia!$A$2:$B$13,2,0)</f>
        <v>Serrania Majuy</v>
      </c>
      <c r="E24" s="11" t="s">
        <v>119</v>
      </c>
      <c r="F24" s="11" t="s">
        <v>144</v>
      </c>
      <c r="G24" s="11" t="s">
        <v>111</v>
      </c>
      <c r="H24" s="45">
        <v>123000</v>
      </c>
      <c r="I24" s="20" t="s">
        <v>167</v>
      </c>
    </row>
    <row r="25" spans="1:12" x14ac:dyDescent="0.35">
      <c r="A25" s="1">
        <v>24</v>
      </c>
      <c r="B25" s="10" t="s">
        <v>98</v>
      </c>
      <c r="C25" s="11" t="s">
        <v>140</v>
      </c>
      <c r="D25" s="11" t="str">
        <f>VLOOKUP(C25,Referencia!$A$2:$B$13,2,0)</f>
        <v>Sabana Noroccidente</v>
      </c>
      <c r="E25" s="11" t="s">
        <v>162</v>
      </c>
      <c r="G25" s="11" t="s">
        <v>132</v>
      </c>
      <c r="H25" s="45">
        <v>0</v>
      </c>
    </row>
    <row r="26" spans="1:12" x14ac:dyDescent="0.35">
      <c r="A26" s="1">
        <v>25</v>
      </c>
      <c r="B26" s="10" t="s">
        <v>160</v>
      </c>
      <c r="C26" s="11" t="s">
        <v>140</v>
      </c>
      <c r="D26" s="11" t="str">
        <f>VLOOKUP(C26,Referencia!$A$2:$B$13,2,0)</f>
        <v>Sabana Noroccidente</v>
      </c>
      <c r="E26" s="11" t="s">
        <v>123</v>
      </c>
      <c r="G26" s="11" t="s">
        <v>111</v>
      </c>
      <c r="H26" s="45">
        <v>160000</v>
      </c>
    </row>
    <row r="27" spans="1:12" x14ac:dyDescent="0.35">
      <c r="A27" s="1">
        <v>28</v>
      </c>
      <c r="B27" s="10" t="s">
        <v>164</v>
      </c>
      <c r="C27" s="11" t="s">
        <v>129</v>
      </c>
      <c r="D27" s="11" t="str">
        <f>VLOOKUP(C27,Referencia!$A$2:$B$13,2,0)</f>
        <v>Serrania Majuy</v>
      </c>
      <c r="E27" s="11" t="s">
        <v>110</v>
      </c>
      <c r="G27" s="11" t="s">
        <v>111</v>
      </c>
      <c r="H27" s="45">
        <v>18000</v>
      </c>
      <c r="K27" s="11">
        <v>3004995686</v>
      </c>
    </row>
    <row r="28" spans="1:12" x14ac:dyDescent="0.35">
      <c r="A28" s="1">
        <v>1</v>
      </c>
      <c r="B28" s="10" t="s">
        <v>108</v>
      </c>
      <c r="C28" s="11" t="s">
        <v>109</v>
      </c>
      <c r="D28" s="11" t="str">
        <f>VLOOKUP(C28,Referencia!$A$2:$B$13,2,0)</f>
        <v>Sabana Norte</v>
      </c>
      <c r="E28" s="11" t="s">
        <v>110</v>
      </c>
      <c r="G28" s="11" t="s">
        <v>111</v>
      </c>
      <c r="H28" s="45">
        <v>115000</v>
      </c>
      <c r="I28" s="20">
        <v>45848</v>
      </c>
    </row>
    <row r="29" spans="1:12" x14ac:dyDescent="0.35">
      <c r="A29" s="1">
        <v>44</v>
      </c>
      <c r="B29" s="10" t="s">
        <v>459</v>
      </c>
      <c r="C29" s="11" t="s">
        <v>127</v>
      </c>
      <c r="D29" s="11" t="str">
        <f>VLOOKUP(C29,Referencia!$A$2:$B$13,2,0)</f>
        <v>Serrania Majuy</v>
      </c>
      <c r="E29" s="11" t="s">
        <v>123</v>
      </c>
      <c r="G29" s="11" t="s">
        <v>111</v>
      </c>
      <c r="H29" s="45">
        <v>75000</v>
      </c>
      <c r="I29" s="20">
        <v>45840</v>
      </c>
    </row>
    <row r="30" spans="1:12" x14ac:dyDescent="0.35">
      <c r="A30" s="1">
        <v>49</v>
      </c>
      <c r="B30" s="10" t="s">
        <v>192</v>
      </c>
      <c r="C30" s="11" t="s">
        <v>416</v>
      </c>
      <c r="D30" s="11" t="str">
        <f>VLOOKUP(C30,Referencia!$A$2:$B$13,2,0)</f>
        <v>Sabana Norte</v>
      </c>
      <c r="G30" s="11" t="s">
        <v>111</v>
      </c>
      <c r="H30" s="45">
        <v>90000</v>
      </c>
      <c r="I30" s="20">
        <v>45883</v>
      </c>
      <c r="L30" s="10" t="s">
        <v>193</v>
      </c>
    </row>
    <row r="31" spans="1:12" x14ac:dyDescent="0.35">
      <c r="A31" s="1">
        <v>18</v>
      </c>
      <c r="B31" s="10" t="s">
        <v>153</v>
      </c>
      <c r="C31" s="11" t="s">
        <v>129</v>
      </c>
      <c r="D31" s="11" t="str">
        <f>VLOOKUP(C31,Referencia!$A$2:$B$13,2,0)</f>
        <v>Serrania Majuy</v>
      </c>
      <c r="E31" s="11" t="s">
        <v>119</v>
      </c>
      <c r="F31" s="11" t="s">
        <v>144</v>
      </c>
      <c r="G31" s="11" t="s">
        <v>111</v>
      </c>
      <c r="H31" s="45">
        <v>0</v>
      </c>
    </row>
    <row r="32" spans="1:12" x14ac:dyDescent="0.35">
      <c r="A32" s="1">
        <v>31</v>
      </c>
      <c r="B32" s="10" t="s">
        <v>168</v>
      </c>
      <c r="C32" s="11" t="s">
        <v>109</v>
      </c>
      <c r="D32" s="11" t="str">
        <f>VLOOKUP(C32,Referencia!$A$2:$B$13,2,0)</f>
        <v>Sabana Norte</v>
      </c>
      <c r="E32" s="11" t="s">
        <v>110</v>
      </c>
      <c r="G32" s="11" t="s">
        <v>111</v>
      </c>
      <c r="H32" s="45">
        <v>90000</v>
      </c>
    </row>
    <row r="33" spans="1:12" x14ac:dyDescent="0.35">
      <c r="A33" s="1">
        <v>17</v>
      </c>
      <c r="B33" s="10" t="s">
        <v>150</v>
      </c>
      <c r="C33" s="11" t="s">
        <v>127</v>
      </c>
      <c r="D33" s="11" t="str">
        <f>VLOOKUP(C33,Referencia!$A$2:$B$13,2,0)</f>
        <v>Serrania Majuy</v>
      </c>
      <c r="E33" s="11" t="s">
        <v>119</v>
      </c>
      <c r="G33" s="11" t="s">
        <v>132</v>
      </c>
      <c r="H33" s="45">
        <v>0</v>
      </c>
      <c r="L33" s="10" t="s">
        <v>152</v>
      </c>
    </row>
    <row r="34" spans="1:12" x14ac:dyDescent="0.35">
      <c r="A34" s="1">
        <v>33</v>
      </c>
      <c r="B34" s="10" t="s">
        <v>171</v>
      </c>
      <c r="C34" s="11" t="s">
        <v>82</v>
      </c>
      <c r="D34" s="11" t="str">
        <f>VLOOKUP(C34,Referencia!$A$2:$B$13,2,0)</f>
        <v>Occidente</v>
      </c>
      <c r="E34" s="11" t="s">
        <v>119</v>
      </c>
      <c r="F34" s="11" t="s">
        <v>113</v>
      </c>
      <c r="G34" s="11" t="s">
        <v>111</v>
      </c>
      <c r="H34" s="45">
        <v>55000</v>
      </c>
      <c r="L34" s="10" t="s">
        <v>158</v>
      </c>
    </row>
    <row r="35" spans="1:12" x14ac:dyDescent="0.35">
      <c r="A35" s="1">
        <v>34</v>
      </c>
      <c r="B35" s="10" t="s">
        <v>172</v>
      </c>
      <c r="C35" s="11" t="s">
        <v>122</v>
      </c>
      <c r="D35" s="11" t="str">
        <f>VLOOKUP(C35,Referencia!$A$2:$B$13,2,0)</f>
        <v>Sabana Noroccidente</v>
      </c>
      <c r="E35" s="11" t="s">
        <v>119</v>
      </c>
      <c r="G35" s="11" t="s">
        <v>111</v>
      </c>
      <c r="H35" s="45">
        <v>170000</v>
      </c>
    </row>
    <row r="36" spans="1:12" x14ac:dyDescent="0.35">
      <c r="A36" s="1">
        <v>29</v>
      </c>
      <c r="B36" s="10" t="s">
        <v>440</v>
      </c>
      <c r="C36" s="11" t="s">
        <v>416</v>
      </c>
      <c r="D36" s="11" t="str">
        <f>VLOOKUP(C36,Referencia!$A$2:$B$13,2,0)</f>
        <v>Sabana Norte</v>
      </c>
      <c r="E36" s="11" t="s">
        <v>110</v>
      </c>
      <c r="G36" s="11" t="s">
        <v>132</v>
      </c>
      <c r="H36" s="45">
        <v>0</v>
      </c>
      <c r="I36" s="20" t="s">
        <v>165</v>
      </c>
    </row>
    <row r="37" spans="1:12" x14ac:dyDescent="0.35">
      <c r="A37" s="1">
        <v>23</v>
      </c>
      <c r="B37" s="10" t="s">
        <v>480</v>
      </c>
      <c r="C37" s="11" t="s">
        <v>129</v>
      </c>
      <c r="D37" s="11" t="str">
        <f>VLOOKUP(C37,Referencia!$A$2:$B$13,2,0)</f>
        <v>Serrania Majuy</v>
      </c>
      <c r="E37" s="11" t="s">
        <v>110</v>
      </c>
      <c r="F37" s="11" t="s">
        <v>113</v>
      </c>
      <c r="G37" s="11" t="s">
        <v>132</v>
      </c>
      <c r="H37" s="45">
        <v>0</v>
      </c>
      <c r="I37" s="20">
        <v>45847</v>
      </c>
      <c r="L37" s="10" t="s">
        <v>159</v>
      </c>
    </row>
    <row r="38" spans="1:12" x14ac:dyDescent="0.35">
      <c r="A38" s="1">
        <v>36</v>
      </c>
      <c r="B38" s="10" t="s">
        <v>176</v>
      </c>
      <c r="C38" s="11" t="s">
        <v>127</v>
      </c>
      <c r="D38" s="11" t="str">
        <f>VLOOKUP(C38,Referencia!$A$2:$B$13,2,0)</f>
        <v>Serrania Majuy</v>
      </c>
      <c r="E38" s="11" t="s">
        <v>119</v>
      </c>
      <c r="G38" s="11" t="s">
        <v>132</v>
      </c>
      <c r="H38" s="45">
        <v>0</v>
      </c>
      <c r="L38" s="10" t="s">
        <v>177</v>
      </c>
    </row>
    <row r="39" spans="1:12" x14ac:dyDescent="0.35">
      <c r="A39" s="1">
        <v>37</v>
      </c>
      <c r="B39" s="10" t="s">
        <v>178</v>
      </c>
      <c r="C39" s="11" t="s">
        <v>127</v>
      </c>
      <c r="D39" s="11" t="str">
        <f>VLOOKUP(C39,Referencia!$A$2:$B$13,2,0)</f>
        <v>Serrania Majuy</v>
      </c>
      <c r="E39" s="11" t="s">
        <v>110</v>
      </c>
      <c r="G39" s="11" t="s">
        <v>132</v>
      </c>
      <c r="H39" s="45">
        <v>0</v>
      </c>
      <c r="I39" s="20">
        <v>45826</v>
      </c>
      <c r="K39" s="11">
        <v>3203707538</v>
      </c>
    </row>
    <row r="40" spans="1:12" x14ac:dyDescent="0.35">
      <c r="A40" s="1">
        <v>39</v>
      </c>
      <c r="B40" s="10" t="s">
        <v>181</v>
      </c>
      <c r="C40" s="11" t="s">
        <v>127</v>
      </c>
      <c r="D40" s="11" t="str">
        <f>VLOOKUP(C40,Referencia!$A$2:$B$13,2,0)</f>
        <v>Serrania Majuy</v>
      </c>
      <c r="E40" s="11" t="s">
        <v>119</v>
      </c>
      <c r="G40" s="11" t="s">
        <v>132</v>
      </c>
      <c r="H40" s="45">
        <v>0</v>
      </c>
      <c r="L40" s="10" t="s">
        <v>182</v>
      </c>
    </row>
    <row r="41" spans="1:12" x14ac:dyDescent="0.35">
      <c r="A41" s="1">
        <v>40</v>
      </c>
      <c r="B41" s="10" t="s">
        <v>183</v>
      </c>
      <c r="C41" s="11" t="s">
        <v>129</v>
      </c>
      <c r="D41" s="11" t="str">
        <f>VLOOKUP(C41,Referencia!$A$2:$B$13,2,0)</f>
        <v>Serrania Majuy</v>
      </c>
      <c r="E41" s="11" t="s">
        <v>119</v>
      </c>
      <c r="G41" s="11" t="s">
        <v>132</v>
      </c>
      <c r="H41" s="45">
        <v>0</v>
      </c>
    </row>
    <row r="42" spans="1:12" x14ac:dyDescent="0.35">
      <c r="A42" s="1">
        <v>41</v>
      </c>
      <c r="B42" s="10" t="s">
        <v>184</v>
      </c>
      <c r="C42" s="11" t="s">
        <v>82</v>
      </c>
      <c r="D42" s="11" t="str">
        <f>VLOOKUP(C42,Referencia!$A$2:$B$13,2,0)</f>
        <v>Occidente</v>
      </c>
      <c r="E42" s="11" t="s">
        <v>110</v>
      </c>
      <c r="G42" s="11" t="s">
        <v>132</v>
      </c>
    </row>
    <row r="43" spans="1:12" x14ac:dyDescent="0.35">
      <c r="A43" s="1">
        <v>42</v>
      </c>
      <c r="B43" s="10" t="s">
        <v>185</v>
      </c>
      <c r="C43" s="11" t="s">
        <v>82</v>
      </c>
      <c r="D43" s="11" t="str">
        <f>VLOOKUP(C43,Referencia!$A$2:$B$13,2,0)</f>
        <v>Occidente</v>
      </c>
      <c r="E43" s="11" t="s">
        <v>119</v>
      </c>
      <c r="G43" s="11" t="s">
        <v>132</v>
      </c>
      <c r="H43" s="45">
        <v>0</v>
      </c>
    </row>
    <row r="44" spans="1:12" x14ac:dyDescent="0.35">
      <c r="A44" s="1">
        <v>43</v>
      </c>
      <c r="B44" s="10" t="s">
        <v>186</v>
      </c>
      <c r="C44" s="11" t="s">
        <v>122</v>
      </c>
      <c r="D44" s="11" t="str">
        <f>VLOOKUP(C44,Referencia!$A$2:$B$13,2,0)</f>
        <v>Sabana Noroccidente</v>
      </c>
      <c r="E44" s="11" t="s">
        <v>123</v>
      </c>
      <c r="G44" s="11" t="s">
        <v>132</v>
      </c>
      <c r="H44" s="45">
        <v>0</v>
      </c>
      <c r="K44" s="11">
        <v>3134905781</v>
      </c>
    </row>
    <row r="45" spans="1:12" x14ac:dyDescent="0.35">
      <c r="A45" s="1">
        <v>45</v>
      </c>
      <c r="B45" s="10" t="s">
        <v>57</v>
      </c>
      <c r="C45" s="11" t="s">
        <v>129</v>
      </c>
      <c r="D45" s="11" t="str">
        <f>VLOOKUP(C45,Referencia!$A$2:$B$13,2,0)</f>
        <v>Serrania Majuy</v>
      </c>
      <c r="E45" s="11" t="s">
        <v>123</v>
      </c>
      <c r="G45" s="11" t="s">
        <v>132</v>
      </c>
      <c r="H45" s="45">
        <v>0</v>
      </c>
      <c r="I45" s="20">
        <v>45826</v>
      </c>
      <c r="K45" s="11">
        <v>3186082395</v>
      </c>
      <c r="L45" s="10" t="s">
        <v>187</v>
      </c>
    </row>
    <row r="46" spans="1:12" x14ac:dyDescent="0.35">
      <c r="A46" s="1">
        <v>47</v>
      </c>
      <c r="B46" s="10" t="s">
        <v>189</v>
      </c>
      <c r="C46" s="11" t="s">
        <v>129</v>
      </c>
      <c r="D46" s="11" t="str">
        <f>VLOOKUP(C46,Referencia!$A$2:$B$13,2,0)</f>
        <v>Serrania Majuy</v>
      </c>
      <c r="E46" s="11" t="s">
        <v>119</v>
      </c>
      <c r="G46" s="11" t="s">
        <v>132</v>
      </c>
      <c r="H46" s="45">
        <v>0</v>
      </c>
      <c r="L46" s="10" t="s">
        <v>190</v>
      </c>
    </row>
    <row r="47" spans="1:12" x14ac:dyDescent="0.35">
      <c r="A47" s="1">
        <v>179</v>
      </c>
      <c r="B47" s="11" t="s">
        <v>518</v>
      </c>
      <c r="C47" s="11" t="s">
        <v>416</v>
      </c>
      <c r="D47" s="11" t="str">
        <f>VLOOKUP(C47,Referencia!$A$2:$B$13,2,0)</f>
        <v>Sabana Norte</v>
      </c>
      <c r="E47" s="11" t="s">
        <v>110</v>
      </c>
      <c r="G47" s="11" t="s">
        <v>111</v>
      </c>
      <c r="H47" s="45">
        <v>20000</v>
      </c>
      <c r="I47" s="20">
        <v>45841</v>
      </c>
    </row>
    <row r="48" spans="1:12" x14ac:dyDescent="0.35">
      <c r="A48" s="1">
        <v>50</v>
      </c>
      <c r="B48" s="10" t="s">
        <v>194</v>
      </c>
      <c r="C48" s="11" t="s">
        <v>127</v>
      </c>
      <c r="D48" s="11" t="str">
        <f>VLOOKUP(C48,Referencia!$A$2:$B$13,2,0)</f>
        <v>Serrania Majuy</v>
      </c>
      <c r="E48" s="11" t="s">
        <v>162</v>
      </c>
      <c r="G48" s="11" t="s">
        <v>132</v>
      </c>
      <c r="H48" s="45">
        <v>0</v>
      </c>
    </row>
    <row r="49" spans="1:12" x14ac:dyDescent="0.35">
      <c r="A49" s="1">
        <v>27</v>
      </c>
      <c r="B49" s="10" t="s">
        <v>163</v>
      </c>
      <c r="C49" s="11" t="s">
        <v>416</v>
      </c>
      <c r="D49" s="11" t="str">
        <f>VLOOKUP(C49,Referencia!$A$2:$B$13,2,0)</f>
        <v>Sabana Norte</v>
      </c>
      <c r="E49" s="11" t="s">
        <v>123</v>
      </c>
      <c r="F49" s="11" t="s">
        <v>151</v>
      </c>
      <c r="G49" s="11" t="s">
        <v>132</v>
      </c>
      <c r="H49" s="45">
        <v>0</v>
      </c>
      <c r="I49" s="20" t="s">
        <v>114</v>
      </c>
    </row>
    <row r="50" spans="1:12" x14ac:dyDescent="0.35">
      <c r="A50" s="1">
        <v>48</v>
      </c>
      <c r="B50" s="10" t="s">
        <v>191</v>
      </c>
      <c r="C50" s="11" t="s">
        <v>416</v>
      </c>
      <c r="D50" s="11" t="str">
        <f>VLOOKUP(C50,Referencia!$A$2:$B$13,2,0)</f>
        <v>Sabana Norte</v>
      </c>
      <c r="E50" s="11" t="s">
        <v>119</v>
      </c>
      <c r="G50" s="11" t="s">
        <v>132</v>
      </c>
      <c r="H50" s="45">
        <v>0</v>
      </c>
    </row>
    <row r="51" spans="1:12" x14ac:dyDescent="0.35">
      <c r="A51" s="1">
        <v>56</v>
      </c>
      <c r="B51" s="10" t="s">
        <v>203</v>
      </c>
      <c r="C51" s="11" t="s">
        <v>129</v>
      </c>
      <c r="D51" s="11" t="str">
        <f>VLOOKUP(C51,Referencia!$A$2:$B$13,2,0)</f>
        <v>Serrania Majuy</v>
      </c>
      <c r="E51" s="11" t="s">
        <v>119</v>
      </c>
      <c r="G51" s="11" t="s">
        <v>132</v>
      </c>
      <c r="H51" s="45">
        <v>0</v>
      </c>
    </row>
    <row r="52" spans="1:12" x14ac:dyDescent="0.35">
      <c r="A52" s="1">
        <v>51</v>
      </c>
      <c r="B52" s="10" t="s">
        <v>195</v>
      </c>
      <c r="C52" s="11" t="s">
        <v>109</v>
      </c>
      <c r="D52" s="11" t="str">
        <f>VLOOKUP(C52,Referencia!$A$2:$B$13,2,0)</f>
        <v>Sabana Norte</v>
      </c>
      <c r="E52" s="11" t="s">
        <v>119</v>
      </c>
      <c r="G52" s="11" t="s">
        <v>132</v>
      </c>
      <c r="H52" s="45">
        <v>0</v>
      </c>
    </row>
    <row r="53" spans="1:12" x14ac:dyDescent="0.35">
      <c r="A53" s="1">
        <v>52</v>
      </c>
      <c r="B53" s="10" t="s">
        <v>196</v>
      </c>
      <c r="C53" s="11" t="s">
        <v>109</v>
      </c>
      <c r="D53" s="11" t="str">
        <f>VLOOKUP(C53,Referencia!$A$2:$B$13,2,0)</f>
        <v>Sabana Norte</v>
      </c>
      <c r="E53" s="11" t="s">
        <v>162</v>
      </c>
      <c r="G53" s="11" t="s">
        <v>132</v>
      </c>
      <c r="H53" s="45">
        <v>0</v>
      </c>
      <c r="L53" s="10" t="s">
        <v>120</v>
      </c>
    </row>
    <row r="54" spans="1:12" x14ac:dyDescent="0.35">
      <c r="A54" s="1">
        <v>53</v>
      </c>
      <c r="B54" s="10" t="s">
        <v>197</v>
      </c>
      <c r="C54" s="11" t="s">
        <v>122</v>
      </c>
      <c r="D54" s="11" t="str">
        <f>VLOOKUP(C54,Referencia!$A$2:$B$13,2,0)</f>
        <v>Sabana Noroccidente</v>
      </c>
      <c r="E54" s="11" t="s">
        <v>110</v>
      </c>
      <c r="G54" s="11" t="s">
        <v>132</v>
      </c>
      <c r="H54" s="45">
        <v>0</v>
      </c>
      <c r="K54" s="11">
        <v>3160531922</v>
      </c>
      <c r="L54" s="10" t="s">
        <v>198</v>
      </c>
    </row>
    <row r="55" spans="1:12" x14ac:dyDescent="0.35">
      <c r="A55" s="1">
        <v>54</v>
      </c>
      <c r="B55" s="10" t="s">
        <v>199</v>
      </c>
      <c r="C55" s="11" t="s">
        <v>174</v>
      </c>
      <c r="D55" s="11" t="str">
        <f>VLOOKUP(C55,Referencia!$A$2:$B$13,2,0)</f>
        <v>Sabana Norte</v>
      </c>
      <c r="E55" s="11" t="s">
        <v>110</v>
      </c>
      <c r="G55" s="11" t="s">
        <v>132</v>
      </c>
      <c r="H55" s="45">
        <v>0</v>
      </c>
      <c r="L55" s="10" t="s">
        <v>200</v>
      </c>
    </row>
    <row r="56" spans="1:12" x14ac:dyDescent="0.35">
      <c r="A56" s="1">
        <v>55</v>
      </c>
      <c r="B56" s="10" t="s">
        <v>201</v>
      </c>
      <c r="C56" s="11" t="s">
        <v>140</v>
      </c>
      <c r="D56" s="11" t="str">
        <f>VLOOKUP(C56,Referencia!$A$2:$B$13,2,0)</f>
        <v>Sabana Noroccidente</v>
      </c>
      <c r="E56" s="11" t="s">
        <v>110</v>
      </c>
      <c r="G56" s="11" t="s">
        <v>132</v>
      </c>
      <c r="H56" s="45">
        <v>0</v>
      </c>
      <c r="K56" s="11" t="s">
        <v>202</v>
      </c>
    </row>
    <row r="57" spans="1:12" x14ac:dyDescent="0.35">
      <c r="A57" s="1">
        <v>60</v>
      </c>
      <c r="B57" s="10" t="s">
        <v>208</v>
      </c>
      <c r="C57" s="11" t="s">
        <v>129</v>
      </c>
      <c r="D57" s="11" t="str">
        <f>VLOOKUP(C57,Referencia!$A$2:$B$13,2,0)</f>
        <v>Serrania Majuy</v>
      </c>
      <c r="E57" s="11" t="s">
        <v>119</v>
      </c>
      <c r="G57" s="11" t="s">
        <v>132</v>
      </c>
      <c r="H57" s="45">
        <v>0</v>
      </c>
    </row>
    <row r="58" spans="1:12" x14ac:dyDescent="0.35">
      <c r="A58" s="1">
        <v>57</v>
      </c>
      <c r="B58" s="10" t="s">
        <v>204</v>
      </c>
      <c r="C58" s="11" t="s">
        <v>82</v>
      </c>
      <c r="D58" s="11" t="str">
        <f>VLOOKUP(C58,Referencia!$A$2:$B$13,2,0)</f>
        <v>Occidente</v>
      </c>
      <c r="E58" s="11" t="s">
        <v>119</v>
      </c>
      <c r="G58" s="11" t="s">
        <v>132</v>
      </c>
      <c r="H58" s="45">
        <v>0</v>
      </c>
      <c r="L58" s="10" t="s">
        <v>205</v>
      </c>
    </row>
    <row r="59" spans="1:12" x14ac:dyDescent="0.35">
      <c r="A59" s="1">
        <v>58</v>
      </c>
      <c r="B59" s="10" t="s">
        <v>206</v>
      </c>
      <c r="C59" s="11" t="s">
        <v>82</v>
      </c>
      <c r="D59" s="11" t="str">
        <f>VLOOKUP(C59,Referencia!$A$2:$B$13,2,0)</f>
        <v>Occidente</v>
      </c>
      <c r="E59" s="11" t="s">
        <v>162</v>
      </c>
      <c r="G59" s="11" t="s">
        <v>132</v>
      </c>
      <c r="H59" s="45">
        <v>0</v>
      </c>
      <c r="L59" s="10" t="s">
        <v>117</v>
      </c>
    </row>
    <row r="60" spans="1:12" x14ac:dyDescent="0.35">
      <c r="A60" s="1">
        <v>59</v>
      </c>
      <c r="B60" s="10" t="s">
        <v>207</v>
      </c>
      <c r="C60" s="11" t="s">
        <v>122</v>
      </c>
      <c r="D60" s="11" t="str">
        <f>VLOOKUP(C60,Referencia!$A$2:$B$13,2,0)</f>
        <v>Sabana Noroccidente</v>
      </c>
      <c r="E60" s="11" t="s">
        <v>162</v>
      </c>
      <c r="G60" s="11" t="s">
        <v>132</v>
      </c>
      <c r="H60" s="45">
        <v>0</v>
      </c>
    </row>
    <row r="61" spans="1:12" x14ac:dyDescent="0.35">
      <c r="A61" s="1">
        <v>61</v>
      </c>
      <c r="B61" s="10" t="s">
        <v>209</v>
      </c>
      <c r="C61" s="11" t="s">
        <v>127</v>
      </c>
      <c r="D61" s="11" t="str">
        <f>VLOOKUP(C61,Referencia!$A$2:$B$13,2,0)</f>
        <v>Serrania Majuy</v>
      </c>
      <c r="E61" s="11" t="s">
        <v>110</v>
      </c>
      <c r="G61" s="11" t="s">
        <v>132</v>
      </c>
      <c r="H61" s="45">
        <v>0</v>
      </c>
      <c r="K61" s="11">
        <v>3112900212</v>
      </c>
    </row>
    <row r="62" spans="1:12" x14ac:dyDescent="0.35">
      <c r="A62" s="1">
        <v>74</v>
      </c>
      <c r="B62" s="10" t="s">
        <v>229</v>
      </c>
      <c r="C62" s="11" t="s">
        <v>129</v>
      </c>
      <c r="D62" s="11" t="str">
        <f>VLOOKUP(C62,Referencia!$A$2:$B$13,2,0)</f>
        <v>Serrania Majuy</v>
      </c>
      <c r="E62" s="11" t="s">
        <v>162</v>
      </c>
      <c r="F62" s="11" t="s">
        <v>144</v>
      </c>
      <c r="G62" s="11" t="s">
        <v>132</v>
      </c>
      <c r="H62" s="45">
        <v>0</v>
      </c>
      <c r="K62" s="11" t="s">
        <v>230</v>
      </c>
      <c r="L62" s="10" t="s">
        <v>231</v>
      </c>
    </row>
    <row r="63" spans="1:12" x14ac:dyDescent="0.35">
      <c r="A63" s="1">
        <v>62</v>
      </c>
      <c r="B63" s="10" t="s">
        <v>210</v>
      </c>
      <c r="C63" s="11" t="s">
        <v>416</v>
      </c>
      <c r="D63" s="11" t="str">
        <f>VLOOKUP(C63,Referencia!$A$2:$B$13,2,0)</f>
        <v>Sabana Norte</v>
      </c>
      <c r="E63" s="11" t="s">
        <v>119</v>
      </c>
      <c r="G63" s="11" t="s">
        <v>132</v>
      </c>
      <c r="H63" s="45">
        <v>0</v>
      </c>
    </row>
    <row r="64" spans="1:12" x14ac:dyDescent="0.35">
      <c r="A64" s="1">
        <v>63</v>
      </c>
      <c r="B64" s="10" t="s">
        <v>211</v>
      </c>
      <c r="C64" s="11" t="s">
        <v>416</v>
      </c>
      <c r="D64" s="11" t="str">
        <f>VLOOKUP(C64,Referencia!$A$2:$B$13,2,0)</f>
        <v>Sabana Norte</v>
      </c>
      <c r="E64" s="11" t="s">
        <v>119</v>
      </c>
      <c r="G64" s="11" t="s">
        <v>132</v>
      </c>
      <c r="H64" s="45">
        <v>0</v>
      </c>
      <c r="L64" s="10" t="s">
        <v>212</v>
      </c>
    </row>
    <row r="65" spans="1:12" x14ac:dyDescent="0.35">
      <c r="A65" s="1">
        <v>64</v>
      </c>
      <c r="B65" s="10" t="s">
        <v>213</v>
      </c>
      <c r="C65" s="11" t="s">
        <v>122</v>
      </c>
      <c r="D65" s="11" t="str">
        <f>VLOOKUP(C65,Referencia!$A$2:$B$13,2,0)</f>
        <v>Sabana Noroccidente</v>
      </c>
      <c r="E65" s="11" t="s">
        <v>123</v>
      </c>
      <c r="G65" s="11" t="s">
        <v>111</v>
      </c>
      <c r="H65" s="45">
        <v>100000</v>
      </c>
      <c r="I65" s="20">
        <v>45856</v>
      </c>
      <c r="L65" s="10" t="s">
        <v>214</v>
      </c>
    </row>
    <row r="66" spans="1:12" x14ac:dyDescent="0.35">
      <c r="A66" s="1">
        <v>66</v>
      </c>
      <c r="B66" s="10" t="s">
        <v>215</v>
      </c>
      <c r="C66" s="11" t="s">
        <v>174</v>
      </c>
      <c r="D66" s="11" t="str">
        <f>VLOOKUP(C66,Referencia!$A$2:$B$13,2,0)</f>
        <v>Sabana Norte</v>
      </c>
      <c r="E66" s="11" t="s">
        <v>123</v>
      </c>
      <c r="G66" s="11" t="s">
        <v>132</v>
      </c>
      <c r="H66" s="45">
        <v>0</v>
      </c>
      <c r="I66" s="20" t="s">
        <v>216</v>
      </c>
      <c r="K66" s="11">
        <v>3208238069</v>
      </c>
    </row>
    <row r="67" spans="1:12" x14ac:dyDescent="0.35">
      <c r="A67" s="1">
        <v>67</v>
      </c>
      <c r="B67" s="10" t="s">
        <v>217</v>
      </c>
      <c r="C67" s="11" t="s">
        <v>82</v>
      </c>
      <c r="D67" s="11" t="str">
        <f>VLOOKUP(C67,Referencia!$A$2:$B$13,2,0)</f>
        <v>Occidente</v>
      </c>
      <c r="E67" s="11" t="s">
        <v>110</v>
      </c>
      <c r="G67" s="11" t="s">
        <v>132</v>
      </c>
      <c r="H67" s="45">
        <v>0</v>
      </c>
    </row>
    <row r="68" spans="1:12" x14ac:dyDescent="0.35">
      <c r="A68" s="1">
        <v>68</v>
      </c>
      <c r="B68" s="10" t="s">
        <v>218</v>
      </c>
      <c r="C68" s="11" t="s">
        <v>82</v>
      </c>
      <c r="D68" s="11" t="str">
        <f>VLOOKUP(C68,Referencia!$A$2:$B$13,2,0)</f>
        <v>Occidente</v>
      </c>
      <c r="E68" s="11" t="s">
        <v>119</v>
      </c>
      <c r="G68" s="11" t="s">
        <v>132</v>
      </c>
      <c r="L68" s="10" t="s">
        <v>219</v>
      </c>
    </row>
    <row r="69" spans="1:12" x14ac:dyDescent="0.35">
      <c r="A69" s="1">
        <v>69</v>
      </c>
      <c r="B69" s="10" t="s">
        <v>220</v>
      </c>
      <c r="C69" s="11" t="s">
        <v>82</v>
      </c>
      <c r="D69" s="11" t="str">
        <f>VLOOKUP(C69,Referencia!$A$2:$B$13,2,0)</f>
        <v>Occidente</v>
      </c>
      <c r="E69" s="11" t="s">
        <v>110</v>
      </c>
      <c r="G69" s="11" t="s">
        <v>132</v>
      </c>
      <c r="L69" s="10" t="s">
        <v>221</v>
      </c>
    </row>
    <row r="70" spans="1:12" x14ac:dyDescent="0.35">
      <c r="A70" s="1">
        <v>70</v>
      </c>
      <c r="B70" s="10" t="s">
        <v>222</v>
      </c>
      <c r="C70" s="11" t="s">
        <v>82</v>
      </c>
      <c r="D70" s="11" t="str">
        <f>VLOOKUP(C70,Referencia!$A$2:$B$13,2,0)</f>
        <v>Occidente</v>
      </c>
      <c r="G70" s="11" t="s">
        <v>132</v>
      </c>
      <c r="L70" s="10" t="s">
        <v>223</v>
      </c>
    </row>
    <row r="71" spans="1:12" x14ac:dyDescent="0.35">
      <c r="A71" s="1">
        <v>71</v>
      </c>
      <c r="B71" s="10" t="s">
        <v>224</v>
      </c>
      <c r="C71" s="11" t="s">
        <v>82</v>
      </c>
      <c r="D71" s="11" t="str">
        <f>VLOOKUP(C71,Referencia!$A$2:$B$13,2,0)</f>
        <v>Occidente</v>
      </c>
      <c r="G71" s="11" t="s">
        <v>132</v>
      </c>
      <c r="L71" s="10" t="s">
        <v>223</v>
      </c>
    </row>
    <row r="72" spans="1:12" x14ac:dyDescent="0.35">
      <c r="A72" s="1">
        <v>76</v>
      </c>
      <c r="B72" s="10" t="s">
        <v>492</v>
      </c>
      <c r="C72" s="11" t="s">
        <v>174</v>
      </c>
      <c r="D72" s="11" t="str">
        <f>VLOOKUP(C72,Referencia!$A$2:$B$13,2,0)</f>
        <v>Sabana Norte</v>
      </c>
      <c r="E72" s="11" t="s">
        <v>110</v>
      </c>
      <c r="G72" s="11" t="s">
        <v>132</v>
      </c>
      <c r="H72" s="45">
        <v>0</v>
      </c>
      <c r="L72" s="10" t="s">
        <v>233</v>
      </c>
    </row>
    <row r="73" spans="1:12" x14ac:dyDescent="0.35">
      <c r="A73" s="1">
        <v>78</v>
      </c>
      <c r="B73" s="10" t="s">
        <v>471</v>
      </c>
      <c r="C73" s="11" t="s">
        <v>174</v>
      </c>
      <c r="D73" s="11" t="str">
        <f>VLOOKUP(C73,Referencia!$A$2:$B$13,2,0)</f>
        <v>Sabana Norte</v>
      </c>
      <c r="E73" s="11" t="s">
        <v>123</v>
      </c>
      <c r="G73" s="11" t="s">
        <v>132</v>
      </c>
      <c r="H73" s="45">
        <v>0</v>
      </c>
      <c r="I73" s="20">
        <v>45869</v>
      </c>
      <c r="K73" s="11">
        <v>3147276956</v>
      </c>
      <c r="L73" s="10" t="s">
        <v>236</v>
      </c>
    </row>
    <row r="74" spans="1:12" x14ac:dyDescent="0.35">
      <c r="A74" s="1">
        <v>86</v>
      </c>
      <c r="B74" s="10" t="s">
        <v>249</v>
      </c>
      <c r="C74" s="11" t="s">
        <v>129</v>
      </c>
      <c r="D74" s="11" t="str">
        <f>VLOOKUP(C74,Referencia!$A$2:$B$13,2,0)</f>
        <v>Serrania Majuy</v>
      </c>
      <c r="E74" s="11" t="s">
        <v>110</v>
      </c>
      <c r="G74" s="11" t="s">
        <v>132</v>
      </c>
      <c r="H74" s="45">
        <v>0</v>
      </c>
      <c r="L74" s="10" t="s">
        <v>250</v>
      </c>
    </row>
    <row r="75" spans="1:12" x14ac:dyDescent="0.35">
      <c r="A75" s="1">
        <v>75</v>
      </c>
      <c r="B75" s="10" t="s">
        <v>232</v>
      </c>
      <c r="C75" s="11" t="s">
        <v>122</v>
      </c>
      <c r="D75" s="11" t="str">
        <f>VLOOKUP(C75,Referencia!$A$2:$B$13,2,0)</f>
        <v>Sabana Noroccidente</v>
      </c>
      <c r="E75" s="11" t="s">
        <v>123</v>
      </c>
      <c r="G75" s="11" t="s">
        <v>132</v>
      </c>
    </row>
    <row r="76" spans="1:12" x14ac:dyDescent="0.35">
      <c r="A76" s="1">
        <v>116</v>
      </c>
      <c r="B76" s="10" t="s">
        <v>309</v>
      </c>
      <c r="C76" s="11" t="s">
        <v>416</v>
      </c>
      <c r="D76" s="11" t="str">
        <f>VLOOKUP(C76,Referencia!$A$2:$B$13,2,0)</f>
        <v>Sabana Norte</v>
      </c>
      <c r="E76" s="11" t="s">
        <v>110</v>
      </c>
      <c r="G76" s="11" t="s">
        <v>132</v>
      </c>
      <c r="H76" s="45">
        <v>0</v>
      </c>
    </row>
    <row r="77" spans="1:12" x14ac:dyDescent="0.35">
      <c r="A77" s="1">
        <v>46</v>
      </c>
      <c r="B77" s="10" t="s">
        <v>188</v>
      </c>
      <c r="C77" s="11" t="s">
        <v>416</v>
      </c>
      <c r="D77" s="11" t="str">
        <f>VLOOKUP(C77,Referencia!$A$2:$B$13,2,0)</f>
        <v>Sabana Norte</v>
      </c>
      <c r="E77" s="11" t="s">
        <v>110</v>
      </c>
      <c r="G77" s="11" t="s">
        <v>132</v>
      </c>
      <c r="L77" s="10" t="s">
        <v>417</v>
      </c>
    </row>
    <row r="78" spans="1:12" x14ac:dyDescent="0.35">
      <c r="A78" s="1">
        <v>72</v>
      </c>
      <c r="B78" s="10" t="s">
        <v>225</v>
      </c>
      <c r="C78" s="11" t="s">
        <v>416</v>
      </c>
      <c r="D78" s="11" t="str">
        <f>VLOOKUP(C78,Referencia!$A$2:$B$13,2,0)</f>
        <v>Sabana Norte</v>
      </c>
      <c r="E78" s="11" t="s">
        <v>110</v>
      </c>
      <c r="G78" s="11" t="s">
        <v>132</v>
      </c>
      <c r="L78" s="10" t="s">
        <v>226</v>
      </c>
    </row>
    <row r="79" spans="1:12" x14ac:dyDescent="0.35">
      <c r="A79" s="1">
        <v>79</v>
      </c>
      <c r="B79" s="10" t="s">
        <v>237</v>
      </c>
      <c r="C79" s="11" t="s">
        <v>82</v>
      </c>
      <c r="D79" s="11" t="str">
        <f>VLOOKUP(C79,Referencia!$A$2:$B$13,2,0)</f>
        <v>Occidente</v>
      </c>
      <c r="E79" s="11" t="s">
        <v>119</v>
      </c>
      <c r="G79" s="11" t="s">
        <v>132</v>
      </c>
      <c r="H79" s="45">
        <v>0</v>
      </c>
    </row>
    <row r="80" spans="1:12" x14ac:dyDescent="0.35">
      <c r="A80" s="1">
        <v>80</v>
      </c>
      <c r="B80" s="10" t="s">
        <v>238</v>
      </c>
      <c r="C80" s="11" t="s">
        <v>155</v>
      </c>
      <c r="D80" s="11" t="str">
        <f>VLOOKUP(C80,Referencia!$A$2:$B$13,2,0)</f>
        <v>Sabana Noroccidente</v>
      </c>
      <c r="E80" s="11" t="s">
        <v>110</v>
      </c>
      <c r="G80" s="11" t="s">
        <v>132</v>
      </c>
      <c r="L80" s="10" t="s">
        <v>239</v>
      </c>
    </row>
    <row r="81" spans="1:13" x14ac:dyDescent="0.35">
      <c r="A81" s="1">
        <v>81</v>
      </c>
      <c r="B81" s="10" t="s">
        <v>240</v>
      </c>
      <c r="C81" s="11" t="s">
        <v>155</v>
      </c>
      <c r="D81" s="11" t="str">
        <f>VLOOKUP(C81,Referencia!$A$2:$B$13,2,0)</f>
        <v>Sabana Noroccidente</v>
      </c>
      <c r="E81" s="11" t="s">
        <v>119</v>
      </c>
      <c r="G81" s="11" t="s">
        <v>132</v>
      </c>
      <c r="L81" s="10" t="s">
        <v>241</v>
      </c>
    </row>
    <row r="82" spans="1:13" x14ac:dyDescent="0.35">
      <c r="A82" s="1">
        <v>82</v>
      </c>
      <c r="B82" s="10" t="s">
        <v>242</v>
      </c>
      <c r="C82" s="11" t="s">
        <v>155</v>
      </c>
      <c r="D82" s="11" t="str">
        <f>VLOOKUP(C82,Referencia!$A$2:$B$13,2,0)</f>
        <v>Sabana Noroccidente</v>
      </c>
      <c r="G82" s="11" t="s">
        <v>132</v>
      </c>
      <c r="L82" s="10" t="s">
        <v>243</v>
      </c>
    </row>
    <row r="83" spans="1:13" x14ac:dyDescent="0.35">
      <c r="A83" s="1">
        <v>83</v>
      </c>
      <c r="B83" s="10" t="s">
        <v>244</v>
      </c>
      <c r="C83" s="11" t="s">
        <v>155</v>
      </c>
      <c r="D83" s="11" t="str">
        <f>VLOOKUP(C83,Referencia!$A$2:$B$13,2,0)</f>
        <v>Sabana Noroccidente</v>
      </c>
      <c r="G83" s="11" t="s">
        <v>132</v>
      </c>
    </row>
    <row r="84" spans="1:13" x14ac:dyDescent="0.35">
      <c r="A84" s="1">
        <v>84</v>
      </c>
      <c r="B84" s="10" t="s">
        <v>245</v>
      </c>
      <c r="C84" s="11" t="s">
        <v>122</v>
      </c>
      <c r="D84" s="11" t="str">
        <f>VLOOKUP(C84,Referencia!$A$2:$B$13,2,0)</f>
        <v>Sabana Noroccidente</v>
      </c>
      <c r="G84" s="11" t="s">
        <v>132</v>
      </c>
      <c r="L84" s="10" t="s">
        <v>246</v>
      </c>
    </row>
    <row r="85" spans="1:13" x14ac:dyDescent="0.35">
      <c r="A85" s="1">
        <v>85</v>
      </c>
      <c r="B85" s="10" t="s">
        <v>247</v>
      </c>
      <c r="C85" s="11" t="s">
        <v>122</v>
      </c>
      <c r="D85" s="11" t="str">
        <f>VLOOKUP(C85,Referencia!$A$2:$B$13,2,0)</f>
        <v>Sabana Noroccidente</v>
      </c>
      <c r="E85" s="11" t="s">
        <v>110</v>
      </c>
      <c r="F85" s="11" t="s">
        <v>134</v>
      </c>
      <c r="G85" s="11" t="s">
        <v>132</v>
      </c>
      <c r="L85" s="10" t="s">
        <v>248</v>
      </c>
    </row>
    <row r="86" spans="1:13" x14ac:dyDescent="0.35">
      <c r="A86" s="1">
        <v>87</v>
      </c>
      <c r="B86" s="10" t="s">
        <v>251</v>
      </c>
      <c r="C86" s="11" t="s">
        <v>127</v>
      </c>
      <c r="D86" s="11" t="str">
        <f>VLOOKUP(C86,Referencia!$A$2:$B$13,2,0)</f>
        <v>Serrania Majuy</v>
      </c>
      <c r="E86" s="11" t="s">
        <v>110</v>
      </c>
      <c r="G86" s="11" t="s">
        <v>132</v>
      </c>
      <c r="H86" s="45">
        <v>0</v>
      </c>
    </row>
    <row r="87" spans="1:13" x14ac:dyDescent="0.35">
      <c r="A87" s="1">
        <v>178</v>
      </c>
      <c r="B87" s="11" t="s">
        <v>424</v>
      </c>
      <c r="C87" s="11" t="s">
        <v>127</v>
      </c>
      <c r="D87" s="11" t="str">
        <f>VLOOKUP(C87,Referencia!$A$2:$B$13,2,0)</f>
        <v>Serrania Majuy</v>
      </c>
      <c r="E87" s="11" t="s">
        <v>110</v>
      </c>
      <c r="G87" s="11" t="s">
        <v>132</v>
      </c>
      <c r="H87" s="45">
        <v>0</v>
      </c>
      <c r="I87" s="20">
        <v>45826</v>
      </c>
      <c r="L87" s="11" t="s">
        <v>425</v>
      </c>
      <c r="M87" s="11" t="s">
        <v>426</v>
      </c>
    </row>
    <row r="88" spans="1:13" x14ac:dyDescent="0.35">
      <c r="A88" s="1">
        <v>180</v>
      </c>
      <c r="B88" s="11" t="s">
        <v>463</v>
      </c>
      <c r="C88" s="11" t="s">
        <v>129</v>
      </c>
      <c r="D88" s="11" t="str">
        <f>VLOOKUP(C88,Referencia!$A$2:$B$13,2,0)</f>
        <v>Serrania Majuy</v>
      </c>
      <c r="E88" s="11" t="s">
        <v>119</v>
      </c>
      <c r="F88" s="11" t="s">
        <v>144</v>
      </c>
      <c r="G88" s="11" t="s">
        <v>132</v>
      </c>
      <c r="H88" s="45">
        <v>0</v>
      </c>
      <c r="I88" s="20">
        <v>45826</v>
      </c>
      <c r="K88" s="11">
        <v>3115874775</v>
      </c>
    </row>
    <row r="89" spans="1:13" x14ac:dyDescent="0.35">
      <c r="A89" s="1">
        <v>89</v>
      </c>
      <c r="B89" s="10" t="s">
        <v>255</v>
      </c>
      <c r="C89" s="11" t="s">
        <v>82</v>
      </c>
      <c r="D89" s="11" t="str">
        <f>VLOOKUP(C89,Referencia!$A$2:$B$13,2,0)</f>
        <v>Occidente</v>
      </c>
      <c r="E89" s="11" t="s">
        <v>119</v>
      </c>
      <c r="G89" s="11" t="s">
        <v>132</v>
      </c>
      <c r="I89" s="20" t="s">
        <v>256</v>
      </c>
      <c r="K89" s="11">
        <v>3209629093</v>
      </c>
      <c r="L89" s="10" t="s">
        <v>257</v>
      </c>
    </row>
    <row r="90" spans="1:13" x14ac:dyDescent="0.35">
      <c r="A90" s="1">
        <v>90</v>
      </c>
      <c r="B90" s="10" t="s">
        <v>258</v>
      </c>
      <c r="C90" s="11" t="s">
        <v>82</v>
      </c>
      <c r="D90" s="11" t="str">
        <f>VLOOKUP(C90,Referencia!$A$2:$B$13,2,0)</f>
        <v>Occidente</v>
      </c>
      <c r="G90" s="11" t="s">
        <v>132</v>
      </c>
      <c r="K90" s="11">
        <v>3045358266</v>
      </c>
      <c r="L90" s="10" t="s">
        <v>259</v>
      </c>
    </row>
    <row r="91" spans="1:13" x14ac:dyDescent="0.35">
      <c r="A91" s="1">
        <v>91</v>
      </c>
      <c r="B91" s="10" t="s">
        <v>260</v>
      </c>
      <c r="C91" s="11" t="s">
        <v>82</v>
      </c>
      <c r="D91" s="11" t="str">
        <f>VLOOKUP(C91,Referencia!$A$2:$B$13,2,0)</f>
        <v>Occidente</v>
      </c>
      <c r="G91" s="11" t="s">
        <v>132</v>
      </c>
      <c r="L91" s="10" t="s">
        <v>261</v>
      </c>
    </row>
    <row r="92" spans="1:13" x14ac:dyDescent="0.35">
      <c r="A92" s="1">
        <v>92</v>
      </c>
      <c r="B92" s="10" t="s">
        <v>262</v>
      </c>
      <c r="C92" s="11" t="s">
        <v>82</v>
      </c>
      <c r="D92" s="11" t="str">
        <f>VLOOKUP(C92,Referencia!$A$2:$B$13,2,0)</f>
        <v>Occidente</v>
      </c>
      <c r="G92" s="11" t="s">
        <v>132</v>
      </c>
      <c r="L92" s="10" t="s">
        <v>263</v>
      </c>
    </row>
    <row r="93" spans="1:13" x14ac:dyDescent="0.35">
      <c r="A93" s="1">
        <v>93</v>
      </c>
      <c r="B93" s="10" t="s">
        <v>264</v>
      </c>
      <c r="C93" s="11" t="s">
        <v>82</v>
      </c>
      <c r="D93" s="11" t="str">
        <f>VLOOKUP(C93,Referencia!$A$2:$B$13,2,0)</f>
        <v>Occidente</v>
      </c>
      <c r="G93" s="11" t="s">
        <v>132</v>
      </c>
      <c r="L93" s="10" t="s">
        <v>265</v>
      </c>
    </row>
    <row r="94" spans="1:13" x14ac:dyDescent="0.35">
      <c r="A94" s="1">
        <v>94</v>
      </c>
      <c r="B94" s="10" t="s">
        <v>266</v>
      </c>
      <c r="C94" s="11" t="s">
        <v>82</v>
      </c>
      <c r="D94" s="11" t="str">
        <f>VLOOKUP(C94,Referencia!$A$2:$B$13,2,0)</f>
        <v>Occidente</v>
      </c>
      <c r="G94" s="11" t="s">
        <v>132</v>
      </c>
      <c r="L94" s="10" t="s">
        <v>267</v>
      </c>
    </row>
    <row r="95" spans="1:13" x14ac:dyDescent="0.35">
      <c r="A95" s="1">
        <v>95</v>
      </c>
      <c r="B95" s="10" t="s">
        <v>268</v>
      </c>
      <c r="C95" s="11" t="s">
        <v>82</v>
      </c>
      <c r="D95" s="11" t="str">
        <f>VLOOKUP(C95,Referencia!$A$2:$B$13,2,0)</f>
        <v>Occidente</v>
      </c>
      <c r="G95" s="11" t="s">
        <v>132</v>
      </c>
    </row>
    <row r="96" spans="1:13" x14ac:dyDescent="0.35">
      <c r="A96" s="1">
        <v>96</v>
      </c>
      <c r="B96" s="10" t="s">
        <v>269</v>
      </c>
      <c r="C96" s="11" t="s">
        <v>122</v>
      </c>
      <c r="D96" s="11" t="str">
        <f>VLOOKUP(C96,Referencia!$A$2:$B$13,2,0)</f>
        <v>Sabana Noroccidente</v>
      </c>
      <c r="E96" s="11" t="s">
        <v>110</v>
      </c>
      <c r="G96" s="11" t="s">
        <v>132</v>
      </c>
    </row>
    <row r="97" spans="1:12" x14ac:dyDescent="0.35">
      <c r="A97" s="1">
        <v>97</v>
      </c>
      <c r="B97" s="10" t="s">
        <v>270</v>
      </c>
      <c r="C97" s="11" t="s">
        <v>122</v>
      </c>
      <c r="D97" s="11" t="str">
        <f>VLOOKUP(C97,Referencia!$A$2:$B$13,2,0)</f>
        <v>Sabana Noroccidente</v>
      </c>
      <c r="E97" s="11" t="s">
        <v>110</v>
      </c>
      <c r="F97" s="11" t="s">
        <v>113</v>
      </c>
      <c r="G97" s="11" t="s">
        <v>132</v>
      </c>
      <c r="L97" s="10" t="s">
        <v>271</v>
      </c>
    </row>
    <row r="98" spans="1:12" x14ac:dyDescent="0.35">
      <c r="A98" s="1">
        <v>98</v>
      </c>
      <c r="B98" s="10" t="s">
        <v>272</v>
      </c>
      <c r="C98" s="11" t="s">
        <v>82</v>
      </c>
      <c r="D98" s="11" t="str">
        <f>VLOOKUP(C98,Referencia!$A$2:$B$13,2,0)</f>
        <v>Occidente</v>
      </c>
      <c r="F98" s="11" t="s">
        <v>113</v>
      </c>
      <c r="G98" s="11" t="s">
        <v>132</v>
      </c>
      <c r="I98" s="20" t="s">
        <v>273</v>
      </c>
    </row>
    <row r="99" spans="1:12" x14ac:dyDescent="0.35">
      <c r="A99" s="1">
        <v>99</v>
      </c>
      <c r="B99" s="10" t="s">
        <v>274</v>
      </c>
      <c r="C99" s="11" t="s">
        <v>122</v>
      </c>
      <c r="D99" s="11" t="str">
        <f>VLOOKUP(C99,Referencia!$A$2:$B$13,2,0)</f>
        <v>Sabana Noroccidente</v>
      </c>
      <c r="F99" s="11" t="s">
        <v>113</v>
      </c>
      <c r="G99" s="11" t="s">
        <v>132</v>
      </c>
    </row>
    <row r="100" spans="1:12" x14ac:dyDescent="0.35">
      <c r="A100" s="1">
        <v>32</v>
      </c>
      <c r="B100" s="10" t="s">
        <v>169</v>
      </c>
      <c r="C100" s="11" t="s">
        <v>127</v>
      </c>
      <c r="D100" s="11" t="str">
        <f>VLOOKUP(C100,Referencia!$A$2:$B$13,2,0)</f>
        <v>Serrania Majuy</v>
      </c>
      <c r="E100" s="11" t="s">
        <v>119</v>
      </c>
      <c r="F100" s="11" t="s">
        <v>144</v>
      </c>
      <c r="G100" s="11" t="s">
        <v>132</v>
      </c>
      <c r="L100" s="10" t="s">
        <v>170</v>
      </c>
    </row>
    <row r="101" spans="1:12" x14ac:dyDescent="0.35">
      <c r="A101" s="1">
        <v>101</v>
      </c>
      <c r="B101" s="10" t="s">
        <v>277</v>
      </c>
      <c r="C101" s="11" t="s">
        <v>122</v>
      </c>
      <c r="D101" s="11" t="str">
        <f>VLOOKUP(C101,Referencia!$A$2:$B$13,2,0)</f>
        <v>Sabana Noroccidente</v>
      </c>
      <c r="E101" s="11" t="s">
        <v>110</v>
      </c>
      <c r="G101" s="11" t="s">
        <v>132</v>
      </c>
      <c r="L101" s="10" t="s">
        <v>278</v>
      </c>
    </row>
    <row r="102" spans="1:12" x14ac:dyDescent="0.35">
      <c r="A102" s="1">
        <v>102</v>
      </c>
      <c r="B102" s="10" t="s">
        <v>279</v>
      </c>
      <c r="C102" s="11" t="s">
        <v>280</v>
      </c>
      <c r="D102" s="11" t="e">
        <f>VLOOKUP(C102,Referencia!$A$2:$B$13,2,0)</f>
        <v>#N/A</v>
      </c>
      <c r="F102" s="11" t="s">
        <v>113</v>
      </c>
      <c r="G102" s="11" t="s">
        <v>132</v>
      </c>
      <c r="I102" s="20" t="s">
        <v>281</v>
      </c>
      <c r="K102" s="11">
        <v>3115386702</v>
      </c>
      <c r="L102" s="10" t="s">
        <v>282</v>
      </c>
    </row>
    <row r="103" spans="1:12" x14ac:dyDescent="0.35">
      <c r="A103" s="1">
        <v>103</v>
      </c>
      <c r="B103" s="10" t="s">
        <v>283</v>
      </c>
      <c r="C103" s="11" t="s">
        <v>284</v>
      </c>
      <c r="D103" s="11" t="e">
        <f>VLOOKUP(C103,Referencia!$A$2:$B$13,2,0)</f>
        <v>#N/A</v>
      </c>
      <c r="F103" s="11" t="s">
        <v>113</v>
      </c>
      <c r="G103" s="11" t="s">
        <v>132</v>
      </c>
      <c r="K103" s="11">
        <v>3104069344</v>
      </c>
    </row>
    <row r="104" spans="1:12" x14ac:dyDescent="0.35">
      <c r="A104" s="1">
        <v>104</v>
      </c>
      <c r="B104" s="10" t="s">
        <v>285</v>
      </c>
      <c r="C104" s="11" t="s">
        <v>284</v>
      </c>
      <c r="D104" s="11" t="e">
        <f>VLOOKUP(C104,Referencia!$A$2:$B$13,2,0)</f>
        <v>#N/A</v>
      </c>
      <c r="F104" s="11" t="s">
        <v>113</v>
      </c>
      <c r="G104" s="11" t="s">
        <v>132</v>
      </c>
      <c r="K104" s="11">
        <v>3108523118</v>
      </c>
    </row>
    <row r="105" spans="1:12" x14ac:dyDescent="0.35">
      <c r="A105" s="1">
        <v>105</v>
      </c>
      <c r="B105" s="10" t="s">
        <v>286</v>
      </c>
      <c r="C105" s="11" t="s">
        <v>284</v>
      </c>
      <c r="D105" s="11" t="e">
        <f>VLOOKUP(C105,Referencia!$A$2:$B$13,2,0)</f>
        <v>#N/A</v>
      </c>
      <c r="F105" s="11" t="s">
        <v>113</v>
      </c>
      <c r="G105" s="11" t="s">
        <v>132</v>
      </c>
      <c r="K105" s="11">
        <v>3193247894</v>
      </c>
    </row>
    <row r="106" spans="1:12" x14ac:dyDescent="0.35">
      <c r="A106" s="1">
        <v>106</v>
      </c>
      <c r="B106" s="10" t="s">
        <v>287</v>
      </c>
      <c r="C106" s="11" t="s">
        <v>122</v>
      </c>
      <c r="D106" s="11" t="str">
        <f>VLOOKUP(C106,Referencia!$A$2:$B$13,2,0)</f>
        <v>Sabana Noroccidente</v>
      </c>
      <c r="F106" s="11" t="s">
        <v>113</v>
      </c>
      <c r="G106" s="11" t="s">
        <v>132</v>
      </c>
      <c r="L106" s="10" t="s">
        <v>288</v>
      </c>
    </row>
    <row r="107" spans="1:12" x14ac:dyDescent="0.35">
      <c r="A107" s="1">
        <v>88</v>
      </c>
      <c r="B107" s="10" t="s">
        <v>252</v>
      </c>
      <c r="C107" s="11" t="s">
        <v>127</v>
      </c>
      <c r="D107" s="11" t="str">
        <f>VLOOKUP(C107,Referencia!$A$2:$B$13,2,0)</f>
        <v>Serrania Majuy</v>
      </c>
      <c r="E107" s="11" t="s">
        <v>119</v>
      </c>
      <c r="G107" s="11" t="s">
        <v>132</v>
      </c>
      <c r="I107" s="20" t="s">
        <v>253</v>
      </c>
      <c r="K107" s="11" t="s">
        <v>254</v>
      </c>
    </row>
    <row r="108" spans="1:12" x14ac:dyDescent="0.35">
      <c r="A108" s="1">
        <v>108</v>
      </c>
      <c r="B108" s="10" t="s">
        <v>293</v>
      </c>
      <c r="C108" s="11" t="s">
        <v>122</v>
      </c>
      <c r="D108" s="11" t="str">
        <f>VLOOKUP(C108,Referencia!$A$2:$B$13,2,0)</f>
        <v>Sabana Noroccidente</v>
      </c>
      <c r="E108" s="11" t="s">
        <v>110</v>
      </c>
      <c r="F108" s="11" t="s">
        <v>124</v>
      </c>
      <c r="G108" s="11" t="s">
        <v>132</v>
      </c>
      <c r="L108" s="10" t="s">
        <v>294</v>
      </c>
    </row>
    <row r="109" spans="1:12" x14ac:dyDescent="0.35">
      <c r="A109" s="1">
        <v>109</v>
      </c>
      <c r="B109" s="10" t="s">
        <v>295</v>
      </c>
      <c r="C109" s="11" t="s">
        <v>122</v>
      </c>
      <c r="D109" s="11" t="str">
        <f>VLOOKUP(C109,Referencia!$A$2:$B$13,2,0)</f>
        <v>Sabana Noroccidente</v>
      </c>
      <c r="E109" s="11" t="s">
        <v>123</v>
      </c>
      <c r="F109" s="11" t="s">
        <v>124</v>
      </c>
      <c r="G109" s="11" t="s">
        <v>132</v>
      </c>
      <c r="L109" s="10" t="s">
        <v>296</v>
      </c>
    </row>
    <row r="110" spans="1:12" x14ac:dyDescent="0.35">
      <c r="A110" s="1">
        <v>110</v>
      </c>
      <c r="B110" s="10" t="s">
        <v>297</v>
      </c>
      <c r="C110" s="11" t="s">
        <v>140</v>
      </c>
      <c r="D110" s="11" t="str">
        <f>VLOOKUP(C110,Referencia!$A$2:$B$13,2,0)</f>
        <v>Sabana Noroccidente</v>
      </c>
      <c r="E110" s="11" t="s">
        <v>123</v>
      </c>
      <c r="G110" s="11" t="s">
        <v>132</v>
      </c>
      <c r="K110" s="11">
        <v>3124394781</v>
      </c>
    </row>
    <row r="111" spans="1:12" x14ac:dyDescent="0.35">
      <c r="A111" s="1">
        <v>100</v>
      </c>
      <c r="B111" s="10" t="s">
        <v>275</v>
      </c>
      <c r="C111" s="11" t="s">
        <v>129</v>
      </c>
      <c r="D111" s="11" t="str">
        <f>VLOOKUP(C111,Referencia!$A$2:$B$13,2,0)</f>
        <v>Serrania Majuy</v>
      </c>
      <c r="G111" s="11" t="s">
        <v>132</v>
      </c>
      <c r="L111" s="10" t="s">
        <v>276</v>
      </c>
    </row>
    <row r="112" spans="1:12" x14ac:dyDescent="0.35">
      <c r="A112" s="1">
        <v>112</v>
      </c>
      <c r="B112" s="10" t="s">
        <v>300</v>
      </c>
      <c r="C112" s="11" t="s">
        <v>301</v>
      </c>
      <c r="D112" s="11" t="str">
        <f>VLOOKUP(C112,Referencia!$A$2:$B$13,2,0)</f>
        <v>Occidente</v>
      </c>
      <c r="F112" s="11" t="s">
        <v>134</v>
      </c>
      <c r="G112" s="11" t="s">
        <v>132</v>
      </c>
      <c r="L112" s="10" t="s">
        <v>302</v>
      </c>
    </row>
    <row r="113" spans="1:12" x14ac:dyDescent="0.35">
      <c r="A113" s="1">
        <v>113</v>
      </c>
      <c r="B113" s="10" t="s">
        <v>303</v>
      </c>
      <c r="C113" s="11" t="s">
        <v>122</v>
      </c>
      <c r="D113" s="11" t="str">
        <f>VLOOKUP(C113,Referencia!$A$2:$B$13,2,0)</f>
        <v>Sabana Noroccidente</v>
      </c>
      <c r="E113" s="11" t="s">
        <v>123</v>
      </c>
      <c r="G113" s="11" t="s">
        <v>132</v>
      </c>
      <c r="L113" s="10" t="s">
        <v>304</v>
      </c>
    </row>
    <row r="114" spans="1:12" x14ac:dyDescent="0.35">
      <c r="A114" s="1">
        <v>114</v>
      </c>
      <c r="B114" s="10" t="s">
        <v>305</v>
      </c>
      <c r="C114" s="11" t="s">
        <v>122</v>
      </c>
      <c r="D114" s="11" t="str">
        <f>VLOOKUP(C114,Referencia!$A$2:$B$13,2,0)</f>
        <v>Sabana Noroccidente</v>
      </c>
      <c r="F114" s="11" t="s">
        <v>134</v>
      </c>
      <c r="G114" s="11" t="s">
        <v>132</v>
      </c>
      <c r="K114" s="11" t="s">
        <v>306</v>
      </c>
    </row>
    <row r="115" spans="1:12" x14ac:dyDescent="0.35">
      <c r="A115" s="1">
        <v>115</v>
      </c>
      <c r="B115" s="10" t="s">
        <v>307</v>
      </c>
      <c r="C115" s="11" t="s">
        <v>82</v>
      </c>
      <c r="D115" s="11" t="str">
        <f>VLOOKUP(C115,Referencia!$A$2:$B$13,2,0)</f>
        <v>Occidente</v>
      </c>
      <c r="G115" s="11" t="s">
        <v>132</v>
      </c>
      <c r="L115" s="10" t="s">
        <v>308</v>
      </c>
    </row>
    <row r="116" spans="1:12" x14ac:dyDescent="0.35">
      <c r="A116" s="1">
        <v>73</v>
      </c>
      <c r="B116" s="10" t="s">
        <v>227</v>
      </c>
      <c r="C116" s="11" t="s">
        <v>416</v>
      </c>
      <c r="D116" s="11" t="str">
        <f>VLOOKUP(C116,Referencia!$A$2:$B$13,2,0)</f>
        <v>Sabana Norte</v>
      </c>
      <c r="G116" s="11" t="s">
        <v>132</v>
      </c>
      <c r="K116" s="11">
        <v>3143088718</v>
      </c>
      <c r="L116" s="10" t="s">
        <v>228</v>
      </c>
    </row>
    <row r="117" spans="1:12" x14ac:dyDescent="0.35">
      <c r="A117" s="1">
        <v>107</v>
      </c>
      <c r="B117" s="10" t="s">
        <v>289</v>
      </c>
      <c r="C117" s="11" t="s">
        <v>127</v>
      </c>
      <c r="D117" s="11" t="str">
        <f>VLOOKUP(C117,Referencia!$A$2:$B$13,2,0)</f>
        <v>Serrania Majuy</v>
      </c>
      <c r="F117" s="11" t="s">
        <v>124</v>
      </c>
      <c r="G117" s="11" t="s">
        <v>132</v>
      </c>
      <c r="I117" s="20" t="s">
        <v>290</v>
      </c>
      <c r="K117" s="11" t="s">
        <v>291</v>
      </c>
      <c r="L117" s="10" t="s">
        <v>292</v>
      </c>
    </row>
    <row r="118" spans="1:12" x14ac:dyDescent="0.35">
      <c r="A118" s="1">
        <v>118</v>
      </c>
      <c r="B118" s="10" t="s">
        <v>311</v>
      </c>
      <c r="C118" s="11" t="s">
        <v>122</v>
      </c>
      <c r="D118" s="11" t="str">
        <f>VLOOKUP(C118,Referencia!$A$2:$B$13,2,0)</f>
        <v>Sabana Noroccidente</v>
      </c>
      <c r="E118" s="11" t="s">
        <v>123</v>
      </c>
      <c r="G118" s="11" t="s">
        <v>132</v>
      </c>
      <c r="L118" s="10" t="s">
        <v>312</v>
      </c>
    </row>
    <row r="119" spans="1:12" x14ac:dyDescent="0.35">
      <c r="A119" s="1">
        <v>119</v>
      </c>
      <c r="B119" s="10" t="s">
        <v>313</v>
      </c>
      <c r="C119" s="11" t="s">
        <v>122</v>
      </c>
      <c r="D119" s="11" t="str">
        <f>VLOOKUP(C119,Referencia!$A$2:$B$13,2,0)</f>
        <v>Sabana Noroccidente</v>
      </c>
      <c r="E119" s="11" t="s">
        <v>123</v>
      </c>
      <c r="G119" s="11" t="s">
        <v>132</v>
      </c>
    </row>
    <row r="120" spans="1:12" x14ac:dyDescent="0.35">
      <c r="A120" s="1">
        <v>120</v>
      </c>
      <c r="B120" s="10" t="s">
        <v>314</v>
      </c>
      <c r="C120" s="11" t="s">
        <v>122</v>
      </c>
      <c r="D120" s="11" t="str">
        <f>VLOOKUP(C120,Referencia!$A$2:$B$13,2,0)</f>
        <v>Sabana Noroccidente</v>
      </c>
      <c r="E120" s="11" t="s">
        <v>110</v>
      </c>
      <c r="G120" s="11" t="s">
        <v>132</v>
      </c>
    </row>
    <row r="121" spans="1:12" x14ac:dyDescent="0.35">
      <c r="A121" s="1">
        <v>121</v>
      </c>
      <c r="B121" s="10" t="s">
        <v>315</v>
      </c>
      <c r="C121" s="11" t="s">
        <v>122</v>
      </c>
      <c r="D121" s="11" t="str">
        <f>VLOOKUP(C121,Referencia!$A$2:$B$13,2,0)</f>
        <v>Sabana Noroccidente</v>
      </c>
      <c r="G121" s="11" t="s">
        <v>132</v>
      </c>
    </row>
    <row r="122" spans="1:12" x14ac:dyDescent="0.35">
      <c r="A122" s="1">
        <v>122</v>
      </c>
      <c r="B122" s="10" t="s">
        <v>316</v>
      </c>
      <c r="C122" s="11" t="s">
        <v>122</v>
      </c>
      <c r="D122" s="11" t="str">
        <f>VLOOKUP(C122,Referencia!$A$2:$B$13,2,0)</f>
        <v>Sabana Noroccidente</v>
      </c>
      <c r="E122" s="11" t="s">
        <v>110</v>
      </c>
      <c r="G122" s="11" t="s">
        <v>132</v>
      </c>
      <c r="L122" s="10" t="s">
        <v>317</v>
      </c>
    </row>
    <row r="123" spans="1:12" x14ac:dyDescent="0.35">
      <c r="A123" s="1">
        <v>123</v>
      </c>
      <c r="B123" s="10" t="s">
        <v>318</v>
      </c>
      <c r="C123" s="11" t="s">
        <v>122</v>
      </c>
      <c r="D123" s="11" t="str">
        <f>VLOOKUP(C123,Referencia!$A$2:$B$13,2,0)</f>
        <v>Sabana Noroccidente</v>
      </c>
      <c r="G123" s="11" t="s">
        <v>132</v>
      </c>
      <c r="L123" s="10" t="s">
        <v>319</v>
      </c>
    </row>
    <row r="124" spans="1:12" x14ac:dyDescent="0.35">
      <c r="A124" s="1">
        <v>124</v>
      </c>
      <c r="B124" s="10" t="s">
        <v>320</v>
      </c>
      <c r="C124" s="11" t="s">
        <v>122</v>
      </c>
      <c r="D124" s="11" t="str">
        <f>VLOOKUP(C124,Referencia!$A$2:$B$13,2,0)</f>
        <v>Sabana Noroccidente</v>
      </c>
      <c r="G124" s="11" t="s">
        <v>132</v>
      </c>
      <c r="K124" s="11" t="s">
        <v>321</v>
      </c>
    </row>
    <row r="125" spans="1:12" x14ac:dyDescent="0.35">
      <c r="A125" s="1">
        <v>125</v>
      </c>
      <c r="B125" s="10" t="s">
        <v>322</v>
      </c>
      <c r="C125" s="11" t="s">
        <v>122</v>
      </c>
      <c r="D125" s="11" t="str">
        <f>VLOOKUP(C125,Referencia!$A$2:$B$13,2,0)</f>
        <v>Sabana Noroccidente</v>
      </c>
      <c r="G125" s="11" t="s">
        <v>132</v>
      </c>
      <c r="L125" s="10" t="s">
        <v>323</v>
      </c>
    </row>
    <row r="126" spans="1:12" x14ac:dyDescent="0.35">
      <c r="A126" s="1">
        <v>126</v>
      </c>
      <c r="B126" s="10" t="s">
        <v>324</v>
      </c>
      <c r="C126" s="11" t="s">
        <v>122</v>
      </c>
      <c r="D126" s="11" t="str">
        <f>VLOOKUP(C126,Referencia!$A$2:$B$13,2,0)</f>
        <v>Sabana Noroccidente</v>
      </c>
      <c r="E126" s="11" t="s">
        <v>119</v>
      </c>
      <c r="G126" s="11" t="s">
        <v>132</v>
      </c>
      <c r="L126" s="10" t="s">
        <v>325</v>
      </c>
    </row>
    <row r="127" spans="1:12" x14ac:dyDescent="0.35">
      <c r="A127" s="1">
        <v>127</v>
      </c>
      <c r="B127" s="10" t="s">
        <v>509</v>
      </c>
      <c r="C127" s="11" t="s">
        <v>122</v>
      </c>
      <c r="D127" s="11" t="str">
        <f>VLOOKUP(C127,Referencia!$A$2:$B$13,2,0)</f>
        <v>Sabana Noroccidente</v>
      </c>
      <c r="E127" s="11" t="s">
        <v>110</v>
      </c>
      <c r="G127" s="11" t="s">
        <v>132</v>
      </c>
      <c r="H127" s="45">
        <v>0</v>
      </c>
      <c r="L127" s="10" t="s">
        <v>326</v>
      </c>
    </row>
    <row r="128" spans="1:12" x14ac:dyDescent="0.35">
      <c r="A128" s="1">
        <v>128</v>
      </c>
      <c r="B128" s="10" t="s">
        <v>623</v>
      </c>
      <c r="C128" s="11" t="s">
        <v>122</v>
      </c>
      <c r="D128" s="11" t="str">
        <f>VLOOKUP(C128,Referencia!$A$2:$B$13,2,0)</f>
        <v>Sabana Noroccidente</v>
      </c>
      <c r="G128" s="11" t="s">
        <v>132</v>
      </c>
      <c r="L128" s="10" t="s">
        <v>327</v>
      </c>
    </row>
    <row r="129" spans="1:12" x14ac:dyDescent="0.35">
      <c r="A129" s="1">
        <v>129</v>
      </c>
      <c r="B129" s="10" t="s">
        <v>328</v>
      </c>
      <c r="C129" s="11" t="s">
        <v>122</v>
      </c>
      <c r="D129" s="11" t="str">
        <f>VLOOKUP(C129,Referencia!$A$2:$B$13,2,0)</f>
        <v>Sabana Noroccidente</v>
      </c>
      <c r="G129" s="11" t="s">
        <v>132</v>
      </c>
      <c r="L129" s="10" t="s">
        <v>329</v>
      </c>
    </row>
    <row r="130" spans="1:12" x14ac:dyDescent="0.35">
      <c r="A130" s="1">
        <v>130</v>
      </c>
      <c r="B130" s="10" t="s">
        <v>330</v>
      </c>
      <c r="C130" s="11" t="s">
        <v>140</v>
      </c>
      <c r="D130" s="11" t="str">
        <f>VLOOKUP(C130,Referencia!$A$2:$B$13,2,0)</f>
        <v>Sabana Noroccidente</v>
      </c>
      <c r="E130" s="11" t="s">
        <v>123</v>
      </c>
      <c r="G130" s="11" t="s">
        <v>132</v>
      </c>
      <c r="K130" s="11" t="s">
        <v>331</v>
      </c>
      <c r="L130" s="10" t="s">
        <v>332</v>
      </c>
    </row>
    <row r="131" spans="1:12" x14ac:dyDescent="0.35">
      <c r="A131" s="1">
        <v>131</v>
      </c>
      <c r="B131" s="10" t="s">
        <v>333</v>
      </c>
      <c r="C131" s="11" t="s">
        <v>140</v>
      </c>
      <c r="D131" s="11" t="str">
        <f>VLOOKUP(C131,Referencia!$A$2:$B$13,2,0)</f>
        <v>Sabana Noroccidente</v>
      </c>
      <c r="G131" s="11" t="s">
        <v>132</v>
      </c>
      <c r="K131" s="11">
        <v>3194569817</v>
      </c>
    </row>
    <row r="132" spans="1:12" x14ac:dyDescent="0.35">
      <c r="A132" s="1">
        <v>132</v>
      </c>
      <c r="B132" s="10" t="s">
        <v>334</v>
      </c>
      <c r="C132" s="11" t="s">
        <v>284</v>
      </c>
      <c r="D132" s="11" t="e">
        <f>VLOOKUP(C132,Referencia!$A$2:$B$13,2,0)</f>
        <v>#N/A</v>
      </c>
      <c r="G132" s="11" t="s">
        <v>132</v>
      </c>
      <c r="L132" s="10" t="s">
        <v>335</v>
      </c>
    </row>
    <row r="133" spans="1:12" x14ac:dyDescent="0.35">
      <c r="A133" s="1">
        <v>111</v>
      </c>
      <c r="B133" s="10" t="s">
        <v>298</v>
      </c>
      <c r="C133" s="11" t="s">
        <v>129</v>
      </c>
      <c r="D133" s="11" t="str">
        <f>VLOOKUP(C133,Referencia!$A$2:$B$13,2,0)</f>
        <v>Serrania Majuy</v>
      </c>
      <c r="E133" s="11" t="s">
        <v>110</v>
      </c>
      <c r="F133" s="11" t="s">
        <v>124</v>
      </c>
      <c r="G133" s="11" t="s">
        <v>132</v>
      </c>
      <c r="L133" s="10" t="s">
        <v>299</v>
      </c>
    </row>
    <row r="134" spans="1:12" x14ac:dyDescent="0.35">
      <c r="A134" s="1">
        <v>135</v>
      </c>
      <c r="B134" s="10" t="s">
        <v>337</v>
      </c>
      <c r="C134" s="11" t="s">
        <v>140</v>
      </c>
      <c r="D134" s="11" t="str">
        <f>VLOOKUP(C134,Referencia!$A$2:$B$13,2,0)</f>
        <v>Sabana Noroccidente</v>
      </c>
      <c r="E134" s="11" t="s">
        <v>119</v>
      </c>
      <c r="G134" s="11" t="s">
        <v>132</v>
      </c>
      <c r="K134" s="11">
        <v>3102700253</v>
      </c>
    </row>
    <row r="135" spans="1:12" x14ac:dyDescent="0.35">
      <c r="A135" s="1">
        <v>136</v>
      </c>
      <c r="B135" s="10" t="s">
        <v>338</v>
      </c>
      <c r="C135" s="11" t="s">
        <v>82</v>
      </c>
      <c r="D135" s="11" t="str">
        <f>VLOOKUP(C135,Referencia!$A$2:$B$13,2,0)</f>
        <v>Occidente</v>
      </c>
      <c r="E135" s="11" t="s">
        <v>123</v>
      </c>
      <c r="G135" s="11" t="s">
        <v>132</v>
      </c>
      <c r="L135" s="10" t="s">
        <v>339</v>
      </c>
    </row>
    <row r="136" spans="1:12" x14ac:dyDescent="0.35">
      <c r="A136" s="1">
        <v>117</v>
      </c>
      <c r="B136" s="10" t="s">
        <v>309</v>
      </c>
      <c r="C136" s="11" t="s">
        <v>127</v>
      </c>
      <c r="D136" s="11" t="str">
        <f>VLOOKUP(C136,Referencia!$A$2:$B$13,2,0)</f>
        <v>Serrania Majuy</v>
      </c>
      <c r="E136" s="11" t="s">
        <v>110</v>
      </c>
      <c r="F136" s="11" t="s">
        <v>134</v>
      </c>
      <c r="G136" s="11" t="s">
        <v>132</v>
      </c>
      <c r="L136" s="10" t="s">
        <v>310</v>
      </c>
    </row>
    <row r="137" spans="1:12" x14ac:dyDescent="0.35">
      <c r="A137" s="1">
        <v>134</v>
      </c>
      <c r="B137" s="10" t="s">
        <v>336</v>
      </c>
      <c r="C137" s="11" t="s">
        <v>129</v>
      </c>
      <c r="D137" s="11" t="str">
        <f>VLOOKUP(C137,Referencia!$A$2:$B$13,2,0)</f>
        <v>Serrania Majuy</v>
      </c>
      <c r="E137" s="11" t="s">
        <v>110</v>
      </c>
      <c r="G137" s="11" t="s">
        <v>132</v>
      </c>
      <c r="K137" s="11">
        <v>3003381380</v>
      </c>
    </row>
    <row r="138" spans="1:12" x14ac:dyDescent="0.35">
      <c r="A138" s="1">
        <v>139</v>
      </c>
      <c r="B138" s="10" t="s">
        <v>344</v>
      </c>
      <c r="C138" s="11" t="s">
        <v>82</v>
      </c>
      <c r="D138" s="11" t="str">
        <f>VLOOKUP(C138,Referencia!$A$2:$B$13,2,0)</f>
        <v>Occidente</v>
      </c>
      <c r="E138" s="11" t="s">
        <v>123</v>
      </c>
      <c r="G138" s="11" t="s">
        <v>132</v>
      </c>
      <c r="K138" s="11">
        <v>3045790482</v>
      </c>
    </row>
    <row r="139" spans="1:12" x14ac:dyDescent="0.35">
      <c r="A139" s="1">
        <v>140</v>
      </c>
      <c r="B139" s="10" t="s">
        <v>345</v>
      </c>
      <c r="C139" s="11" t="s">
        <v>284</v>
      </c>
      <c r="D139" s="11" t="e">
        <f>VLOOKUP(C139,Referencia!$A$2:$B$13,2,0)</f>
        <v>#N/A</v>
      </c>
      <c r="F139" s="11" t="s">
        <v>134</v>
      </c>
      <c r="G139" s="11" t="s">
        <v>132</v>
      </c>
      <c r="K139" s="11">
        <v>3107620581</v>
      </c>
    </row>
    <row r="140" spans="1:12" x14ac:dyDescent="0.35">
      <c r="A140" s="1">
        <v>137</v>
      </c>
      <c r="B140" s="10" t="s">
        <v>340</v>
      </c>
      <c r="C140" s="11" t="s">
        <v>127</v>
      </c>
      <c r="D140" s="11" t="str">
        <f>VLOOKUP(C140,Referencia!$A$2:$B$13,2,0)</f>
        <v>Serrania Majuy</v>
      </c>
      <c r="G140" s="11" t="s">
        <v>132</v>
      </c>
      <c r="K140" s="11">
        <v>3134242427</v>
      </c>
      <c r="L140" s="10" t="s">
        <v>341</v>
      </c>
    </row>
    <row r="141" spans="1:12" x14ac:dyDescent="0.35">
      <c r="A141" s="1">
        <v>142</v>
      </c>
      <c r="B141" s="10" t="s">
        <v>347</v>
      </c>
      <c r="C141" s="11" t="s">
        <v>284</v>
      </c>
      <c r="D141" s="11" t="e">
        <f>VLOOKUP(C141,Referencia!$A$2:$B$13,2,0)</f>
        <v>#N/A</v>
      </c>
      <c r="G141" s="11" t="s">
        <v>132</v>
      </c>
      <c r="K141" s="11">
        <v>3204954904</v>
      </c>
      <c r="L141" s="10" t="s">
        <v>348</v>
      </c>
    </row>
    <row r="142" spans="1:12" x14ac:dyDescent="0.35">
      <c r="A142" s="1">
        <v>143</v>
      </c>
      <c r="B142" s="10" t="s">
        <v>349</v>
      </c>
      <c r="C142" s="11" t="s">
        <v>140</v>
      </c>
      <c r="D142" s="11" t="str">
        <f>VLOOKUP(C142,Referencia!$A$2:$B$13,2,0)</f>
        <v>Sabana Noroccidente</v>
      </c>
      <c r="E142" s="11" t="s">
        <v>119</v>
      </c>
      <c r="G142" s="11" t="s">
        <v>132</v>
      </c>
      <c r="K142" s="11">
        <v>3102552406</v>
      </c>
      <c r="L142" s="10" t="s">
        <v>350</v>
      </c>
    </row>
    <row r="143" spans="1:12" x14ac:dyDescent="0.35">
      <c r="A143" s="1">
        <v>138</v>
      </c>
      <c r="B143" s="10" t="s">
        <v>342</v>
      </c>
      <c r="C143" s="11" t="s">
        <v>129</v>
      </c>
      <c r="D143" s="11" t="str">
        <f>VLOOKUP(C143,Referencia!$A$2:$B$13,2,0)</f>
        <v>Serrania Majuy</v>
      </c>
      <c r="G143" s="11" t="s">
        <v>132</v>
      </c>
      <c r="L143" s="10" t="s">
        <v>343</v>
      </c>
    </row>
    <row r="144" spans="1:12" x14ac:dyDescent="0.35">
      <c r="A144" s="1">
        <v>145</v>
      </c>
      <c r="B144" s="10" t="s">
        <v>352</v>
      </c>
      <c r="C144" s="11" t="s">
        <v>353</v>
      </c>
      <c r="D144" s="11" t="e">
        <f>VLOOKUP(C144,Referencia!$A$2:$B$13,2,0)</f>
        <v>#N/A</v>
      </c>
      <c r="G144" s="11" t="s">
        <v>132</v>
      </c>
      <c r="K144" s="11">
        <v>3115853161</v>
      </c>
      <c r="L144" s="10" t="s">
        <v>354</v>
      </c>
    </row>
    <row r="145" spans="1:12" x14ac:dyDescent="0.35">
      <c r="A145" s="1">
        <v>146</v>
      </c>
      <c r="B145" s="10" t="s">
        <v>355</v>
      </c>
      <c r="C145" s="11" t="s">
        <v>353</v>
      </c>
      <c r="D145" s="11" t="e">
        <f>VLOOKUP(C145,Referencia!$A$2:$B$13,2,0)</f>
        <v>#N/A</v>
      </c>
      <c r="G145" s="11" t="s">
        <v>132</v>
      </c>
      <c r="K145" s="11">
        <v>3103658308</v>
      </c>
    </row>
    <row r="146" spans="1:12" x14ac:dyDescent="0.35">
      <c r="A146" s="1">
        <v>147</v>
      </c>
      <c r="B146" s="10" t="s">
        <v>356</v>
      </c>
      <c r="C146" s="11" t="s">
        <v>301</v>
      </c>
      <c r="D146" s="11" t="str">
        <f>VLOOKUP(C146,Referencia!$A$2:$B$13,2,0)</f>
        <v>Occidente</v>
      </c>
      <c r="G146" s="11" t="s">
        <v>132</v>
      </c>
      <c r="K146" s="11">
        <v>3142426078</v>
      </c>
      <c r="L146" s="10" t="s">
        <v>357</v>
      </c>
    </row>
    <row r="147" spans="1:12" x14ac:dyDescent="0.35">
      <c r="A147" s="1">
        <v>148</v>
      </c>
      <c r="B147" s="10" t="s">
        <v>358</v>
      </c>
      <c r="C147" s="11" t="s">
        <v>353</v>
      </c>
      <c r="D147" s="11" t="e">
        <f>VLOOKUP(C147,Referencia!$A$2:$B$13,2,0)</f>
        <v>#N/A</v>
      </c>
      <c r="G147" s="11" t="s">
        <v>132</v>
      </c>
    </row>
    <row r="148" spans="1:12" x14ac:dyDescent="0.35">
      <c r="A148" s="1">
        <v>149</v>
      </c>
      <c r="B148" s="10" t="s">
        <v>359</v>
      </c>
      <c r="C148" s="11" t="s">
        <v>301</v>
      </c>
      <c r="D148" s="11" t="str">
        <f>VLOOKUP(C148,Referencia!$A$2:$B$13,2,0)</f>
        <v>Occidente</v>
      </c>
      <c r="G148" s="11" t="s">
        <v>132</v>
      </c>
      <c r="I148" s="20" t="s">
        <v>360</v>
      </c>
    </row>
    <row r="149" spans="1:12" x14ac:dyDescent="0.35">
      <c r="A149" s="1">
        <v>150</v>
      </c>
      <c r="B149" s="10" t="s">
        <v>361</v>
      </c>
      <c r="C149" s="11" t="s">
        <v>82</v>
      </c>
      <c r="D149" s="11" t="str">
        <f>VLOOKUP(C149,Referencia!$A$2:$B$13,2,0)</f>
        <v>Occidente</v>
      </c>
      <c r="G149" s="11" t="s">
        <v>132</v>
      </c>
      <c r="K149" s="11">
        <v>3214203361</v>
      </c>
      <c r="L149" s="10" t="s">
        <v>362</v>
      </c>
    </row>
    <row r="150" spans="1:12" x14ac:dyDescent="0.35">
      <c r="A150" s="1">
        <v>151</v>
      </c>
      <c r="B150" s="10" t="s">
        <v>363</v>
      </c>
      <c r="C150" s="11" t="s">
        <v>353</v>
      </c>
      <c r="D150" s="11" t="e">
        <f>VLOOKUP(C150,Referencia!$A$2:$B$13,2,0)</f>
        <v>#N/A</v>
      </c>
      <c r="G150" s="11" t="s">
        <v>132</v>
      </c>
      <c r="K150" s="11">
        <v>3202914077</v>
      </c>
    </row>
    <row r="151" spans="1:12" x14ac:dyDescent="0.35">
      <c r="A151" s="1">
        <v>152</v>
      </c>
      <c r="B151" s="10" t="s">
        <v>364</v>
      </c>
      <c r="C151" s="11" t="s">
        <v>365</v>
      </c>
      <c r="D151" s="11" t="e">
        <f>VLOOKUP(C151,Referencia!$A$2:$B$13,2,0)</f>
        <v>#N/A</v>
      </c>
      <c r="G151" s="11" t="s">
        <v>132</v>
      </c>
    </row>
    <row r="152" spans="1:12" x14ac:dyDescent="0.35">
      <c r="A152" s="1">
        <v>153</v>
      </c>
      <c r="B152" s="10" t="s">
        <v>366</v>
      </c>
      <c r="C152" s="11" t="s">
        <v>367</v>
      </c>
      <c r="D152" s="11" t="e">
        <f>VLOOKUP(C152,Referencia!$A$2:$B$13,2,0)</f>
        <v>#N/A</v>
      </c>
      <c r="G152" s="11" t="s">
        <v>132</v>
      </c>
      <c r="L152" s="10" t="s">
        <v>368</v>
      </c>
    </row>
    <row r="153" spans="1:12" x14ac:dyDescent="0.35">
      <c r="A153" s="1">
        <v>154</v>
      </c>
      <c r="B153" s="10" t="s">
        <v>369</v>
      </c>
      <c r="C153" s="11" t="s">
        <v>367</v>
      </c>
      <c r="D153" s="11" t="e">
        <f>VLOOKUP(C153,Referencia!$A$2:$B$13,2,0)</f>
        <v>#N/A</v>
      </c>
      <c r="G153" s="11" t="s">
        <v>132</v>
      </c>
      <c r="L153" s="10" t="s">
        <v>370</v>
      </c>
    </row>
    <row r="154" spans="1:12" x14ac:dyDescent="0.35">
      <c r="A154" s="1">
        <v>155</v>
      </c>
      <c r="B154" s="10" t="s">
        <v>371</v>
      </c>
      <c r="C154" s="11" t="s">
        <v>82</v>
      </c>
      <c r="D154" s="11" t="str">
        <f>VLOOKUP(C154,Referencia!$A$2:$B$13,2,0)</f>
        <v>Occidente</v>
      </c>
      <c r="G154" s="11" t="s">
        <v>132</v>
      </c>
      <c r="K154" s="11">
        <v>3104782125</v>
      </c>
      <c r="L154" s="10" t="s">
        <v>372</v>
      </c>
    </row>
    <row r="155" spans="1:12" x14ac:dyDescent="0.35">
      <c r="A155" s="1">
        <v>156</v>
      </c>
      <c r="B155" s="10" t="s">
        <v>373</v>
      </c>
      <c r="C155" s="11" t="s">
        <v>367</v>
      </c>
      <c r="D155" s="11" t="e">
        <f>VLOOKUP(C155,Referencia!$A$2:$B$13,2,0)</f>
        <v>#N/A</v>
      </c>
      <c r="G155" s="11" t="s">
        <v>132</v>
      </c>
      <c r="I155" s="20" t="s">
        <v>374</v>
      </c>
      <c r="K155" s="11">
        <v>3008323602</v>
      </c>
      <c r="L155" s="10" t="s">
        <v>375</v>
      </c>
    </row>
    <row r="156" spans="1:12" x14ac:dyDescent="0.35">
      <c r="A156" s="1">
        <v>157</v>
      </c>
      <c r="B156" s="10" t="s">
        <v>376</v>
      </c>
      <c r="C156" s="11" t="s">
        <v>367</v>
      </c>
      <c r="D156" s="11" t="e">
        <f>VLOOKUP(C156,Referencia!$A$2:$B$13,2,0)</f>
        <v>#N/A</v>
      </c>
      <c r="G156" s="11" t="s">
        <v>132</v>
      </c>
      <c r="K156" s="11">
        <v>3164665157</v>
      </c>
    </row>
    <row r="157" spans="1:12" x14ac:dyDescent="0.35">
      <c r="A157" s="1">
        <v>158</v>
      </c>
      <c r="B157" s="10" t="s">
        <v>377</v>
      </c>
      <c r="C157" s="11" t="s">
        <v>378</v>
      </c>
      <c r="D157" s="11" t="e">
        <f>VLOOKUP(C157,Referencia!$A$2:$B$13,2,0)</f>
        <v>#N/A</v>
      </c>
      <c r="G157" s="11" t="s">
        <v>132</v>
      </c>
      <c r="L157" s="10" t="s">
        <v>379</v>
      </c>
    </row>
    <row r="158" spans="1:12" x14ac:dyDescent="0.35">
      <c r="A158" s="1">
        <v>159</v>
      </c>
      <c r="B158" s="10" t="s">
        <v>380</v>
      </c>
      <c r="C158" s="11" t="s">
        <v>381</v>
      </c>
      <c r="D158" s="11" t="e">
        <f>VLOOKUP(C158,Referencia!$A$2:$B$13,2,0)</f>
        <v>#N/A</v>
      </c>
      <c r="G158" s="11" t="s">
        <v>132</v>
      </c>
      <c r="I158" s="20" t="s">
        <v>382</v>
      </c>
      <c r="K158" s="11" t="s">
        <v>383</v>
      </c>
    </row>
    <row r="159" spans="1:12" x14ac:dyDescent="0.35">
      <c r="A159" s="1">
        <v>160</v>
      </c>
      <c r="B159" s="10" t="s">
        <v>384</v>
      </c>
      <c r="C159" s="11" t="s">
        <v>82</v>
      </c>
      <c r="D159" s="11" t="str">
        <f>VLOOKUP(C159,Referencia!$A$2:$B$13,2,0)</f>
        <v>Occidente</v>
      </c>
      <c r="G159" s="11" t="s">
        <v>132</v>
      </c>
      <c r="I159" s="20" t="s">
        <v>385</v>
      </c>
      <c r="K159" s="11">
        <v>3114697106</v>
      </c>
      <c r="L159" s="10" t="s">
        <v>386</v>
      </c>
    </row>
    <row r="160" spans="1:12" x14ac:dyDescent="0.35">
      <c r="A160" s="1">
        <v>161</v>
      </c>
      <c r="B160" s="10" t="s">
        <v>387</v>
      </c>
      <c r="C160" s="11" t="s">
        <v>301</v>
      </c>
      <c r="D160" s="11" t="str">
        <f>VLOOKUP(C160,Referencia!$A$2:$B$13,2,0)</f>
        <v>Occidente</v>
      </c>
      <c r="G160" s="11" t="s">
        <v>132</v>
      </c>
      <c r="I160" s="20" t="s">
        <v>388</v>
      </c>
      <c r="K160" s="11">
        <v>3118704815</v>
      </c>
      <c r="L160" s="10" t="s">
        <v>389</v>
      </c>
    </row>
    <row r="161" spans="1:12" x14ac:dyDescent="0.35">
      <c r="A161" s="1">
        <v>162</v>
      </c>
      <c r="B161" s="10" t="s">
        <v>390</v>
      </c>
      <c r="C161" s="11" t="s">
        <v>82</v>
      </c>
      <c r="D161" s="11" t="str">
        <f>VLOOKUP(C161,Referencia!$A$2:$B$13,2,0)</f>
        <v>Occidente</v>
      </c>
      <c r="G161" s="11" t="s">
        <v>132</v>
      </c>
      <c r="I161" s="20" t="s">
        <v>391</v>
      </c>
      <c r="K161" s="11">
        <v>3115395790</v>
      </c>
    </row>
    <row r="162" spans="1:12" x14ac:dyDescent="0.35">
      <c r="A162" s="1">
        <v>163</v>
      </c>
      <c r="B162" s="10" t="s">
        <v>392</v>
      </c>
      <c r="C162" s="11" t="s">
        <v>82</v>
      </c>
      <c r="D162" s="11" t="str">
        <f>VLOOKUP(C162,Referencia!$A$2:$B$13,2,0)</f>
        <v>Occidente</v>
      </c>
      <c r="G162" s="11" t="s">
        <v>132</v>
      </c>
      <c r="K162" s="11">
        <v>3024610901</v>
      </c>
      <c r="L162" s="10" t="s">
        <v>393</v>
      </c>
    </row>
    <row r="163" spans="1:12" x14ac:dyDescent="0.35">
      <c r="A163" s="1">
        <v>164</v>
      </c>
      <c r="B163" s="10" t="s">
        <v>394</v>
      </c>
      <c r="C163" s="11" t="s">
        <v>395</v>
      </c>
      <c r="D163" s="11" t="e">
        <f>VLOOKUP(C163,Referencia!$A$2:$B$13,2,0)</f>
        <v>#N/A</v>
      </c>
      <c r="G163" s="11" t="s">
        <v>132</v>
      </c>
    </row>
    <row r="164" spans="1:12" x14ac:dyDescent="0.35">
      <c r="A164" s="1">
        <v>165</v>
      </c>
      <c r="B164" s="10" t="s">
        <v>396</v>
      </c>
      <c r="C164" s="11" t="s">
        <v>353</v>
      </c>
      <c r="D164" s="11" t="e">
        <f>VLOOKUP(C164,Referencia!$A$2:$B$13,2,0)</f>
        <v>#N/A</v>
      </c>
      <c r="G164" s="11" t="s">
        <v>132</v>
      </c>
      <c r="K164" s="11">
        <v>3214458000</v>
      </c>
    </row>
    <row r="165" spans="1:12" x14ac:dyDescent="0.35">
      <c r="A165" s="1">
        <v>166</v>
      </c>
      <c r="B165" s="10" t="s">
        <v>397</v>
      </c>
      <c r="C165" s="11" t="s">
        <v>353</v>
      </c>
      <c r="D165" s="11" t="e">
        <f>VLOOKUP(C165,Referencia!$A$2:$B$13,2,0)</f>
        <v>#N/A</v>
      </c>
      <c r="G165" s="11" t="s">
        <v>132</v>
      </c>
    </row>
    <row r="166" spans="1:12" x14ac:dyDescent="0.35">
      <c r="A166" s="1">
        <v>168</v>
      </c>
      <c r="B166" s="10" t="s">
        <v>398</v>
      </c>
      <c r="C166" s="11" t="s">
        <v>353</v>
      </c>
      <c r="D166" s="11" t="e">
        <f>VLOOKUP(C166,Referencia!$A$2:$B$13,2,0)</f>
        <v>#N/A</v>
      </c>
      <c r="G166" s="11" t="s">
        <v>132</v>
      </c>
      <c r="K166" s="11">
        <v>3134644881</v>
      </c>
      <c r="L166" s="10" t="s">
        <v>399</v>
      </c>
    </row>
    <row r="167" spans="1:12" x14ac:dyDescent="0.35">
      <c r="A167" s="1">
        <v>170</v>
      </c>
      <c r="B167" s="10" t="s">
        <v>400</v>
      </c>
      <c r="C167" s="11" t="s">
        <v>367</v>
      </c>
      <c r="D167" s="11" t="e">
        <f>VLOOKUP(C167,Referencia!$A$2:$B$13,2,0)</f>
        <v>#N/A</v>
      </c>
      <c r="G167" s="11" t="s">
        <v>132</v>
      </c>
      <c r="K167" s="11">
        <v>3115129585</v>
      </c>
    </row>
    <row r="168" spans="1:12" x14ac:dyDescent="0.35">
      <c r="A168" s="1">
        <v>171</v>
      </c>
      <c r="B168" s="10" t="s">
        <v>401</v>
      </c>
      <c r="C168" s="11" t="s">
        <v>367</v>
      </c>
      <c r="D168" s="11" t="e">
        <f>VLOOKUP(C168,Referencia!$A$2:$B$13,2,0)</f>
        <v>#N/A</v>
      </c>
      <c r="G168" s="11" t="s">
        <v>132</v>
      </c>
    </row>
    <row r="169" spans="1:12" x14ac:dyDescent="0.35">
      <c r="A169" s="1">
        <v>172</v>
      </c>
      <c r="B169" s="10" t="s">
        <v>402</v>
      </c>
      <c r="C169" s="11" t="s">
        <v>367</v>
      </c>
      <c r="D169" s="11" t="e">
        <f>VLOOKUP(C169,Referencia!$A$2:$B$13,2,0)</f>
        <v>#N/A</v>
      </c>
      <c r="G169" s="11" t="s">
        <v>132</v>
      </c>
      <c r="K169" s="11">
        <v>3123407070</v>
      </c>
    </row>
    <row r="170" spans="1:12" x14ac:dyDescent="0.35">
      <c r="A170" s="1">
        <v>173</v>
      </c>
      <c r="B170" s="10" t="s">
        <v>403</v>
      </c>
      <c r="C170" s="11" t="s">
        <v>353</v>
      </c>
      <c r="D170" s="11" t="e">
        <f>VLOOKUP(C170,Referencia!$A$2:$B$13,2,0)</f>
        <v>#N/A</v>
      </c>
      <c r="G170" s="11" t="s">
        <v>132</v>
      </c>
      <c r="I170" s="20" t="s">
        <v>404</v>
      </c>
      <c r="K170" s="11" t="s">
        <v>405</v>
      </c>
    </row>
    <row r="171" spans="1:12" x14ac:dyDescent="0.35">
      <c r="A171" s="1">
        <v>174</v>
      </c>
      <c r="B171" s="10" t="s">
        <v>406</v>
      </c>
      <c r="C171" s="11" t="s">
        <v>301</v>
      </c>
      <c r="D171" s="11" t="str">
        <f>VLOOKUP(C171,Referencia!$A$2:$B$13,2,0)</f>
        <v>Occidente</v>
      </c>
      <c r="G171" s="11" t="s">
        <v>132</v>
      </c>
      <c r="I171" s="20" t="s">
        <v>385</v>
      </c>
    </row>
    <row r="172" spans="1:12" x14ac:dyDescent="0.35">
      <c r="A172" s="1">
        <v>175</v>
      </c>
      <c r="B172" s="10" t="s">
        <v>407</v>
      </c>
      <c r="C172" s="11" t="s">
        <v>82</v>
      </c>
      <c r="D172" s="11" t="str">
        <f>VLOOKUP(C172,Referencia!$A$2:$B$13,2,0)</f>
        <v>Occidente</v>
      </c>
      <c r="G172" s="11" t="s">
        <v>132</v>
      </c>
    </row>
    <row r="173" spans="1:12" x14ac:dyDescent="0.35">
      <c r="A173" s="1">
        <v>141</v>
      </c>
      <c r="B173" s="10" t="s">
        <v>346</v>
      </c>
      <c r="C173" s="11" t="s">
        <v>129</v>
      </c>
      <c r="D173" s="11" t="str">
        <f>VLOOKUP(C173,Referencia!$A$2:$B$13,2,0)</f>
        <v>Serrania Majuy</v>
      </c>
      <c r="G173" s="11" t="s">
        <v>132</v>
      </c>
    </row>
    <row r="174" spans="1:12" x14ac:dyDescent="0.35">
      <c r="A174" s="1">
        <v>177</v>
      </c>
      <c r="B174" s="10" t="s">
        <v>410</v>
      </c>
      <c r="C174" s="11" t="s">
        <v>122</v>
      </c>
      <c r="D174" s="11" t="str">
        <f>VLOOKUP(C174,Referencia!$A$2:$B$13,2,0)</f>
        <v>Sabana Noroccidente</v>
      </c>
      <c r="E174" s="11" t="s">
        <v>110</v>
      </c>
      <c r="G174" s="11" t="s">
        <v>132</v>
      </c>
      <c r="L174" s="10" t="s">
        <v>411</v>
      </c>
    </row>
    <row r="175" spans="1:12" x14ac:dyDescent="0.35">
      <c r="A175" s="1">
        <v>144</v>
      </c>
      <c r="B175" s="10" t="s">
        <v>351</v>
      </c>
      <c r="C175" s="11" t="s">
        <v>127</v>
      </c>
      <c r="D175" s="11" t="str">
        <f>VLOOKUP(C175,Referencia!$A$2:$B$13,2,0)</f>
        <v>Serrania Majuy</v>
      </c>
      <c r="E175" s="11" t="s">
        <v>119</v>
      </c>
      <c r="G175" s="11" t="s">
        <v>132</v>
      </c>
      <c r="K175" s="11">
        <v>3115953084</v>
      </c>
    </row>
    <row r="176" spans="1:12" x14ac:dyDescent="0.35">
      <c r="A176" s="1">
        <v>77</v>
      </c>
      <c r="B176" s="10" t="s">
        <v>234</v>
      </c>
      <c r="C176" s="11" t="s">
        <v>416</v>
      </c>
      <c r="D176" s="11" t="str">
        <f>VLOOKUP(C176,Referencia!$A$2:$B$13,2,0)</f>
        <v>Sabana Norte</v>
      </c>
      <c r="G176" s="11" t="s">
        <v>132</v>
      </c>
      <c r="K176" s="11">
        <v>3102766339</v>
      </c>
      <c r="L176" s="10" t="s">
        <v>235</v>
      </c>
    </row>
    <row r="177" spans="1:12" x14ac:dyDescent="0.35">
      <c r="A177" s="1">
        <v>176</v>
      </c>
      <c r="B177" s="10" t="s">
        <v>408</v>
      </c>
      <c r="C177" s="11" t="s">
        <v>127</v>
      </c>
      <c r="D177" s="11" t="str">
        <f>VLOOKUP(C177,Referencia!$A$2:$B$13,2,0)</f>
        <v>Serrania Majuy</v>
      </c>
      <c r="E177" s="11" t="s">
        <v>119</v>
      </c>
      <c r="G177" s="11" t="s">
        <v>132</v>
      </c>
      <c r="L177" s="10" t="s">
        <v>409</v>
      </c>
    </row>
    <row r="178" spans="1:12" x14ac:dyDescent="0.35">
      <c r="A178" s="1">
        <v>181</v>
      </c>
      <c r="B178" s="11" t="s">
        <v>514</v>
      </c>
      <c r="C178" s="11" t="s">
        <v>129</v>
      </c>
      <c r="D178" s="11" t="str">
        <f>VLOOKUP(C178,Referencia!$A$2:$B$13,2,0)</f>
        <v>Serrania Majuy</v>
      </c>
      <c r="E178" s="11" t="s">
        <v>110</v>
      </c>
      <c r="G178" s="11" t="s">
        <v>132</v>
      </c>
      <c r="I178" s="20">
        <v>45854</v>
      </c>
    </row>
    <row r="179" spans="1:12" x14ac:dyDescent="0.35">
      <c r="A179" s="1">
        <v>182</v>
      </c>
      <c r="B179" s="11" t="s">
        <v>609</v>
      </c>
      <c r="C179" s="11" t="s">
        <v>122</v>
      </c>
      <c r="D179" s="11" t="str">
        <f>VLOOKUP(C179,Referencia!$A$2:$B$13,2,0)</f>
        <v>Sabana Noroccidente</v>
      </c>
      <c r="E179" s="11" t="s">
        <v>110</v>
      </c>
      <c r="G179" s="11" t="s">
        <v>111</v>
      </c>
      <c r="H179" s="45">
        <v>320000</v>
      </c>
      <c r="I179" s="20">
        <v>45884</v>
      </c>
    </row>
  </sheetData>
  <autoFilter ref="A1:N179" xr:uid="{87F5F4AD-6FFB-49D6-9A16-6F645316BAF2}"/>
  <sortState xmlns:xlrd2="http://schemas.microsoft.com/office/spreadsheetml/2017/richdata2" ref="A2:M176">
    <sortCondition descending="1" ref="G2:G179"/>
    <sortCondition descending="1" ref="H2:H179"/>
  </sortState>
  <conditionalFormatting sqref="A1:XFD1048576">
    <cfRule type="containsText" dxfId="0" priority="1" operator="containsText" text="Moroso">
      <formula>NOT(ISERROR(SEARCH("Moroso",A1)))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Referencia</vt:lpstr>
      <vt:lpstr>Zonas</vt:lpstr>
      <vt:lpstr>Productos</vt:lpstr>
      <vt:lpstr>Resumen_Diario</vt:lpstr>
      <vt:lpstr>RAW_DATA</vt:lpstr>
      <vt:lpstr>Hoja1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nicolas gomez rosas</cp:lastModifiedBy>
  <dcterms:created xsi:type="dcterms:W3CDTF">2025-06-14T17:51:20Z</dcterms:created>
  <dcterms:modified xsi:type="dcterms:W3CDTF">2025-09-16T13:07:01Z</dcterms:modified>
</cp:coreProperties>
</file>