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summer_project\nu_refined_high\"/>
    </mc:Choice>
  </mc:AlternateContent>
  <xr:revisionPtr revIDLastSave="0" documentId="13_ncr:1_{3E40334F-C5D2-4632-8C79-E72FEF82A39F}" xr6:coauthVersionLast="47" xr6:coauthVersionMax="47" xr10:uidLastSave="{00000000-0000-0000-0000-000000000000}"/>
  <bookViews>
    <workbookView xWindow="-98" yWindow="-98" windowWidth="21795" windowHeight="12975" activeTab="3" xr2:uid="{00000000-000D-0000-FFFF-FFFF00000000}"/>
  </bookViews>
  <sheets>
    <sheet name="CONVERGENCE_SLIP" sheetId="2" r:id="rId1"/>
    <sheet name="PRELIM" sheetId="1" r:id="rId2"/>
    <sheet name="PRODUCTION" sheetId="3" r:id="rId3"/>
    <sheet name="VARY_RE_NICOL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4" l="1"/>
  <c r="K6" i="4"/>
  <c r="J3" i="4"/>
  <c r="J4" i="4"/>
  <c r="J5" i="4"/>
  <c r="J6" i="4"/>
  <c r="E6" i="4"/>
  <c r="E5" i="4"/>
  <c r="E4" i="4"/>
  <c r="K4" i="4" s="1"/>
  <c r="E3" i="4"/>
  <c r="K3" i="4" s="1"/>
  <c r="E2" i="4"/>
  <c r="N3" i="4"/>
  <c r="N4" i="4" s="1"/>
  <c r="N5" i="4" s="1"/>
  <c r="N6" i="4" s="1"/>
  <c r="N7" i="4" s="1"/>
  <c r="N8" i="4" s="1"/>
  <c r="N9" i="4" s="1"/>
  <c r="N10" i="4" s="1"/>
  <c r="N11" i="4" s="1"/>
  <c r="N12" i="4" s="1"/>
  <c r="M3" i="4"/>
  <c r="M4" i="4" s="1"/>
  <c r="M5" i="4" s="1"/>
  <c r="Q3" i="4"/>
  <c r="Q2" i="4"/>
  <c r="P12" i="4"/>
  <c r="P11" i="4"/>
  <c r="P10" i="4"/>
  <c r="P9" i="4"/>
  <c r="P8" i="4"/>
  <c r="P7" i="4"/>
  <c r="P6" i="4"/>
  <c r="P5" i="4"/>
  <c r="P4" i="4"/>
  <c r="P3" i="4"/>
  <c r="P2" i="4"/>
  <c r="O12" i="4"/>
  <c r="O11" i="4"/>
  <c r="O10" i="4"/>
  <c r="O9" i="4"/>
  <c r="O8" i="4"/>
  <c r="O7" i="4"/>
  <c r="O6" i="4"/>
  <c r="O5" i="4"/>
  <c r="O4" i="4"/>
  <c r="O3" i="4"/>
  <c r="O2" i="4"/>
  <c r="C12" i="4"/>
  <c r="C11" i="4"/>
  <c r="C10" i="4"/>
  <c r="C9" i="4"/>
  <c r="C8" i="4"/>
  <c r="C7" i="4"/>
  <c r="C6" i="4"/>
  <c r="C5" i="4"/>
  <c r="C4" i="4"/>
  <c r="C3" i="4"/>
  <c r="C2" i="4"/>
  <c r="B6" i="4"/>
  <c r="B5" i="4"/>
  <c r="B4" i="4"/>
  <c r="B3" i="4"/>
  <c r="B2" i="4"/>
  <c r="B12" i="4"/>
  <c r="J12" i="4" s="1"/>
  <c r="B11" i="4"/>
  <c r="J11" i="4" s="1"/>
  <c r="E12" i="4"/>
  <c r="K12" i="4"/>
  <c r="E11" i="4"/>
  <c r="K11" i="4"/>
  <c r="E10" i="4"/>
  <c r="K10" i="4" s="1"/>
  <c r="E9" i="4"/>
  <c r="K9" i="4" s="1"/>
  <c r="E8" i="4"/>
  <c r="K8" i="4" s="1"/>
  <c r="E7" i="4"/>
  <c r="K7" i="4" s="1"/>
  <c r="B10" i="4"/>
  <c r="J10" i="4" s="1"/>
  <c r="B9" i="4"/>
  <c r="J9" i="4" s="1"/>
  <c r="B8" i="4"/>
  <c r="J8" i="4" s="1"/>
  <c r="B7" i="4"/>
  <c r="J7" i="4" s="1"/>
  <c r="P11" i="3"/>
  <c r="P10" i="3"/>
  <c r="P9" i="3"/>
  <c r="P8" i="3"/>
  <c r="P7" i="3"/>
  <c r="P6" i="3"/>
  <c r="P5" i="3"/>
  <c r="P4" i="3"/>
  <c r="M13" i="3"/>
  <c r="O13" i="3" s="1"/>
  <c r="P13" i="3" s="1"/>
  <c r="M6" i="3"/>
  <c r="O6" i="3"/>
  <c r="E6" i="3"/>
  <c r="M11" i="3"/>
  <c r="O11" i="3" s="1"/>
  <c r="E7" i="3"/>
  <c r="M7" i="3" s="1"/>
  <c r="O7" i="3" s="1"/>
  <c r="E4" i="3"/>
  <c r="M4" i="3" s="1"/>
  <c r="O4" i="3" s="1"/>
  <c r="M8" i="3"/>
  <c r="O8" i="3" s="1"/>
  <c r="E10" i="3"/>
  <c r="M10" i="3" s="1"/>
  <c r="O10" i="3" s="1"/>
  <c r="E9" i="3"/>
  <c r="M9" i="3" s="1"/>
  <c r="O9" i="3" s="1"/>
  <c r="E5" i="3"/>
  <c r="M5" i="3" s="1"/>
  <c r="O5" i="3" s="1"/>
  <c r="I16" i="2"/>
  <c r="J16" i="2" s="1"/>
  <c r="I5" i="2"/>
  <c r="J5" i="2" s="1"/>
  <c r="N18" i="1"/>
  <c r="Q18" i="1" s="1"/>
  <c r="O18" i="1"/>
  <c r="E18" i="1"/>
  <c r="Q3" i="1"/>
  <c r="O17" i="1"/>
  <c r="N17" i="1"/>
  <c r="Q17" i="1" s="1"/>
  <c r="E17" i="1"/>
  <c r="O16" i="1"/>
  <c r="N16" i="1"/>
  <c r="Q16" i="1" s="1"/>
  <c r="R16" i="1" s="1"/>
  <c r="E16" i="1"/>
  <c r="O15" i="1"/>
  <c r="N15" i="1"/>
  <c r="Q15" i="1" s="1"/>
  <c r="R15" i="1" s="1"/>
  <c r="O3" i="1"/>
  <c r="R3" i="1" s="1"/>
  <c r="E15" i="1"/>
  <c r="Q5" i="4" l="1"/>
  <c r="M6" i="4"/>
  <c r="Q4" i="4"/>
  <c r="I9" i="2"/>
  <c r="J9" i="2" s="1"/>
  <c r="I10" i="2"/>
  <c r="J10" i="2" s="1"/>
  <c r="R18" i="1"/>
  <c r="R17" i="1"/>
  <c r="M7" i="4" l="1"/>
  <c r="Q6" i="4"/>
  <c r="M8" i="4" l="1"/>
  <c r="Q7" i="4"/>
  <c r="Q8" i="4" l="1"/>
  <c r="M9" i="4"/>
  <c r="M10" i="4" l="1"/>
  <c r="Q9" i="4"/>
  <c r="M11" i="4" l="1"/>
  <c r="Q10" i="4"/>
  <c r="Q11" i="4" l="1"/>
  <c r="M12" i="4"/>
  <c r="Q12" i="4" s="1"/>
</calcChain>
</file>

<file path=xl/sharedStrings.xml><?xml version="1.0" encoding="utf-8"?>
<sst xmlns="http://schemas.openxmlformats.org/spreadsheetml/2006/main" count="168" uniqueCount="75">
  <si>
    <t>test1</t>
  </si>
  <si>
    <t>test2</t>
  </si>
  <si>
    <t>750x250</t>
  </si>
  <si>
    <t>1500x500</t>
  </si>
  <si>
    <t>2250x750</t>
  </si>
  <si>
    <t>Rmax</t>
  </si>
  <si>
    <t>tmax</t>
  </si>
  <si>
    <t>simpleGrading</t>
  </si>
  <si>
    <t>(1 1 2)</t>
  </si>
  <si>
    <t>slip1</t>
  </si>
  <si>
    <t>Slip Model</t>
  </si>
  <si>
    <t>N</t>
  </si>
  <si>
    <t>slip2</t>
  </si>
  <si>
    <t>test3_sonic</t>
  </si>
  <si>
    <t>long1_sonic</t>
  </si>
  <si>
    <t>sigma</t>
  </si>
  <si>
    <t>2000x500</t>
  </si>
  <si>
    <t>We</t>
  </si>
  <si>
    <t>test2_precond</t>
  </si>
  <si>
    <t>Reduced Re:</t>
  </si>
  <si>
    <t>high_visc1</t>
  </si>
  <si>
    <t>1000x500</t>
  </si>
  <si>
    <t xml:space="preserve">N </t>
  </si>
  <si>
    <t>nu</t>
  </si>
  <si>
    <t>test3_precond_sonic</t>
  </si>
  <si>
    <t>test4_precond_sonic</t>
  </si>
  <si>
    <t>3000x1000</t>
  </si>
  <si>
    <t>Comment</t>
  </si>
  <si>
    <t>Lift has occurred</t>
  </si>
  <si>
    <t>high_visc3</t>
  </si>
  <si>
    <t>Rmax (correlation)</t>
  </si>
  <si>
    <t>Lift has occurred (case since deleted!)</t>
  </si>
  <si>
    <t>long2_sonic</t>
  </si>
  <si>
    <t>short1</t>
  </si>
  <si>
    <t>We^(1/2)</t>
  </si>
  <si>
    <t>Rmax*We^(1/2)</t>
  </si>
  <si>
    <t>short2</t>
  </si>
  <si>
    <t>slip3</t>
  </si>
  <si>
    <t>Let's make slip3 our central caseL</t>
  </si>
  <si>
    <t>delta_z (1)</t>
  </si>
  <si>
    <t>alpha</t>
  </si>
  <si>
    <t>lambda_s</t>
  </si>
  <si>
    <t>So a new case is :</t>
  </si>
  <si>
    <t>slip3_refined1</t>
  </si>
  <si>
    <t>slip3_refined2</t>
  </si>
  <si>
    <t>slip4</t>
  </si>
  <si>
    <t>Slip3_AMR</t>
  </si>
  <si>
    <t>slip3_amr</t>
  </si>
  <si>
    <t xml:space="preserve">(1 1 2) </t>
  </si>
  <si>
    <t>slip3_amr_R1</t>
  </si>
  <si>
    <t>Sonic</t>
  </si>
  <si>
    <t>SURFTEN</t>
  </si>
  <si>
    <t>Y</t>
  </si>
  <si>
    <t>Lx</t>
  </si>
  <si>
    <t>3000x750</t>
  </si>
  <si>
    <t>f</t>
  </si>
  <si>
    <t>1500x750</t>
  </si>
  <si>
    <t>long3_sonic</t>
  </si>
  <si>
    <t>RL OK</t>
  </si>
  <si>
    <t>long4_sonic</t>
  </si>
  <si>
    <t>long5_sonic</t>
  </si>
  <si>
    <t>CA 50 degrees</t>
  </si>
  <si>
    <t>Re</t>
  </si>
  <si>
    <t>(Rmax/R0)*(We/Re)^(1/2)</t>
  </si>
  <si>
    <t>Nu</t>
  </si>
  <si>
    <t>Time Step</t>
  </si>
  <si>
    <t>Time Max</t>
  </si>
  <si>
    <t>Rmax/R0</t>
  </si>
  <si>
    <t>log(Re)</t>
  </si>
  <si>
    <t>log(Rmax/R0)</t>
  </si>
  <si>
    <t>k1</t>
  </si>
  <si>
    <t>k2</t>
  </si>
  <si>
    <t>Re^(1/3)</t>
  </si>
  <si>
    <t>(Re/We)^(1/2)</t>
  </si>
  <si>
    <t>Borderline, lift has not yet occurred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</si>
</sst>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2" borderId="0" xfId="0" applyFill="1"/>
    <xf numFmtId="11" fontId="0" fillId="2" borderId="0" xfId="0" applyNumberFormat="1" applyFill="1"/>
    <xf numFmtId="164" fontId="0" fillId="2" borderId="0" xfId="0" applyNumberFormat="1" applyFill="1"/>
    <xf numFmtId="0" fontId="0" fillId="3" borderId="0" xfId="0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1" fillId="0" borderId="1" xfId="0" applyFont="1" applyBorder="1" applyAlignment="1">
      <alignment wrapText="1"/>
    </xf>
    <xf numFmtId="11" fontId="0" fillId="0" borderId="1" xfId="0" applyNumberFormat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1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PRELIM!$N$3:$N$17</c:f>
              <c:numCache>
                <c:formatCode>General</c:formatCode>
                <c:ptCount val="15"/>
                <c:pt idx="0">
                  <c:v>41.666699999999999</c:v>
                </c:pt>
                <c:pt idx="12">
                  <c:v>416.66699999999997</c:v>
                </c:pt>
                <c:pt idx="13">
                  <c:v>208.33349999999999</c:v>
                </c:pt>
                <c:pt idx="14">
                  <c:v>20.833349999999999</c:v>
                </c:pt>
              </c:numCache>
            </c:numRef>
          </c:xVal>
          <c:yVal>
            <c:numRef>
              <c:f>PRELIM!$O$3:$O$17</c:f>
              <c:numCache>
                <c:formatCode>General</c:formatCode>
                <c:ptCount val="15"/>
                <c:pt idx="0">
                  <c:v>10.933333333333334</c:v>
                </c:pt>
                <c:pt idx="12">
                  <c:v>14.499999999999998</c:v>
                </c:pt>
                <c:pt idx="13">
                  <c:v>13.866666666666665</c:v>
                </c:pt>
                <c:pt idx="14">
                  <c:v>8.4166666666666679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1-4127-8C11-62AC864CC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541151"/>
        <c:axId val="1782541631"/>
      </c:scatterChart>
      <c:valAx>
        <c:axId val="178254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541631"/>
        <c:crosses val="autoZero"/>
        <c:crossBetween val="midCat"/>
      </c:valAx>
      <c:valAx>
        <c:axId val="178254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54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PRELIM!$Q$3:$Q$18</c:f>
              <c:numCache>
                <c:formatCode>General</c:formatCode>
                <c:ptCount val="16"/>
                <c:pt idx="0">
                  <c:v>6.4549748256674091</c:v>
                </c:pt>
                <c:pt idx="12">
                  <c:v>20.412422688157328</c:v>
                </c:pt>
                <c:pt idx="13">
                  <c:v>14.43376250324218</c:v>
                </c:pt>
                <c:pt idx="14">
                  <c:v>4.5643564716178773</c:v>
                </c:pt>
                <c:pt idx="15">
                  <c:v>2.886752500648436</c:v>
                </c:pt>
              </c:numCache>
            </c:numRef>
          </c:xVal>
          <c:yVal>
            <c:numRef>
              <c:f>PRELIM!$R$3:$R$18</c:f>
              <c:numCache>
                <c:formatCode>General</c:formatCode>
                <c:ptCount val="16"/>
                <c:pt idx="0">
                  <c:v>70.574391427297002</c:v>
                </c:pt>
                <c:pt idx="12">
                  <c:v>295.98012897828124</c:v>
                </c:pt>
                <c:pt idx="13">
                  <c:v>200.14817337829155</c:v>
                </c:pt>
                <c:pt idx="14">
                  <c:v>38.416666969450475</c:v>
                </c:pt>
                <c:pt idx="15">
                  <c:v>16.358264170341137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36-435E-8F31-7FE5AC82C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93279"/>
        <c:axId val="627193759"/>
      </c:scatterChart>
      <c:valAx>
        <c:axId val="62719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93759"/>
        <c:crosses val="autoZero"/>
        <c:crossBetween val="midCat"/>
      </c:valAx>
      <c:valAx>
        <c:axId val="62719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9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PRODUCTION!$O$4:$O$11</c:f>
              <c:numCache>
                <c:formatCode>General</c:formatCode>
                <c:ptCount val="8"/>
                <c:pt idx="0">
                  <c:v>20.412414523193153</c:v>
                </c:pt>
                <c:pt idx="1">
                  <c:v>14.433756729740644</c:v>
                </c:pt>
                <c:pt idx="2">
                  <c:v>11.180339887498949</c:v>
                </c:pt>
                <c:pt idx="3">
                  <c:v>9.1287092917527684</c:v>
                </c:pt>
                <c:pt idx="4">
                  <c:v>6.4549722436790287</c:v>
                </c:pt>
                <c:pt idx="5">
                  <c:v>4.5643546458763842</c:v>
                </c:pt>
                <c:pt idx="6">
                  <c:v>2.8867513459481291</c:v>
                </c:pt>
                <c:pt idx="7">
                  <c:v>2.0412414523193152</c:v>
                </c:pt>
              </c:numCache>
            </c:numRef>
          </c:xVal>
          <c:yVal>
            <c:numRef>
              <c:f>PRODUCTION!$P$4:$P$11</c:f>
              <c:numCache>
                <c:formatCode>General</c:formatCode>
                <c:ptCount val="8"/>
                <c:pt idx="0">
                  <c:v>5.761601822024458</c:v>
                </c:pt>
                <c:pt idx="1">
                  <c:v>3.8052741177359497</c:v>
                </c:pt>
                <c:pt idx="2">
                  <c:v>2.857738033247041</c:v>
                </c:pt>
                <c:pt idx="3">
                  <c:v>2.1422222222222222</c:v>
                </c:pt>
                <c:pt idx="4">
                  <c:v>1.3150064809726223</c:v>
                </c:pt>
                <c:pt idx="5">
                  <c:v>0.71222222222222231</c:v>
                </c:pt>
                <c:pt idx="6">
                  <c:v>0.31166003161881695</c:v>
                </c:pt>
                <c:pt idx="7">
                  <c:v>0.16397831834998455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A-4CE8-BABE-25B538C92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561055"/>
        <c:axId val="1489544735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PRODUCTION!$O$17:$O$24</c:f>
              <c:numCache>
                <c:formatCode>General</c:formatCode>
                <c:ptCount val="8"/>
                <c:pt idx="4">
                  <c:v>5.7616018220000003</c:v>
                </c:pt>
                <c:pt idx="5">
                  <c:v>3.8052741179999998</c:v>
                </c:pt>
                <c:pt idx="6">
                  <c:v>2.857738033</c:v>
                </c:pt>
                <c:pt idx="7">
                  <c:v>2.142222222</c:v>
                </c:pt>
              </c:numCache>
            </c:numRef>
          </c:xVal>
          <c:yVal>
            <c:numRef>
              <c:f>PRODUCTION!$P$17:$P$24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0B-47BA-B2CF-9F78D17C6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561055"/>
        <c:axId val="1489544735"/>
      </c:scatterChart>
      <c:valAx>
        <c:axId val="148956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44735"/>
        <c:crosses val="autoZero"/>
        <c:crossBetween val="midCat"/>
      </c:valAx>
      <c:valAx>
        <c:axId val="148954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6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PRODUCTION!$N$21:$N$24</c:f>
              <c:numCache>
                <c:formatCode>General</c:formatCode>
                <c:ptCount val="4"/>
                <c:pt idx="0">
                  <c:v>20.412414519999999</c:v>
                </c:pt>
                <c:pt idx="1">
                  <c:v>14.433756730000001</c:v>
                </c:pt>
                <c:pt idx="2">
                  <c:v>11.180339890000001</c:v>
                </c:pt>
                <c:pt idx="3">
                  <c:v>9.1287092919999999</c:v>
                </c:pt>
              </c:numCache>
            </c:numRef>
          </c:xVal>
          <c:yVal>
            <c:numRef>
              <c:f>PRODUCTION!$O$21:$O$24</c:f>
              <c:numCache>
                <c:formatCode>General</c:formatCode>
                <c:ptCount val="4"/>
                <c:pt idx="0">
                  <c:v>5.7616018220000003</c:v>
                </c:pt>
                <c:pt idx="1">
                  <c:v>3.8052741179999998</c:v>
                </c:pt>
                <c:pt idx="2">
                  <c:v>2.857738033</c:v>
                </c:pt>
                <c:pt idx="3">
                  <c:v>2.142222222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5-404A-87E6-862B95250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52608"/>
        <c:axId val="203753568"/>
      </c:scatterChart>
      <c:valAx>
        <c:axId val="20375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53568"/>
        <c:crosses val="autoZero"/>
        <c:crossBetween val="midCat"/>
      </c:valAx>
      <c:valAx>
        <c:axId val="20375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5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VARY_RE_NICOLA!$B$7:$B$12</c:f>
              <c:numCache>
                <c:formatCode>General</c:formatCode>
                <c:ptCount val="6"/>
                <c:pt idx="0">
                  <c:v>3000</c:v>
                </c:pt>
                <c:pt idx="1">
                  <c:v>1500</c:v>
                </c:pt>
                <c:pt idx="2">
                  <c:v>750</c:v>
                </c:pt>
                <c:pt idx="3">
                  <c:v>500</c:v>
                </c:pt>
                <c:pt idx="4">
                  <c:v>375</c:v>
                </c:pt>
                <c:pt idx="5">
                  <c:v>300</c:v>
                </c:pt>
              </c:numCache>
            </c:numRef>
          </c:xVal>
          <c:yVal>
            <c:numRef>
              <c:f>VARY_RE_NICOLA!$E$7:$E$12</c:f>
              <c:numCache>
                <c:formatCode>General</c:formatCode>
                <c:ptCount val="6"/>
                <c:pt idx="0">
                  <c:v>11.2</c:v>
                </c:pt>
                <c:pt idx="1">
                  <c:v>9.4968598266666664</c:v>
                </c:pt>
                <c:pt idx="2">
                  <c:v>8.2664210566666654</c:v>
                </c:pt>
                <c:pt idx="3">
                  <c:v>7.6392262933333335</c:v>
                </c:pt>
                <c:pt idx="4">
                  <c:v>7.7223333333333333</c:v>
                </c:pt>
                <c:pt idx="5">
                  <c:v>6.4645000000000001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70-4527-A687-D3C7959BF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792896"/>
        <c:axId val="255792416"/>
      </c:scatterChart>
      <c:valAx>
        <c:axId val="25579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92416"/>
        <c:crosses val="autoZero"/>
        <c:crossBetween val="midCat"/>
      </c:valAx>
      <c:valAx>
        <c:axId val="25579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9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VARY_RE_NICOLA!$B$2:$B$12</c:f>
              <c:numCache>
                <c:formatCode>General</c:formatCode>
                <c:ptCount val="11"/>
                <c:pt idx="0">
                  <c:v>30000.000000000004</c:v>
                </c:pt>
                <c:pt idx="1">
                  <c:v>15000.000000000002</c:v>
                </c:pt>
                <c:pt idx="2">
                  <c:v>7500.0000000000009</c:v>
                </c:pt>
                <c:pt idx="3">
                  <c:v>5000</c:v>
                </c:pt>
                <c:pt idx="4">
                  <c:v>3750.0000000000005</c:v>
                </c:pt>
                <c:pt idx="5">
                  <c:v>3000</c:v>
                </c:pt>
                <c:pt idx="6">
                  <c:v>1500</c:v>
                </c:pt>
                <c:pt idx="7">
                  <c:v>750</c:v>
                </c:pt>
                <c:pt idx="8">
                  <c:v>500</c:v>
                </c:pt>
                <c:pt idx="9">
                  <c:v>375</c:v>
                </c:pt>
                <c:pt idx="10">
                  <c:v>300</c:v>
                </c:pt>
              </c:numCache>
            </c:numRef>
          </c:xVal>
          <c:yVal>
            <c:numRef>
              <c:f>VARY_RE_NICOLA!$Q$2:$Q$12</c:f>
              <c:numCache>
                <c:formatCode>General</c:formatCode>
                <c:ptCount val="11"/>
                <c:pt idx="0">
                  <c:v>18.079868127493967</c:v>
                </c:pt>
                <c:pt idx="1">
                  <c:v>15.744133241028999</c:v>
                </c:pt>
                <c:pt idx="2">
                  <c:v>13.481927307429512</c:v>
                </c:pt>
                <c:pt idx="3">
                  <c:v>12.237064723381678</c:v>
                </c:pt>
                <c:pt idx="4">
                  <c:v>11.39767899444314</c:v>
                </c:pt>
                <c:pt idx="5">
                  <c:v>10.773576448838341</c:v>
                </c:pt>
                <c:pt idx="6">
                  <c:v>8.9918566680866476</c:v>
                </c:pt>
                <c:pt idx="7">
                  <c:v>7.4485788483051962</c:v>
                </c:pt>
                <c:pt idx="8">
                  <c:v>6.6522448167424422</c:v>
                </c:pt>
                <c:pt idx="9">
                  <c:v>6.1323726366907447</c:v>
                </c:pt>
                <c:pt idx="10">
                  <c:v>5.7537935071040156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5-4562-8CD3-890B3EFFFDCA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VARY_RE_NICOLA!$B$2:$B$12</c:f>
              <c:numCache>
                <c:formatCode>General</c:formatCode>
                <c:ptCount val="11"/>
                <c:pt idx="0">
                  <c:v>30000.000000000004</c:v>
                </c:pt>
                <c:pt idx="1">
                  <c:v>15000.000000000002</c:v>
                </c:pt>
                <c:pt idx="2">
                  <c:v>7500.0000000000009</c:v>
                </c:pt>
                <c:pt idx="3">
                  <c:v>5000</c:v>
                </c:pt>
                <c:pt idx="4">
                  <c:v>3750.0000000000005</c:v>
                </c:pt>
                <c:pt idx="5">
                  <c:v>3000</c:v>
                </c:pt>
                <c:pt idx="6">
                  <c:v>1500</c:v>
                </c:pt>
                <c:pt idx="7">
                  <c:v>750</c:v>
                </c:pt>
                <c:pt idx="8">
                  <c:v>500</c:v>
                </c:pt>
                <c:pt idx="9">
                  <c:v>375</c:v>
                </c:pt>
                <c:pt idx="10">
                  <c:v>300</c:v>
                </c:pt>
              </c:numCache>
            </c:numRef>
          </c:xVal>
          <c:yVal>
            <c:numRef>
              <c:f>VARY_RE_NICOLA!$E$2:$E$12</c:f>
              <c:numCache>
                <c:formatCode>General</c:formatCode>
                <c:ptCount val="11"/>
                <c:pt idx="0">
                  <c:v>16.553333333333335</c:v>
                </c:pt>
                <c:pt idx="1">
                  <c:v>15.066666666666665</c:v>
                </c:pt>
                <c:pt idx="2">
                  <c:v>12.945746604263665</c:v>
                </c:pt>
                <c:pt idx="3">
                  <c:v>12.634666666666666</c:v>
                </c:pt>
                <c:pt idx="4">
                  <c:v>11.7828</c:v>
                </c:pt>
                <c:pt idx="5">
                  <c:v>11.2</c:v>
                </c:pt>
                <c:pt idx="6">
                  <c:v>9.4968598266666664</c:v>
                </c:pt>
                <c:pt idx="7">
                  <c:v>8.2664210566666654</c:v>
                </c:pt>
                <c:pt idx="8">
                  <c:v>7.6392262933333335</c:v>
                </c:pt>
                <c:pt idx="9">
                  <c:v>7.7223333333333333</c:v>
                </c:pt>
                <c:pt idx="10">
                  <c:v>6.4645000000000001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F5-4562-8CD3-890B3EFF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792896"/>
        <c:axId val="255792416"/>
      </c:scatterChart>
      <c:valAx>
        <c:axId val="255792896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92416"/>
        <c:crosses val="autoZero"/>
        <c:crossBetween val="midCat"/>
      </c:valAx>
      <c:valAx>
        <c:axId val="25579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9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1066800</xdr:colOff>
      <xdr:row>20</xdr:row>
      <xdr:rowOff>28575</xdr:rowOff>
    </xdr:from>
    <xdr:to>
      <xdr:col>9</xdr:col>
      <xdr:colOff>9525</xdr:colOff>
      <xdr:row>39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9E148-723E-30FD-61E2-9283EC2E2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452437</xdr:colOff>
      <xdr:row>20</xdr:row>
      <xdr:rowOff>33337</xdr:rowOff>
    </xdr:from>
    <xdr:to>
      <xdr:col>14</xdr:col>
      <xdr:colOff>481012</xdr:colOff>
      <xdr:row>34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5BBD64-0D39-DA48-9374-77999FF9B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12</xdr:row>
      <xdr:rowOff>138112</xdr:rowOff>
    </xdr:from>
    <xdr:to>
      <xdr:col>6</xdr:col>
      <xdr:colOff>476250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1D1CD4-B824-6CA3-7400-FD37E3DA8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276225</xdr:colOff>
      <xdr:row>11</xdr:row>
      <xdr:rowOff>52387</xdr:rowOff>
    </xdr:from>
    <xdr:to>
      <xdr:col>11</xdr:col>
      <xdr:colOff>504825</xdr:colOff>
      <xdr:row>25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6D90F7-68FB-AE7A-DF51-46A386CB6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319087</xdr:colOff>
      <xdr:row>13</xdr:row>
      <xdr:rowOff>14287</xdr:rowOff>
    </xdr:from>
    <xdr:to>
      <xdr:col>7</xdr:col>
      <xdr:colOff>176212</xdr:colOff>
      <xdr:row>27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9CBA7A-051F-9951-C71F-A09FC5C40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13</xdr:row>
      <xdr:rowOff>133350</xdr:rowOff>
    </xdr:from>
    <xdr:to>
      <xdr:col>16</xdr:col>
      <xdr:colOff>428625</xdr:colOff>
      <xdr:row>28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5805E6-1231-41AA-B1B0-85AC181F4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7AA2B-B297-4A9A-9895-0D748632A286}">
  <dimension ref="B3:M17"/>
  <sheetViews>
    <sheetView workbookViewId="0">
      <selection activeCell="H9" sqref="H9"/>
    </sheetView>
  </sheetViews>
  <sheetFormatPr defaultRowHeight="14.25" x14ac:dyDescent="0.45"/>
  <cols>
    <col min="2" max="3" width="17.73046875" customWidth="1"/>
    <col min="8" max="8" width="12" customWidth="1"/>
    <col min="9" max="9" width="10.3984375" customWidth="1"/>
    <col min="11" max="11" width="8.3984375" customWidth="1"/>
    <col min="12" max="13" width="14.3984375" customWidth="1"/>
  </cols>
  <sheetData>
    <row r="3" spans="2:13" x14ac:dyDescent="0.45">
      <c r="B3" t="s">
        <v>38</v>
      </c>
      <c r="H3" t="s">
        <v>39</v>
      </c>
      <c r="I3" t="s">
        <v>41</v>
      </c>
      <c r="J3" t="s">
        <v>40</v>
      </c>
      <c r="L3" t="s">
        <v>5</v>
      </c>
      <c r="M3" t="s">
        <v>6</v>
      </c>
    </row>
    <row r="5" spans="2:13" x14ac:dyDescent="0.45">
      <c r="B5" s="3" t="s">
        <v>37</v>
      </c>
      <c r="C5" s="3"/>
      <c r="D5" s="3" t="s">
        <v>3</v>
      </c>
      <c r="E5" s="3" t="s">
        <v>8</v>
      </c>
      <c r="F5" s="3">
        <v>7.1999999999999995E-2</v>
      </c>
      <c r="G5" s="4">
        <v>9.9999999999999995E-7</v>
      </c>
      <c r="H5" s="4">
        <v>1.6634E-5</v>
      </c>
      <c r="I5" s="4">
        <f>H5/2</f>
        <v>8.3170000000000002E-6</v>
      </c>
      <c r="J5" s="5">
        <f>H5/(H5+2*I5)</f>
        <v>0.5</v>
      </c>
      <c r="L5">
        <v>3.3599999999999998E-2</v>
      </c>
      <c r="M5">
        <v>5.9499999999999997E-2</v>
      </c>
    </row>
    <row r="6" spans="2:13" x14ac:dyDescent="0.45">
      <c r="B6" s="3"/>
      <c r="C6" s="3"/>
      <c r="D6" s="3"/>
      <c r="E6" s="3"/>
      <c r="F6" s="3"/>
      <c r="G6" s="3"/>
      <c r="H6" s="3"/>
      <c r="I6" s="3"/>
      <c r="J6" s="5"/>
    </row>
    <row r="7" spans="2:13" x14ac:dyDescent="0.45">
      <c r="B7" s="3" t="s">
        <v>42</v>
      </c>
      <c r="C7" s="3"/>
      <c r="D7" s="3"/>
      <c r="E7" s="3"/>
      <c r="F7" s="3"/>
      <c r="G7" s="3"/>
      <c r="H7" s="4"/>
      <c r="I7" s="3"/>
      <c r="J7" s="5"/>
    </row>
    <row r="8" spans="2:13" x14ac:dyDescent="0.45">
      <c r="B8" s="3"/>
      <c r="C8" s="3"/>
      <c r="D8" s="3"/>
      <c r="E8" s="3"/>
      <c r="F8" s="3"/>
      <c r="G8" s="3"/>
      <c r="H8" s="3"/>
      <c r="I8" s="3"/>
      <c r="J8" s="5"/>
    </row>
    <row r="9" spans="2:13" x14ac:dyDescent="0.45">
      <c r="B9" s="3" t="s">
        <v>43</v>
      </c>
      <c r="C9" s="3"/>
      <c r="D9" s="3" t="s">
        <v>4</v>
      </c>
      <c r="E9" s="3" t="s">
        <v>8</v>
      </c>
      <c r="F9" s="3">
        <v>7.1999999999999995E-2</v>
      </c>
      <c r="G9" s="4">
        <v>9.9999999999999995E-7</v>
      </c>
      <c r="H9" s="4">
        <v>1.10898E-5</v>
      </c>
      <c r="I9" s="4">
        <f>I5</f>
        <v>8.3170000000000002E-6</v>
      </c>
      <c r="J9" s="5">
        <f>H9/(H9+2*I9)</f>
        <v>0.40001009962559247</v>
      </c>
    </row>
    <row r="10" spans="2:13" x14ac:dyDescent="0.45">
      <c r="B10" s="3" t="s">
        <v>44</v>
      </c>
      <c r="C10" s="3" t="s">
        <v>50</v>
      </c>
      <c r="D10" s="3" t="s">
        <v>26</v>
      </c>
      <c r="E10" s="3" t="s">
        <v>8</v>
      </c>
      <c r="F10" s="3">
        <v>7.1999999999999995E-2</v>
      </c>
      <c r="G10" s="4">
        <v>9.9999999999999995E-7</v>
      </c>
      <c r="H10" s="4">
        <v>8.3174400000000004E-6</v>
      </c>
      <c r="I10" s="4">
        <f>I5</f>
        <v>8.3170000000000002E-6</v>
      </c>
      <c r="J10" s="5">
        <f>H10/(H10+2*I10)</f>
        <v>0.33334508950184838</v>
      </c>
    </row>
    <row r="11" spans="2:13" x14ac:dyDescent="0.45">
      <c r="G11" s="1"/>
      <c r="H11" s="1"/>
      <c r="I11" s="1"/>
      <c r="J11" s="2"/>
    </row>
    <row r="13" spans="2:13" x14ac:dyDescent="0.45">
      <c r="K13" s="1"/>
    </row>
    <row r="14" spans="2:13" x14ac:dyDescent="0.45">
      <c r="B14" t="s">
        <v>46</v>
      </c>
    </row>
    <row r="16" spans="2:13" x14ac:dyDescent="0.45">
      <c r="B16" t="s">
        <v>47</v>
      </c>
      <c r="D16" t="s">
        <v>2</v>
      </c>
      <c r="E16" t="s">
        <v>48</v>
      </c>
      <c r="F16">
        <v>7.1999999999999995E-2</v>
      </c>
      <c r="G16" s="1">
        <v>9.9999999999999995E-7</v>
      </c>
      <c r="H16" s="1">
        <v>1.6634E-5</v>
      </c>
      <c r="I16" s="1">
        <f>H16/2</f>
        <v>8.3170000000000002E-6</v>
      </c>
      <c r="J16" s="2">
        <f>H16/(H16+2*I16)</f>
        <v>0.5</v>
      </c>
    </row>
    <row r="17" spans="2:5" x14ac:dyDescent="0.45">
      <c r="B17" t="s">
        <v>49</v>
      </c>
      <c r="C17" t="s">
        <v>50</v>
      </c>
      <c r="D17" t="s">
        <v>3</v>
      </c>
      <c r="E17" t="s">
        <v>48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23"/>
  <sheetViews>
    <sheetView workbookViewId="0">
      <selection activeCell="I15" sqref="B15:I18"/>
    </sheetView>
  </sheetViews>
  <sheetFormatPr defaultRowHeight="14.25" x14ac:dyDescent="0.45"/>
  <cols>
    <col min="2" max="2" width="20.3984375" customWidth="1"/>
    <col min="3" max="3" width="12.59765625" customWidth="1"/>
    <col min="4" max="4" width="17" customWidth="1"/>
    <col min="10" max="10" width="22.3984375" customWidth="1"/>
  </cols>
  <sheetData>
    <row r="1" spans="2:18" x14ac:dyDescent="0.45">
      <c r="D1" t="s">
        <v>7</v>
      </c>
      <c r="E1" t="s">
        <v>15</v>
      </c>
      <c r="F1" t="s">
        <v>10</v>
      </c>
      <c r="G1" t="s">
        <v>23</v>
      </c>
      <c r="H1" t="s">
        <v>5</v>
      </c>
      <c r="I1" t="s">
        <v>6</v>
      </c>
      <c r="J1" t="s">
        <v>30</v>
      </c>
      <c r="K1" t="s">
        <v>27</v>
      </c>
    </row>
    <row r="2" spans="2:18" x14ac:dyDescent="0.45">
      <c r="B2" t="s">
        <v>0</v>
      </c>
      <c r="C2" t="s">
        <v>2</v>
      </c>
      <c r="D2" t="s">
        <v>8</v>
      </c>
      <c r="E2">
        <v>7.1999999999999995E-2</v>
      </c>
      <c r="F2" t="s">
        <v>11</v>
      </c>
      <c r="G2" s="1">
        <v>9.9999999999999995E-7</v>
      </c>
      <c r="H2">
        <v>3.1899999999999998E-2</v>
      </c>
      <c r="I2">
        <v>5.6000000000000001E-2</v>
      </c>
      <c r="J2">
        <v>3.0499999999999999E-2</v>
      </c>
      <c r="N2" t="s">
        <v>17</v>
      </c>
      <c r="O2" t="s">
        <v>5</v>
      </c>
      <c r="Q2" t="s">
        <v>34</v>
      </c>
      <c r="R2" t="s">
        <v>35</v>
      </c>
    </row>
    <row r="3" spans="2:18" x14ac:dyDescent="0.45">
      <c r="B3" t="s">
        <v>1</v>
      </c>
      <c r="C3" t="s">
        <v>3</v>
      </c>
      <c r="D3" t="s">
        <v>8</v>
      </c>
      <c r="E3">
        <v>7.1999999999999995E-2</v>
      </c>
      <c r="F3" t="s">
        <v>11</v>
      </c>
      <c r="G3" s="1">
        <v>9.9999999999999995E-7</v>
      </c>
      <c r="H3">
        <v>3.27E-2</v>
      </c>
      <c r="I3">
        <v>5.9499999999999997E-2</v>
      </c>
      <c r="J3">
        <v>3.0499999999999999E-2</v>
      </c>
      <c r="N3">
        <v>41.666699999999999</v>
      </c>
      <c r="O3">
        <f>0.0328/0.003</f>
        <v>10.933333333333334</v>
      </c>
      <c r="Q3">
        <f>SQRT(N3)</f>
        <v>6.4549748256674091</v>
      </c>
      <c r="R3">
        <f>O3*Q3</f>
        <v>70.574391427297002</v>
      </c>
    </row>
    <row r="4" spans="2:18" x14ac:dyDescent="0.45">
      <c r="B4" t="s">
        <v>13</v>
      </c>
      <c r="C4" t="s">
        <v>4</v>
      </c>
      <c r="D4" t="s">
        <v>8</v>
      </c>
      <c r="E4">
        <v>7.1999999999999995E-2</v>
      </c>
      <c r="F4" t="s">
        <v>11</v>
      </c>
      <c r="G4" s="1">
        <v>9.9999999999999995E-7</v>
      </c>
      <c r="H4">
        <v>3.2800000000000003E-2</v>
      </c>
      <c r="I4">
        <v>5.9499999999999997E-2</v>
      </c>
      <c r="J4">
        <v>3.0499999999999999E-2</v>
      </c>
    </row>
    <row r="6" spans="2:18" x14ac:dyDescent="0.45">
      <c r="B6" t="s">
        <v>18</v>
      </c>
      <c r="C6" t="s">
        <v>3</v>
      </c>
      <c r="D6" t="s">
        <v>8</v>
      </c>
      <c r="E6">
        <v>7.1999999999999995E-2</v>
      </c>
      <c r="F6" t="s">
        <v>11</v>
      </c>
      <c r="G6" s="1">
        <v>9.9999999999999995E-7</v>
      </c>
      <c r="H6">
        <v>3.2500000000000001E-2</v>
      </c>
      <c r="I6">
        <v>5.9499999999999997E-2</v>
      </c>
      <c r="J6">
        <v>3.0499999999999999E-2</v>
      </c>
    </row>
    <row r="7" spans="2:18" x14ac:dyDescent="0.45">
      <c r="B7" t="s">
        <v>24</v>
      </c>
      <c r="C7" t="s">
        <v>4</v>
      </c>
      <c r="D7" t="s">
        <v>8</v>
      </c>
      <c r="E7">
        <v>7.1999999999999995E-2</v>
      </c>
      <c r="F7" t="s">
        <v>11</v>
      </c>
      <c r="G7" s="1">
        <v>9.9999999999999995E-7</v>
      </c>
      <c r="H7">
        <v>3.2800000000000003E-2</v>
      </c>
      <c r="I7">
        <v>5.9499999999999997E-2</v>
      </c>
      <c r="J7">
        <v>3.0499999999999999E-2</v>
      </c>
    </row>
    <row r="8" spans="2:18" x14ac:dyDescent="0.45">
      <c r="B8" t="s">
        <v>25</v>
      </c>
      <c r="C8" t="s">
        <v>26</v>
      </c>
      <c r="D8" t="s">
        <v>8</v>
      </c>
      <c r="E8">
        <v>7.1999999999999995E-2</v>
      </c>
      <c r="F8" t="s">
        <v>11</v>
      </c>
      <c r="G8" s="1">
        <v>9.9999999999999995E-7</v>
      </c>
      <c r="H8">
        <v>3.27E-2</v>
      </c>
      <c r="I8">
        <v>5.7700000000000001E-2</v>
      </c>
      <c r="J8">
        <v>3.0499999999999999E-2</v>
      </c>
    </row>
    <row r="10" spans="2:18" x14ac:dyDescent="0.45">
      <c r="B10" t="s">
        <v>9</v>
      </c>
      <c r="C10" t="s">
        <v>3</v>
      </c>
      <c r="D10" t="s">
        <v>8</v>
      </c>
      <c r="E10">
        <v>7.1999999999999995E-2</v>
      </c>
      <c r="F10">
        <v>0.95</v>
      </c>
      <c r="G10" s="1">
        <v>9.9999999999999995E-7</v>
      </c>
      <c r="H10">
        <v>3.2800000000000003E-2</v>
      </c>
      <c r="I10">
        <v>5.9499999999999997E-2</v>
      </c>
    </row>
    <row r="11" spans="2:18" x14ac:dyDescent="0.45">
      <c r="B11" t="s">
        <v>12</v>
      </c>
      <c r="C11" t="s">
        <v>3</v>
      </c>
      <c r="D11" t="s">
        <v>8</v>
      </c>
      <c r="E11">
        <v>7.1999999999999995E-2</v>
      </c>
      <c r="F11">
        <v>0.9</v>
      </c>
      <c r="G11" s="1">
        <v>9.9999999999999995E-7</v>
      </c>
      <c r="H11">
        <v>3.2800000000000003E-2</v>
      </c>
      <c r="I11">
        <v>5.9499999999999997E-2</v>
      </c>
    </row>
    <row r="12" spans="2:18" x14ac:dyDescent="0.45">
      <c r="B12" t="s">
        <v>37</v>
      </c>
      <c r="C12" t="s">
        <v>3</v>
      </c>
      <c r="D12" t="s">
        <v>8</v>
      </c>
      <c r="E12">
        <v>7.1999999999999995E-2</v>
      </c>
      <c r="F12">
        <v>0.5</v>
      </c>
      <c r="G12" s="1">
        <v>9.9999999999999995E-7</v>
      </c>
      <c r="H12">
        <v>3.3599999999999998E-2</v>
      </c>
      <c r="I12">
        <v>5.9499999999999997E-2</v>
      </c>
    </row>
    <row r="13" spans="2:18" x14ac:dyDescent="0.45">
      <c r="B13" t="s">
        <v>45</v>
      </c>
      <c r="C13" t="s">
        <v>4</v>
      </c>
      <c r="D13" t="s">
        <v>8</v>
      </c>
      <c r="E13">
        <v>7.1999999999999995E-2</v>
      </c>
      <c r="F13">
        <v>0.5</v>
      </c>
      <c r="G13" s="1"/>
    </row>
    <row r="15" spans="2:18" x14ac:dyDescent="0.45">
      <c r="B15" t="s">
        <v>14</v>
      </c>
      <c r="C15" t="s">
        <v>16</v>
      </c>
      <c r="D15" t="s">
        <v>8</v>
      </c>
      <c r="E15">
        <f>0.072/10</f>
        <v>7.1999999999999998E-3</v>
      </c>
      <c r="G15" s="1">
        <v>9.9999999999999995E-7</v>
      </c>
      <c r="H15">
        <v>4.3499999999999997E-2</v>
      </c>
      <c r="I15">
        <v>0.11541700000000001</v>
      </c>
      <c r="J15">
        <v>4.2299999999999997E-2</v>
      </c>
      <c r="K15" t="s">
        <v>28</v>
      </c>
      <c r="N15">
        <f>10*41.6667</f>
        <v>416.66699999999997</v>
      </c>
      <c r="O15">
        <f>0.0435/0.003</f>
        <v>14.499999999999998</v>
      </c>
      <c r="Q15">
        <f t="shared" ref="Q15:Q17" si="0">SQRT(N15)</f>
        <v>20.412422688157328</v>
      </c>
      <c r="R15">
        <f t="shared" ref="R15:R17" si="1">O15*Q15</f>
        <v>295.98012897828124</v>
      </c>
    </row>
    <row r="16" spans="2:18" x14ac:dyDescent="0.45">
      <c r="B16" t="s">
        <v>32</v>
      </c>
      <c r="D16" t="s">
        <v>8</v>
      </c>
      <c r="E16">
        <f>0.072/5</f>
        <v>1.44E-2</v>
      </c>
      <c r="G16" s="1">
        <v>9.9999999999999995E-7</v>
      </c>
      <c r="H16">
        <v>4.1599999999999998E-2</v>
      </c>
      <c r="I16">
        <v>8.9179999999999995E-2</v>
      </c>
      <c r="J16">
        <v>4.0500000000000001E-2</v>
      </c>
      <c r="N16">
        <f>5*N3</f>
        <v>208.33349999999999</v>
      </c>
      <c r="O16">
        <f>H16/0.003</f>
        <v>13.866666666666665</v>
      </c>
      <c r="Q16">
        <f t="shared" si="0"/>
        <v>14.43376250324218</v>
      </c>
      <c r="R16">
        <f t="shared" si="1"/>
        <v>200.14817337829155</v>
      </c>
    </row>
    <row r="17" spans="2:18" x14ac:dyDescent="0.45">
      <c r="B17" t="s">
        <v>33</v>
      </c>
      <c r="C17" t="s">
        <v>21</v>
      </c>
      <c r="D17" t="s">
        <v>8</v>
      </c>
      <c r="E17">
        <f>0.072*2</f>
        <v>0.14399999999999999</v>
      </c>
      <c r="G17" s="1">
        <v>9.9999999999999995E-7</v>
      </c>
      <c r="H17">
        <v>2.5250000000000002E-2</v>
      </c>
      <c r="I17">
        <v>4.5467300000000002E-2</v>
      </c>
      <c r="J17">
        <v>2.3900000000000001E-2</v>
      </c>
      <c r="N17">
        <f>N3/2</f>
        <v>20.833349999999999</v>
      </c>
      <c r="O17">
        <f>H17/0.003</f>
        <v>8.4166666666666679</v>
      </c>
      <c r="Q17">
        <f t="shared" si="0"/>
        <v>4.5643564716178773</v>
      </c>
      <c r="R17">
        <f t="shared" si="1"/>
        <v>38.416666969450475</v>
      </c>
    </row>
    <row r="18" spans="2:18" x14ac:dyDescent="0.45">
      <c r="B18" t="s">
        <v>36</v>
      </c>
      <c r="C18" t="s">
        <v>21</v>
      </c>
      <c r="D18" t="s">
        <v>8</v>
      </c>
      <c r="E18">
        <f>0.072*5</f>
        <v>0.36</v>
      </c>
      <c r="G18" s="1">
        <v>9.9999999999999995E-7</v>
      </c>
      <c r="H18">
        <v>1.7000000000000001E-2</v>
      </c>
      <c r="I18">
        <v>3.4974900000000003E-2</v>
      </c>
      <c r="J18">
        <v>1.6299999999999999E-2</v>
      </c>
      <c r="N18">
        <f>N3/5</f>
        <v>8.3333399999999997</v>
      </c>
      <c r="O18">
        <f>H18/0.003</f>
        <v>5.666666666666667</v>
      </c>
      <c r="Q18">
        <f t="shared" ref="Q18" si="2">SQRT(N18)</f>
        <v>2.886752500648436</v>
      </c>
      <c r="R18">
        <f t="shared" ref="R18" si="3">O18*Q18</f>
        <v>16.358264170341137</v>
      </c>
    </row>
    <row r="20" spans="2:18" x14ac:dyDescent="0.45">
      <c r="B20" t="s">
        <v>19</v>
      </c>
    </row>
    <row r="22" spans="2:18" x14ac:dyDescent="0.45">
      <c r="B22" t="s">
        <v>20</v>
      </c>
      <c r="C22" t="s">
        <v>21</v>
      </c>
      <c r="D22" t="s">
        <v>8</v>
      </c>
      <c r="E22">
        <v>7.1999999999999995E-2</v>
      </c>
      <c r="F22" t="s">
        <v>22</v>
      </c>
      <c r="G22" s="1">
        <v>1.0000000000000001E-5</v>
      </c>
      <c r="H22">
        <v>2.1399999999999999E-2</v>
      </c>
      <c r="I22">
        <v>4.9000000000000002E-2</v>
      </c>
      <c r="J22">
        <v>1.84E-2</v>
      </c>
    </row>
    <row r="23" spans="2:18" x14ac:dyDescent="0.45">
      <c r="B23" t="s">
        <v>29</v>
      </c>
      <c r="C23" t="s">
        <v>21</v>
      </c>
      <c r="D23" t="s">
        <v>8</v>
      </c>
      <c r="E23">
        <v>7.1999999999999998E-3</v>
      </c>
      <c r="J23">
        <v>2.0799999999999999E-2</v>
      </c>
      <c r="K23" t="s">
        <v>31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6E0F2-9C82-4B77-9348-12D332A90BFD}">
  <dimension ref="B1:R24"/>
  <sheetViews>
    <sheetView topLeftCell="C1" workbookViewId="0">
      <selection activeCell="M8" sqref="M8"/>
    </sheetView>
  </sheetViews>
  <sheetFormatPr defaultRowHeight="14.25" x14ac:dyDescent="0.45"/>
  <cols>
    <col min="2" max="2" width="17.3984375" customWidth="1"/>
    <col min="3" max="3" width="16.265625" customWidth="1"/>
    <col min="6" max="7" width="14.73046875" customWidth="1"/>
    <col min="11" max="11" width="23" customWidth="1"/>
  </cols>
  <sheetData>
    <row r="1" spans="2:18" x14ac:dyDescent="0.45">
      <c r="E1" t="s">
        <v>51</v>
      </c>
    </row>
    <row r="2" spans="2:18" x14ac:dyDescent="0.45">
      <c r="D2" t="s">
        <v>7</v>
      </c>
      <c r="E2" t="s">
        <v>15</v>
      </c>
      <c r="F2" t="s">
        <v>10</v>
      </c>
      <c r="G2" t="s">
        <v>55</v>
      </c>
      <c r="H2" t="s">
        <v>23</v>
      </c>
      <c r="I2" t="s">
        <v>5</v>
      </c>
      <c r="J2" t="s">
        <v>6</v>
      </c>
      <c r="K2" t="s">
        <v>30</v>
      </c>
      <c r="L2" t="s">
        <v>53</v>
      </c>
      <c r="M2" t="s">
        <v>17</v>
      </c>
      <c r="N2" t="s">
        <v>62</v>
      </c>
      <c r="O2" t="s">
        <v>34</v>
      </c>
      <c r="P2" t="s">
        <v>63</v>
      </c>
    </row>
    <row r="4" spans="2:18" x14ac:dyDescent="0.45">
      <c r="B4" t="s">
        <v>14</v>
      </c>
      <c r="C4" t="s">
        <v>54</v>
      </c>
      <c r="D4" t="s">
        <v>8</v>
      </c>
      <c r="E4">
        <f>0.072/10</f>
        <v>7.1999999999999998E-3</v>
      </c>
      <c r="F4" t="s">
        <v>52</v>
      </c>
      <c r="G4" s="2">
        <v>0.4</v>
      </c>
      <c r="H4" s="1">
        <v>9.9999999999999995E-7</v>
      </c>
      <c r="I4">
        <v>4.6379999999999998E-2</v>
      </c>
      <c r="K4">
        <v>4.2299999999999997E-2</v>
      </c>
      <c r="L4">
        <v>0.06</v>
      </c>
      <c r="M4">
        <f t="shared" ref="M4:M10" si="0">1000*1*1*0.003/E4</f>
        <v>416.66666666666669</v>
      </c>
      <c r="N4">
        <v>3000</v>
      </c>
      <c r="O4">
        <f t="shared" ref="O4:O11" si="1">SQRT(M4)</f>
        <v>20.412414523193153</v>
      </c>
      <c r="P4">
        <f t="shared" ref="P4:P11" si="2">(I4/0.003)*SQRT(M4/N4)</f>
        <v>5.761601822024458</v>
      </c>
      <c r="R4" t="s">
        <v>28</v>
      </c>
    </row>
    <row r="5" spans="2:18" x14ac:dyDescent="0.45">
      <c r="B5" t="s">
        <v>32</v>
      </c>
      <c r="C5" t="s">
        <v>54</v>
      </c>
      <c r="D5" t="s">
        <v>8</v>
      </c>
      <c r="E5">
        <f>0.072/5</f>
        <v>1.44E-2</v>
      </c>
      <c r="F5" t="s">
        <v>52</v>
      </c>
      <c r="G5" s="2">
        <v>0.4</v>
      </c>
      <c r="H5" s="1">
        <v>9.9999999999999995E-7</v>
      </c>
      <c r="I5">
        <v>4.3319999999999997E-2</v>
      </c>
      <c r="K5">
        <v>4.0500000000000001E-2</v>
      </c>
      <c r="L5">
        <v>0.06</v>
      </c>
      <c r="M5">
        <f t="shared" si="0"/>
        <v>208.33333333333334</v>
      </c>
      <c r="N5">
        <v>3000</v>
      </c>
      <c r="O5">
        <f t="shared" si="1"/>
        <v>14.433756729740644</v>
      </c>
      <c r="P5">
        <f t="shared" si="2"/>
        <v>3.8052741177359497</v>
      </c>
      <c r="R5" t="s">
        <v>28</v>
      </c>
    </row>
    <row r="6" spans="2:18" x14ac:dyDescent="0.45">
      <c r="B6" t="s">
        <v>59</v>
      </c>
      <c r="C6" t="s">
        <v>54</v>
      </c>
      <c r="D6" t="s">
        <v>8</v>
      </c>
      <c r="E6">
        <f>0.072/3</f>
        <v>2.3999999999999997E-2</v>
      </c>
      <c r="G6" s="2">
        <v>0.4</v>
      </c>
      <c r="H6" s="1">
        <v>9.9999999999999995E-7</v>
      </c>
      <c r="I6">
        <v>4.2000000000000003E-2</v>
      </c>
      <c r="L6">
        <v>0.06</v>
      </c>
      <c r="M6">
        <f t="shared" si="0"/>
        <v>125.00000000000001</v>
      </c>
      <c r="N6">
        <v>3000</v>
      </c>
      <c r="O6">
        <f t="shared" si="1"/>
        <v>11.180339887498949</v>
      </c>
      <c r="P6">
        <f t="shared" si="2"/>
        <v>2.857738033247041</v>
      </c>
      <c r="R6" t="s">
        <v>58</v>
      </c>
    </row>
    <row r="7" spans="2:18" x14ac:dyDescent="0.45">
      <c r="B7" t="s">
        <v>57</v>
      </c>
      <c r="C7" t="s">
        <v>54</v>
      </c>
      <c r="D7" t="s">
        <v>8</v>
      </c>
      <c r="E7">
        <f>0.072/2</f>
        <v>3.5999999999999997E-2</v>
      </c>
      <c r="F7" t="s">
        <v>52</v>
      </c>
      <c r="G7" s="2">
        <v>0.4</v>
      </c>
      <c r="H7" s="1">
        <v>9.9999999999999995E-7</v>
      </c>
      <c r="I7">
        <v>3.8559999999999997E-2</v>
      </c>
      <c r="J7">
        <v>7.6944700000000005E-2</v>
      </c>
      <c r="K7">
        <v>4.0500000000000001E-2</v>
      </c>
      <c r="L7">
        <v>0.06</v>
      </c>
      <c r="M7">
        <f t="shared" si="0"/>
        <v>83.333333333333343</v>
      </c>
      <c r="N7">
        <v>3000</v>
      </c>
      <c r="O7">
        <f t="shared" si="1"/>
        <v>9.1287092917527684</v>
      </c>
      <c r="P7">
        <f t="shared" si="2"/>
        <v>2.1422222222222222</v>
      </c>
      <c r="R7" t="s">
        <v>58</v>
      </c>
    </row>
    <row r="8" spans="2:18" x14ac:dyDescent="0.45">
      <c r="B8" t="s">
        <v>43</v>
      </c>
      <c r="C8" s="6" t="s">
        <v>4</v>
      </c>
      <c r="D8" t="s">
        <v>8</v>
      </c>
      <c r="E8">
        <v>7.1999999999999995E-2</v>
      </c>
      <c r="F8" t="s">
        <v>52</v>
      </c>
      <c r="G8" s="2">
        <v>0.4</v>
      </c>
      <c r="H8" s="1">
        <v>9.9999999999999995E-7</v>
      </c>
      <c r="I8">
        <v>3.34746E-2</v>
      </c>
      <c r="J8">
        <v>6.1206000000000003E-2</v>
      </c>
      <c r="K8">
        <v>3.0499999999999999E-2</v>
      </c>
      <c r="L8">
        <v>4.5999999999999999E-2</v>
      </c>
      <c r="M8">
        <f t="shared" si="0"/>
        <v>41.666666666666671</v>
      </c>
      <c r="N8">
        <v>3000</v>
      </c>
      <c r="O8">
        <f t="shared" si="1"/>
        <v>6.4549722436790287</v>
      </c>
      <c r="P8">
        <f t="shared" si="2"/>
        <v>1.3150064809726223</v>
      </c>
      <c r="R8" t="s">
        <v>58</v>
      </c>
    </row>
    <row r="9" spans="2:18" x14ac:dyDescent="0.45">
      <c r="B9" t="s">
        <v>33</v>
      </c>
      <c r="C9" t="s">
        <v>56</v>
      </c>
      <c r="D9" t="s">
        <v>8</v>
      </c>
      <c r="E9">
        <f>0.072*2</f>
        <v>0.14399999999999999</v>
      </c>
      <c r="F9" t="s">
        <v>52</v>
      </c>
      <c r="G9" s="2">
        <v>0.4</v>
      </c>
      <c r="H9" s="1">
        <v>9.9999999999999995E-7</v>
      </c>
      <c r="I9">
        <v>2.564E-2</v>
      </c>
      <c r="J9">
        <v>4.8964800000000003E-2</v>
      </c>
      <c r="K9">
        <v>2.3900000000000001E-2</v>
      </c>
      <c r="L9">
        <v>0.03</v>
      </c>
      <c r="M9">
        <f t="shared" si="0"/>
        <v>20.833333333333336</v>
      </c>
      <c r="N9">
        <v>3000</v>
      </c>
      <c r="O9">
        <f t="shared" si="1"/>
        <v>4.5643546458763842</v>
      </c>
      <c r="P9">
        <f t="shared" si="2"/>
        <v>0.71222222222222231</v>
      </c>
      <c r="R9" t="s">
        <v>58</v>
      </c>
    </row>
    <row r="10" spans="2:18" x14ac:dyDescent="0.45">
      <c r="B10" t="s">
        <v>36</v>
      </c>
      <c r="C10" t="s">
        <v>56</v>
      </c>
      <c r="D10" t="s">
        <v>8</v>
      </c>
      <c r="E10">
        <f>0.072*5</f>
        <v>0.36</v>
      </c>
      <c r="F10" t="s">
        <v>52</v>
      </c>
      <c r="G10" s="2">
        <v>0.4</v>
      </c>
      <c r="H10" s="1">
        <v>9.9999999999999995E-7</v>
      </c>
      <c r="I10">
        <v>1.7739999999999999E-2</v>
      </c>
      <c r="J10">
        <v>3.1477400000000003E-2</v>
      </c>
      <c r="K10">
        <v>1.6299999999999999E-2</v>
      </c>
      <c r="L10">
        <v>0.03</v>
      </c>
      <c r="M10">
        <f t="shared" si="0"/>
        <v>8.3333333333333339</v>
      </c>
      <c r="N10">
        <v>3000</v>
      </c>
      <c r="O10">
        <f t="shared" si="1"/>
        <v>2.8867513459481291</v>
      </c>
      <c r="P10">
        <f t="shared" si="2"/>
        <v>0.31166003161881695</v>
      </c>
      <c r="R10" t="s">
        <v>58</v>
      </c>
    </row>
    <row r="11" spans="2:18" x14ac:dyDescent="0.45">
      <c r="B11" t="s">
        <v>36</v>
      </c>
      <c r="C11" t="s">
        <v>56</v>
      </c>
      <c r="D11" t="s">
        <v>8</v>
      </c>
      <c r="E11">
        <v>0.72</v>
      </c>
      <c r="F11" t="s">
        <v>52</v>
      </c>
      <c r="G11" s="2">
        <v>0.4</v>
      </c>
      <c r="H11" s="1">
        <v>9.9999999999999995E-7</v>
      </c>
      <c r="I11">
        <v>1.32E-2</v>
      </c>
      <c r="K11">
        <v>1.6299999999999999E-2</v>
      </c>
      <c r="L11">
        <v>0.03</v>
      </c>
      <c r="M11">
        <f t="shared" ref="M11" si="3">1000*1*1*0.003/E11</f>
        <v>4.166666666666667</v>
      </c>
      <c r="N11">
        <v>3000</v>
      </c>
      <c r="O11">
        <f t="shared" si="1"/>
        <v>2.0412414523193152</v>
      </c>
      <c r="P11">
        <f t="shared" si="2"/>
        <v>0.16397831834998455</v>
      </c>
      <c r="R11" t="s">
        <v>58</v>
      </c>
    </row>
    <row r="13" spans="2:18" x14ac:dyDescent="0.45">
      <c r="B13" t="s">
        <v>60</v>
      </c>
      <c r="C13" t="s">
        <v>54</v>
      </c>
      <c r="D13" t="s">
        <v>8</v>
      </c>
      <c r="E13">
        <v>7.1999999999999995E-2</v>
      </c>
      <c r="F13" t="s">
        <v>52</v>
      </c>
      <c r="G13" s="2">
        <v>0.4</v>
      </c>
      <c r="H13" s="1">
        <v>9.9999999999999995E-7</v>
      </c>
      <c r="L13">
        <v>0.06</v>
      </c>
      <c r="M13">
        <f t="shared" ref="M13" si="4">1000*1*1*0.003/E13</f>
        <v>41.666666666666671</v>
      </c>
      <c r="O13">
        <f t="shared" ref="O13" si="5">SQRT(M13)</f>
        <v>6.4549722436790287</v>
      </c>
      <c r="P13">
        <f t="shared" ref="P13" si="6">I13*O13</f>
        <v>0</v>
      </c>
      <c r="R13" t="s">
        <v>61</v>
      </c>
    </row>
    <row r="21" spans="12:15" x14ac:dyDescent="0.45">
      <c r="L21">
        <v>416.66666670000001</v>
      </c>
      <c r="M21">
        <v>3000</v>
      </c>
      <c r="N21">
        <v>20.412414519999999</v>
      </c>
      <c r="O21">
        <v>5.7616018220000003</v>
      </c>
    </row>
    <row r="22" spans="12:15" x14ac:dyDescent="0.45">
      <c r="L22">
        <v>208.33333329999999</v>
      </c>
      <c r="M22">
        <v>3000</v>
      </c>
      <c r="N22">
        <v>14.433756730000001</v>
      </c>
      <c r="O22">
        <v>3.8052741179999998</v>
      </c>
    </row>
    <row r="23" spans="12:15" x14ac:dyDescent="0.45">
      <c r="L23">
        <v>125</v>
      </c>
      <c r="M23">
        <v>3000</v>
      </c>
      <c r="N23">
        <v>11.180339890000001</v>
      </c>
      <c r="O23">
        <v>2.857738033</v>
      </c>
    </row>
    <row r="24" spans="12:15" x14ac:dyDescent="0.45">
      <c r="L24">
        <v>83.333333330000002</v>
      </c>
      <c r="M24">
        <v>3000</v>
      </c>
      <c r="N24">
        <v>9.1287092919999999</v>
      </c>
      <c r="O24">
        <v>2.142222222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B9161-3BDF-4471-B647-0FAA1DDD3237}">
  <dimension ref="A1:R12"/>
  <sheetViews>
    <sheetView tabSelected="1" workbookViewId="0">
      <selection activeCell="F3" sqref="F3"/>
    </sheetView>
  </sheetViews>
  <sheetFormatPr defaultRowHeight="14.25" x14ac:dyDescent="0.45"/>
  <cols>
    <col min="2" max="3" width="15.3984375" customWidth="1"/>
    <col min="4" max="4" width="9.59765625" bestFit="1" customWidth="1"/>
    <col min="6" max="6" width="18.73046875" customWidth="1"/>
  </cols>
  <sheetData>
    <row r="1" spans="1:18" ht="28.9" thickBot="1" x14ac:dyDescent="0.5">
      <c r="A1" s="9" t="s">
        <v>64</v>
      </c>
      <c r="B1" s="9" t="s">
        <v>62</v>
      </c>
      <c r="C1" s="9" t="s">
        <v>17</v>
      </c>
      <c r="D1" s="9" t="s">
        <v>5</v>
      </c>
      <c r="E1" s="9" t="s">
        <v>67</v>
      </c>
      <c r="F1" s="9" t="s">
        <v>65</v>
      </c>
      <c r="G1" s="9" t="s">
        <v>66</v>
      </c>
      <c r="H1" s="14" t="s">
        <v>53</v>
      </c>
      <c r="J1" s="11" t="s">
        <v>68</v>
      </c>
      <c r="K1" s="11" t="s">
        <v>69</v>
      </c>
      <c r="M1" t="s">
        <v>70</v>
      </c>
      <c r="N1" t="s">
        <v>71</v>
      </c>
      <c r="O1" t="s">
        <v>72</v>
      </c>
      <c r="P1" t="s">
        <v>73</v>
      </c>
    </row>
    <row r="2" spans="1:18" ht="14.65" thickBot="1" x14ac:dyDescent="0.5">
      <c r="A2" s="10">
        <v>9.9999999999999995E-8</v>
      </c>
      <c r="B2" s="7">
        <f t="shared" ref="B2:B6" si="0">0.003*1/A2</f>
        <v>30000.000000000004</v>
      </c>
      <c r="C2" s="13">
        <f>1000*1*1*0.003/0.072</f>
        <v>41.666666666666671</v>
      </c>
      <c r="D2">
        <v>4.9660000000000003E-2</v>
      </c>
      <c r="E2" s="8">
        <f t="shared" ref="E2:E3" si="1">D2/0.003</f>
        <v>16.553333333333335</v>
      </c>
      <c r="F2" s="11"/>
      <c r="G2" s="11"/>
      <c r="H2">
        <v>0.06</v>
      </c>
      <c r="J2" s="11"/>
      <c r="K2" s="11"/>
      <c r="M2">
        <v>1.1000000000000001</v>
      </c>
      <c r="N2">
        <v>0.6</v>
      </c>
      <c r="O2">
        <f>B2^(1/3)</f>
        <v>31.072325059538588</v>
      </c>
      <c r="P2">
        <f>SQRT(B2/C2)</f>
        <v>26.832815729997478</v>
      </c>
      <c r="Q2">
        <f>M2*O2-N2*P2</f>
        <v>18.079868127493967</v>
      </c>
    </row>
    <row r="3" spans="1:18" ht="14.65" thickBot="1" x14ac:dyDescent="0.5">
      <c r="A3" s="10">
        <v>1.9999999999999999E-7</v>
      </c>
      <c r="B3" s="7">
        <f t="shared" si="0"/>
        <v>15000.000000000002</v>
      </c>
      <c r="C3" s="13">
        <f t="shared" ref="C3:C12" si="2">1000*1*1*0.003/0.072</f>
        <v>41.666666666666671</v>
      </c>
      <c r="D3">
        <v>4.5199999999999997E-2</v>
      </c>
      <c r="E3" s="8">
        <f t="shared" si="1"/>
        <v>15.066666666666665</v>
      </c>
      <c r="F3" s="11"/>
      <c r="G3" s="11"/>
      <c r="H3">
        <v>0.06</v>
      </c>
      <c r="J3">
        <f t="shared" ref="J3:J6" si="3">LN(B3)</f>
        <v>9.6158054800843473</v>
      </c>
      <c r="K3">
        <f t="shared" ref="K3:K6" si="4">LN(E3)</f>
        <v>2.7124847981700757</v>
      </c>
      <c r="M3">
        <f>M2</f>
        <v>1.1000000000000001</v>
      </c>
      <c r="N3">
        <f>N2</f>
        <v>0.6</v>
      </c>
      <c r="O3">
        <f t="shared" ref="O3:O12" si="5">B3^(1/3)</f>
        <v>24.662120743304694</v>
      </c>
      <c r="P3">
        <f t="shared" ref="P3:P12" si="6">SQRT(B3/C3)</f>
        <v>18.973665961010276</v>
      </c>
      <c r="Q3">
        <f t="shared" ref="Q3:Q12" si="7">M3*O3-N3*P3</f>
        <v>15.744133241028999</v>
      </c>
    </row>
    <row r="4" spans="1:18" ht="14.65" thickBot="1" x14ac:dyDescent="0.5">
      <c r="A4" s="10">
        <v>3.9999999999999998E-7</v>
      </c>
      <c r="B4" s="7">
        <f t="shared" si="0"/>
        <v>7500.0000000000009</v>
      </c>
      <c r="C4" s="13">
        <f t="shared" si="2"/>
        <v>41.666666666666671</v>
      </c>
      <c r="D4">
        <v>3.8837239812790997E-2</v>
      </c>
      <c r="E4">
        <f>D4/0.003</f>
        <v>12.945746604263665</v>
      </c>
      <c r="F4">
        <v>39</v>
      </c>
      <c r="G4">
        <v>6.8200899999999995E-2</v>
      </c>
      <c r="H4">
        <v>4.5999999999999999E-2</v>
      </c>
      <c r="J4">
        <f t="shared" si="3"/>
        <v>8.9226582995244019</v>
      </c>
      <c r="K4">
        <f t="shared" si="4"/>
        <v>2.5607672866476303</v>
      </c>
      <c r="M4">
        <f t="shared" ref="M4:M12" si="8">M3</f>
        <v>1.1000000000000001</v>
      </c>
      <c r="N4">
        <f t="shared" ref="N4:N12" si="9">N3</f>
        <v>0.6</v>
      </c>
      <c r="O4">
        <f t="shared" si="5"/>
        <v>19.57433820584432</v>
      </c>
      <c r="P4">
        <f t="shared" si="6"/>
        <v>13.416407864998739</v>
      </c>
      <c r="Q4">
        <f t="shared" si="7"/>
        <v>13.481927307429512</v>
      </c>
    </row>
    <row r="5" spans="1:18" ht="14.65" thickBot="1" x14ac:dyDescent="0.5">
      <c r="A5" s="10">
        <v>5.9999999999999997E-7</v>
      </c>
      <c r="B5" s="7">
        <f t="shared" si="0"/>
        <v>5000</v>
      </c>
      <c r="C5" s="13">
        <f t="shared" si="2"/>
        <v>41.666666666666671</v>
      </c>
      <c r="D5">
        <v>3.7904E-2</v>
      </c>
      <c r="E5">
        <f>D5/0.003</f>
        <v>12.634666666666666</v>
      </c>
      <c r="F5">
        <v>38</v>
      </c>
      <c r="G5">
        <v>6.6452300000000006E-2</v>
      </c>
      <c r="H5">
        <v>4.5999999999999999E-2</v>
      </c>
      <c r="J5">
        <f t="shared" si="3"/>
        <v>8.5171931914162382</v>
      </c>
      <c r="K5">
        <f t="shared" si="4"/>
        <v>2.5364443587483199</v>
      </c>
      <c r="M5">
        <f t="shared" si="8"/>
        <v>1.1000000000000001</v>
      </c>
      <c r="N5">
        <f t="shared" si="9"/>
        <v>0.6</v>
      </c>
      <c r="O5">
        <f t="shared" si="5"/>
        <v>17.099759466766972</v>
      </c>
      <c r="P5">
        <f t="shared" si="6"/>
        <v>10.954451150103322</v>
      </c>
      <c r="Q5">
        <f t="shared" si="7"/>
        <v>12.237064723381678</v>
      </c>
    </row>
    <row r="6" spans="1:18" ht="14.65" thickBot="1" x14ac:dyDescent="0.5">
      <c r="A6" s="10">
        <v>7.9999999999999996E-7</v>
      </c>
      <c r="B6" s="7">
        <f t="shared" si="0"/>
        <v>3750.0000000000005</v>
      </c>
      <c r="C6" s="13">
        <f t="shared" si="2"/>
        <v>41.666666666666671</v>
      </c>
      <c r="D6">
        <v>3.5348400000000002E-2</v>
      </c>
      <c r="E6">
        <f>D6/0.003</f>
        <v>11.7828</v>
      </c>
      <c r="F6">
        <v>36</v>
      </c>
      <c r="G6">
        <v>6.2954800000000005E-2</v>
      </c>
      <c r="H6">
        <v>4.5999999999999999E-2</v>
      </c>
      <c r="J6">
        <f t="shared" si="3"/>
        <v>8.2295111189644565</v>
      </c>
      <c r="K6">
        <f t="shared" si="4"/>
        <v>2.4666408409811078</v>
      </c>
      <c r="M6">
        <f t="shared" si="8"/>
        <v>1.1000000000000001</v>
      </c>
      <c r="N6">
        <f t="shared" si="9"/>
        <v>0.6</v>
      </c>
      <c r="O6">
        <f t="shared" si="5"/>
        <v>15.536162529769292</v>
      </c>
      <c r="P6">
        <f t="shared" si="6"/>
        <v>9.4868329805051381</v>
      </c>
      <c r="Q6">
        <f t="shared" si="7"/>
        <v>11.39767899444314</v>
      </c>
    </row>
    <row r="7" spans="1:18" ht="14.65" thickBot="1" x14ac:dyDescent="0.5">
      <c r="A7" s="10">
        <v>9.9999999999999995E-7</v>
      </c>
      <c r="B7" s="7">
        <f>0.003*1/A7</f>
        <v>3000</v>
      </c>
      <c r="C7" s="13">
        <f t="shared" si="2"/>
        <v>41.666666666666671</v>
      </c>
      <c r="D7" s="8">
        <v>3.3599999999999998E-2</v>
      </c>
      <c r="E7" s="8">
        <f t="shared" ref="E7:E12" si="10">D7/0.003</f>
        <v>11.2</v>
      </c>
      <c r="F7" s="8">
        <v>34</v>
      </c>
      <c r="G7" s="8">
        <v>5.9457280430000002E-2</v>
      </c>
      <c r="H7">
        <v>4.5999999999999999E-2</v>
      </c>
      <c r="J7">
        <f>LN(B7)</f>
        <v>8.0063675676502459</v>
      </c>
      <c r="K7">
        <f>LN(E7)</f>
        <v>2.4159137783010487</v>
      </c>
      <c r="M7">
        <f t="shared" si="8"/>
        <v>1.1000000000000001</v>
      </c>
      <c r="N7">
        <f t="shared" si="9"/>
        <v>0.6</v>
      </c>
      <c r="O7">
        <f t="shared" si="5"/>
        <v>14.422495703074075</v>
      </c>
      <c r="P7">
        <f t="shared" si="6"/>
        <v>8.4852813742385695</v>
      </c>
      <c r="Q7">
        <f t="shared" si="7"/>
        <v>10.773576448838341</v>
      </c>
    </row>
    <row r="8" spans="1:18" ht="14.65" thickBot="1" x14ac:dyDescent="0.5">
      <c r="A8" s="10">
        <v>1.9999999999999999E-6</v>
      </c>
      <c r="B8" s="7">
        <f t="shared" ref="B8:B12" si="11">0.003*1/A8</f>
        <v>1500</v>
      </c>
      <c r="C8" s="13">
        <f t="shared" si="2"/>
        <v>41.666666666666671</v>
      </c>
      <c r="D8" s="8">
        <v>2.849057948E-2</v>
      </c>
      <c r="E8" s="8">
        <f t="shared" si="10"/>
        <v>9.4968598266666664</v>
      </c>
      <c r="F8" s="8">
        <v>30</v>
      </c>
      <c r="G8" s="8">
        <v>5.2462306260000001E-2</v>
      </c>
      <c r="H8">
        <v>4.5999999999999999E-2</v>
      </c>
      <c r="J8">
        <f t="shared" ref="J8:J12" si="12">LN(B8)</f>
        <v>7.3132203870903014</v>
      </c>
      <c r="K8">
        <f t="shared" ref="K8:K12" si="13">LN(E8)</f>
        <v>2.2509611994031968</v>
      </c>
      <c r="M8">
        <f t="shared" si="8"/>
        <v>1.1000000000000001</v>
      </c>
      <c r="N8">
        <f t="shared" si="9"/>
        <v>0.6</v>
      </c>
      <c r="O8">
        <f t="shared" si="5"/>
        <v>11.447142425533315</v>
      </c>
      <c r="P8">
        <f t="shared" si="6"/>
        <v>5.9999999999999991</v>
      </c>
      <c r="Q8">
        <f t="shared" si="7"/>
        <v>8.9918566680866476</v>
      </c>
    </row>
    <row r="9" spans="1:18" ht="14.65" thickBot="1" x14ac:dyDescent="0.5">
      <c r="A9" s="10">
        <v>3.9999999999999998E-6</v>
      </c>
      <c r="B9" s="7">
        <f t="shared" si="11"/>
        <v>750</v>
      </c>
      <c r="C9" s="13">
        <f t="shared" si="2"/>
        <v>41.666666666666671</v>
      </c>
      <c r="D9" s="8">
        <v>2.4799263169999999E-2</v>
      </c>
      <c r="E9" s="8">
        <f t="shared" si="10"/>
        <v>8.2664210566666654</v>
      </c>
      <c r="F9" s="8">
        <v>28</v>
      </c>
      <c r="G9" s="8">
        <v>4.896481917E-2</v>
      </c>
      <c r="H9">
        <v>4.5999999999999999E-2</v>
      </c>
      <c r="J9">
        <f t="shared" si="12"/>
        <v>6.620073206530356</v>
      </c>
      <c r="K9">
        <f t="shared" si="13"/>
        <v>2.1122016531743526</v>
      </c>
      <c r="M9">
        <f t="shared" si="8"/>
        <v>1.1000000000000001</v>
      </c>
      <c r="N9">
        <f t="shared" si="9"/>
        <v>0.6</v>
      </c>
      <c r="O9">
        <f t="shared" si="5"/>
        <v>9.0856029641606977</v>
      </c>
      <c r="P9">
        <f t="shared" si="6"/>
        <v>4.2426406871192848</v>
      </c>
      <c r="Q9">
        <f t="shared" si="7"/>
        <v>7.4485788483051962</v>
      </c>
    </row>
    <row r="10" spans="1:18" ht="14.65" thickBot="1" x14ac:dyDescent="0.5">
      <c r="A10" s="10">
        <v>6.0000000000000002E-6</v>
      </c>
      <c r="B10" s="7">
        <f t="shared" si="11"/>
        <v>500</v>
      </c>
      <c r="C10" s="13">
        <f t="shared" si="2"/>
        <v>41.666666666666671</v>
      </c>
      <c r="D10" s="8">
        <v>2.291767888E-2</v>
      </c>
      <c r="E10" s="8">
        <f t="shared" si="10"/>
        <v>7.6392262933333335</v>
      </c>
      <c r="F10" s="8">
        <v>28</v>
      </c>
      <c r="G10" s="8">
        <v>4.896481917E-2</v>
      </c>
      <c r="H10">
        <v>4.5999999999999999E-2</v>
      </c>
      <c r="J10">
        <f t="shared" si="12"/>
        <v>6.2146080984221914</v>
      </c>
      <c r="K10">
        <f t="shared" si="13"/>
        <v>2.0332963275441172</v>
      </c>
      <c r="M10">
        <f t="shared" si="8"/>
        <v>1.1000000000000001</v>
      </c>
      <c r="N10">
        <f t="shared" si="9"/>
        <v>0.6</v>
      </c>
      <c r="O10">
        <f t="shared" si="5"/>
        <v>7.9370052598409941</v>
      </c>
      <c r="P10">
        <f t="shared" si="6"/>
        <v>3.4641016151377544</v>
      </c>
      <c r="Q10">
        <f t="shared" si="7"/>
        <v>6.6522448167424422</v>
      </c>
    </row>
    <row r="11" spans="1:18" x14ac:dyDescent="0.45">
      <c r="A11" s="1">
        <v>7.9999999999999996E-6</v>
      </c>
      <c r="B11" s="13">
        <f t="shared" si="11"/>
        <v>375</v>
      </c>
      <c r="C11" s="13">
        <f t="shared" si="2"/>
        <v>41.666666666666671</v>
      </c>
      <c r="D11" s="12">
        <v>2.3167E-2</v>
      </c>
      <c r="E11" s="12">
        <f t="shared" si="10"/>
        <v>7.7223333333333333</v>
      </c>
      <c r="G11" s="12">
        <v>5.0713000000000001E-2</v>
      </c>
      <c r="H11">
        <v>4.5999999999999999E-2</v>
      </c>
      <c r="J11">
        <f t="shared" si="12"/>
        <v>5.9269260259704106</v>
      </c>
      <c r="K11">
        <f t="shared" si="13"/>
        <v>2.0441165636202223</v>
      </c>
      <c r="M11">
        <f t="shared" si="8"/>
        <v>1.1000000000000001</v>
      </c>
      <c r="N11">
        <f t="shared" si="9"/>
        <v>0.6</v>
      </c>
      <c r="O11">
        <f t="shared" si="5"/>
        <v>7.2112478515370402</v>
      </c>
      <c r="P11">
        <f t="shared" si="6"/>
        <v>2.9999999999999996</v>
      </c>
      <c r="Q11">
        <f t="shared" si="7"/>
        <v>6.1323726366907447</v>
      </c>
      <c r="R11" t="s">
        <v>74</v>
      </c>
    </row>
    <row r="12" spans="1:18" x14ac:dyDescent="0.45">
      <c r="A12" s="1">
        <v>1.0000000000000001E-5</v>
      </c>
      <c r="B12" s="13">
        <f t="shared" si="11"/>
        <v>300</v>
      </c>
      <c r="C12" s="13">
        <f t="shared" si="2"/>
        <v>41.666666666666671</v>
      </c>
      <c r="D12" s="12">
        <v>1.9393500000000001E-2</v>
      </c>
      <c r="E12" s="12">
        <f t="shared" si="10"/>
        <v>6.4645000000000001</v>
      </c>
      <c r="G12" s="12"/>
      <c r="H12">
        <v>4.5999999999999999E-2</v>
      </c>
      <c r="J12">
        <f t="shared" si="12"/>
        <v>5.7037824746562009</v>
      </c>
      <c r="K12">
        <f t="shared" si="13"/>
        <v>1.8663256697124708</v>
      </c>
      <c r="M12">
        <f t="shared" si="8"/>
        <v>1.1000000000000001</v>
      </c>
      <c r="N12">
        <f t="shared" si="9"/>
        <v>0.6</v>
      </c>
      <c r="O12">
        <f t="shared" si="5"/>
        <v>6.6943295008216941</v>
      </c>
      <c r="P12">
        <f t="shared" si="6"/>
        <v>2.6832815729997477</v>
      </c>
      <c r="Q12">
        <f t="shared" si="7"/>
        <v>5.7537935071040156</v>
      </c>
      <c r="R12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CONVERGENCE_SLIP</vt:lpstr>
      <vt:lpstr>PRELIM</vt:lpstr>
      <vt:lpstr>PRODUCTION</vt:lpstr>
      <vt:lpstr>VARY_RE_NICOLA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Lennon</dc:creator>
  <cp:lastModifiedBy>Nicola Young</cp:lastModifiedBy>
  <dcterms:created xsi:type="dcterms:W3CDTF">2015-06-05T18:17:20Z</dcterms:created>
  <dcterms:modified xsi:type="dcterms:W3CDTF">2025-06-20T11:13:51Z</dcterms:modified>
</cp:coreProperties>
</file>