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"/>
    </mc:Choice>
  </mc:AlternateContent>
  <xr:revisionPtr revIDLastSave="0" documentId="13_ncr:1_{1E032423-0D7E-4F5C-B1A6-EA5EA6C8B35B}" xr6:coauthVersionLast="47" xr6:coauthVersionMax="47" xr10:uidLastSave="{00000000-0000-0000-0000-000000000000}"/>
  <bookViews>
    <workbookView xWindow="-25320" yWindow="360" windowWidth="25440" windowHeight="15270" activeTab="2" xr2:uid="{00000000-000D-0000-FFFF-FFFF00000000}"/>
  </bookViews>
  <sheets>
    <sheet name="hilbert envelope" sheetId="1" r:id="rId1"/>
    <sheet name="rectified envelope" sheetId="4" r:id="rId2"/>
    <sheet name="validation" sheetId="6" r:id="rId3"/>
    <sheet name="r2" sheetId="5" r:id="rId4"/>
    <sheet name="floo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" l="1"/>
  <c r="CD51" i="6"/>
  <c r="BY47" i="6"/>
  <c r="CD48" i="6"/>
  <c r="CD47" i="6"/>
  <c r="CJ52" i="6" s="1" a="1"/>
  <c r="CJ52" i="6" s="1"/>
  <c r="CC48" i="6"/>
  <c r="CC49" i="6"/>
  <c r="CC51" i="6"/>
  <c r="CC47" i="6"/>
  <c r="CB48" i="6"/>
  <c r="CB49" i="6"/>
  <c r="CB50" i="6"/>
  <c r="CB51" i="6"/>
  <c r="CB47" i="6"/>
  <c r="CA48" i="6"/>
  <c r="CA49" i="6"/>
  <c r="CA50" i="6"/>
  <c r="CA51" i="6"/>
  <c r="CA47" i="6"/>
  <c r="BZ48" i="6"/>
  <c r="BZ49" i="6"/>
  <c r="BZ50" i="6"/>
  <c r="BZ51" i="6"/>
  <c r="BZ47" i="6"/>
  <c r="BY51" i="6"/>
  <c r="BY48" i="6"/>
  <c r="BY49" i="6"/>
  <c r="BY50" i="6"/>
  <c r="CN24" i="6"/>
  <c r="CN25" i="6"/>
  <c r="CN26" i="6"/>
  <c r="CN27" i="6"/>
  <c r="CN23" i="6"/>
  <c r="CM24" i="6"/>
  <c r="CM25" i="6"/>
  <c r="CM26" i="6"/>
  <c r="CM27" i="6"/>
  <c r="CM23" i="6"/>
  <c r="CL24" i="6"/>
  <c r="CL25" i="6"/>
  <c r="CL26" i="6"/>
  <c r="CL27" i="6"/>
  <c r="CL23" i="6"/>
  <c r="CK24" i="6"/>
  <c r="CK25" i="6"/>
  <c r="CK26" i="6"/>
  <c r="CK27" i="6"/>
  <c r="CK23" i="6"/>
  <c r="CJ24" i="6"/>
  <c r="CJ25" i="6"/>
  <c r="CJ26" i="6"/>
  <c r="CJ27" i="6"/>
  <c r="CJ23" i="6"/>
  <c r="CI24" i="6"/>
  <c r="CI25" i="6"/>
  <c r="CI26" i="6"/>
  <c r="CI27" i="6"/>
  <c r="CI23" i="6"/>
  <c r="CE24" i="6"/>
  <c r="CE25" i="6"/>
  <c r="CE26" i="6"/>
  <c r="CE27" i="6"/>
  <c r="CE23" i="6"/>
  <c r="CD24" i="6"/>
  <c r="CD25" i="6"/>
  <c r="CD26" i="6"/>
  <c r="CD27" i="6"/>
  <c r="CD23" i="6"/>
  <c r="CC24" i="6"/>
  <c r="CC25" i="6"/>
  <c r="CC26" i="6"/>
  <c r="CC27" i="6"/>
  <c r="CC23" i="6"/>
  <c r="CB27" i="6"/>
  <c r="CB24" i="6"/>
  <c r="CB25" i="6"/>
  <c r="CB26" i="6"/>
  <c r="CB23" i="6"/>
  <c r="CA24" i="6"/>
  <c r="CA25" i="6"/>
  <c r="CA26" i="6"/>
  <c r="CA27" i="6"/>
  <c r="CA23" i="6"/>
  <c r="BZ24" i="6"/>
  <c r="BZ25" i="6"/>
  <c r="BZ26" i="6"/>
  <c r="BZ27" i="6"/>
  <c r="BZ23" i="6"/>
  <c r="BL48" i="6"/>
  <c r="BL51" i="6"/>
  <c r="BL47" i="6"/>
  <c r="BK48" i="6"/>
  <c r="BK49" i="6"/>
  <c r="BK51" i="6"/>
  <c r="BK47" i="6"/>
  <c r="BJ48" i="6"/>
  <c r="BJ49" i="6"/>
  <c r="BJ50" i="6"/>
  <c r="BJ51" i="6"/>
  <c r="BJ47" i="6"/>
  <c r="BI48" i="6"/>
  <c r="BI49" i="6"/>
  <c r="BI50" i="6"/>
  <c r="BI51" i="6"/>
  <c r="BI47" i="6"/>
  <c r="BH48" i="6"/>
  <c r="BH49" i="6"/>
  <c r="BH50" i="6"/>
  <c r="BH51" i="6"/>
  <c r="BH47" i="6"/>
  <c r="BG48" i="6"/>
  <c r="BG49" i="6"/>
  <c r="BG50" i="6"/>
  <c r="BG51" i="6"/>
  <c r="BG47" i="6"/>
  <c r="BU25" i="6"/>
  <c r="BU24" i="6"/>
  <c r="BU26" i="6"/>
  <c r="BU27" i="6"/>
  <c r="BU23" i="6"/>
  <c r="BT24" i="6"/>
  <c r="BT25" i="6"/>
  <c r="BT26" i="6"/>
  <c r="BT27" i="6"/>
  <c r="BT23" i="6"/>
  <c r="BS24" i="6"/>
  <c r="BS25" i="6"/>
  <c r="BS26" i="6"/>
  <c r="BS27" i="6"/>
  <c r="BS23" i="6"/>
  <c r="BR24" i="6"/>
  <c r="BR25" i="6"/>
  <c r="BR26" i="6"/>
  <c r="BR27" i="6"/>
  <c r="BR23" i="6"/>
  <c r="BQ24" i="6"/>
  <c r="BQ25" i="6"/>
  <c r="BQ26" i="6"/>
  <c r="BQ27" i="6"/>
  <c r="BQ23" i="6"/>
  <c r="BP23" i="6"/>
  <c r="BP24" i="6"/>
  <c r="BP25" i="6"/>
  <c r="BP26" i="6"/>
  <c r="BP27" i="6"/>
  <c r="BL24" i="6"/>
  <c r="BL25" i="6"/>
  <c r="BL26" i="6"/>
  <c r="BL27" i="6"/>
  <c r="BL23" i="6"/>
  <c r="BK24" i="6"/>
  <c r="BK25" i="6"/>
  <c r="BK26" i="6"/>
  <c r="BK27" i="6"/>
  <c r="BK23" i="6"/>
  <c r="BJ24" i="6"/>
  <c r="BJ25" i="6"/>
  <c r="BJ26" i="6"/>
  <c r="BJ27" i="6"/>
  <c r="BJ23" i="6"/>
  <c r="BI24" i="6"/>
  <c r="BI25" i="6"/>
  <c r="BI26" i="6"/>
  <c r="BI27" i="6"/>
  <c r="BI23" i="6"/>
  <c r="BH24" i="6"/>
  <c r="BH25" i="6"/>
  <c r="BH26" i="6"/>
  <c r="BH27" i="6"/>
  <c r="BH23" i="6"/>
  <c r="BG23" i="6"/>
  <c r="BG24" i="6"/>
  <c r="BG25" i="6"/>
  <c r="BG26" i="6"/>
  <c r="BG27" i="6"/>
  <c r="BC49" i="6" a="1"/>
  <c r="BC49" i="6" s="1"/>
  <c r="BC48" i="6" a="1"/>
  <c r="BC48" i="6" s="1"/>
  <c r="AU49" i="6" a="1"/>
  <c r="AU49" i="6" s="1"/>
  <c r="AU48" i="6" a="1"/>
  <c r="AU48" i="6" s="1"/>
  <c r="BQ52" i="6" l="1" a="1"/>
  <c r="BQ52" i="6" s="1"/>
  <c r="BO49" i="6" a="1"/>
  <c r="BO49" i="6" s="1"/>
  <c r="BO51" i="6" a="1"/>
  <c r="BO51" i="6" s="1"/>
  <c r="BP49" i="6" a="1"/>
  <c r="BP49" i="6" s="1"/>
  <c r="BP51" i="6" a="1"/>
  <c r="BP51" i="6" s="1"/>
  <c r="CI48" i="6" a="1"/>
  <c r="CI48" i="6" s="1"/>
  <c r="CH49" i="6" a="1"/>
  <c r="CH49" i="6" s="1"/>
  <c r="CI49" i="6" a="1"/>
  <c r="CI49" i="6" s="1"/>
  <c r="CI52" i="6" a="1"/>
  <c r="CI52" i="6" s="1"/>
  <c r="CJ48" i="6" a="1"/>
  <c r="CJ48" i="6" s="1"/>
  <c r="BP47" i="6" a="1"/>
  <c r="BP47" i="6" s="1"/>
  <c r="BQ49" i="6" a="1"/>
  <c r="BQ49" i="6" s="1"/>
  <c r="CH47" i="6" a="1"/>
  <c r="CH47" i="6" s="1"/>
  <c r="CH50" i="6" a="1"/>
  <c r="CH50" i="6" s="1"/>
  <c r="CI47" i="6" a="1"/>
  <c r="CI47" i="6" s="1"/>
  <c r="CH52" i="6" a="1"/>
  <c r="CH52" i="6" s="1"/>
  <c r="CJ51" i="6" a="1"/>
  <c r="CJ51" i="6" s="1"/>
  <c r="CJ47" i="6" a="1"/>
  <c r="CJ47" i="6" s="1"/>
  <c r="BP48" i="6" a="1"/>
  <c r="BP48" i="6" s="1"/>
  <c r="BP50" i="6" a="1"/>
  <c r="BP50" i="6" s="1"/>
  <c r="BQ51" i="6" a="1"/>
  <c r="BQ51" i="6" s="1"/>
  <c r="BO48" i="6" a="1"/>
  <c r="BO48" i="6" s="1"/>
  <c r="BQ48" i="6" a="1"/>
  <c r="BQ48" i="6" s="1"/>
  <c r="CH51" i="6" a="1"/>
  <c r="CH51" i="6" s="1"/>
  <c r="CI51" i="6" a="1"/>
  <c r="CI51" i="6" s="1"/>
  <c r="CJ50" i="6" a="1"/>
  <c r="CJ50" i="6" s="1"/>
  <c r="BO52" i="6" a="1"/>
  <c r="BO52" i="6" s="1"/>
  <c r="BP52" i="6" a="1"/>
  <c r="BP52" i="6" s="1"/>
  <c r="CI50" i="6" a="1"/>
  <c r="CI50" i="6" s="1"/>
  <c r="CJ49" i="6" a="1"/>
  <c r="CJ49" i="6" s="1"/>
  <c r="BO47" i="6" a="1"/>
  <c r="BO47" i="6" s="1"/>
  <c r="BO50" i="6" a="1"/>
  <c r="BO50" i="6" s="1"/>
  <c r="BQ47" i="6" a="1"/>
  <c r="BQ47" i="6" s="1"/>
  <c r="BQ50" i="6" a="1"/>
  <c r="BQ50" i="6" s="1"/>
  <c r="CH48" i="6" a="1"/>
  <c r="CH48" i="6" s="1"/>
  <c r="G3" i="6"/>
  <c r="H3" i="6"/>
  <c r="I3" i="6"/>
  <c r="J3" i="6"/>
  <c r="K3" i="6"/>
  <c r="P24" i="6" s="1"/>
  <c r="G4" i="6"/>
  <c r="H4" i="6"/>
  <c r="I4" i="6"/>
  <c r="J4" i="6"/>
  <c r="K4" i="6"/>
  <c r="P25" i="6" s="1"/>
  <c r="G5" i="6"/>
  <c r="H5" i="6"/>
  <c r="I5" i="6"/>
  <c r="J5" i="6"/>
  <c r="K5" i="6"/>
  <c r="P26" i="6" s="1"/>
  <c r="G6" i="6"/>
  <c r="H6" i="6"/>
  <c r="I6" i="6"/>
  <c r="J6" i="6"/>
  <c r="K6" i="6"/>
  <c r="R27" i="6" s="1"/>
  <c r="K2" i="6"/>
  <c r="J2" i="6"/>
  <c r="G2" i="6"/>
  <c r="H2" i="6"/>
  <c r="I2" i="6"/>
  <c r="F3" i="6"/>
  <c r="F4" i="6"/>
  <c r="F5" i="6"/>
  <c r="F6" i="6"/>
  <c r="F2" i="6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24" i="6"/>
  <c r="L25" i="6"/>
  <c r="L26" i="6"/>
  <c r="L27" i="6"/>
  <c r="J24" i="6"/>
  <c r="J25" i="6"/>
  <c r="J26" i="6"/>
  <c r="J27" i="6"/>
  <c r="K27" i="6"/>
  <c r="K24" i="6"/>
  <c r="K25" i="6"/>
  <c r="K26" i="6"/>
  <c r="C27" i="6"/>
  <c r="C26" i="6"/>
  <c r="C25" i="6"/>
  <c r="I27" i="6"/>
  <c r="I26" i="6"/>
  <c r="I25" i="6"/>
  <c r="I24" i="6"/>
  <c r="F24" i="6"/>
  <c r="F25" i="6"/>
  <c r="F26" i="6"/>
  <c r="F27" i="6"/>
  <c r="E24" i="6"/>
  <c r="E25" i="6"/>
  <c r="E26" i="6"/>
  <c r="E27" i="6"/>
  <c r="E48" i="6" l="1" a="1"/>
  <c r="E48" i="6" s="1"/>
  <c r="AQ5" i="6" s="1"/>
  <c r="K47" i="6" a="1"/>
  <c r="K47" i="6" s="1"/>
  <c r="AR4" i="6" s="1"/>
  <c r="E46" i="6" a="1"/>
  <c r="E46" i="6" s="1"/>
  <c r="AQ3" i="6" s="1"/>
  <c r="K46" i="6" a="1"/>
  <c r="K46" i="6" s="1"/>
  <c r="AR3" i="6" s="1"/>
  <c r="K48" i="6" a="1"/>
  <c r="K48" i="6" s="1"/>
  <c r="AR5" i="6" s="1"/>
  <c r="K49" i="6" a="1"/>
  <c r="K49" i="6" s="1"/>
  <c r="AR6" i="6" s="1"/>
  <c r="E49" i="6" a="1"/>
  <c r="E49" i="6" s="1"/>
  <c r="AQ6" i="6" s="1"/>
  <c r="AQ25" i="6"/>
  <c r="AR25" i="6"/>
  <c r="AZ27" i="6"/>
  <c r="AY27" i="6"/>
  <c r="AZ26" i="6"/>
  <c r="AY26" i="6"/>
  <c r="AJ26" i="6"/>
  <c r="AM26" i="6"/>
  <c r="AK26" i="6"/>
  <c r="AL26" i="6"/>
  <c r="AZ25" i="6"/>
  <c r="AY25" i="6"/>
  <c r="AQ26" i="6"/>
  <c r="AR26" i="6"/>
  <c r="AY24" i="6"/>
  <c r="AZ24" i="6"/>
  <c r="AK24" i="6"/>
  <c r="AJ24" i="6"/>
  <c r="AL24" i="6"/>
  <c r="AM24" i="6"/>
  <c r="O26" i="6"/>
  <c r="AL27" i="6"/>
  <c r="AM27" i="6"/>
  <c r="AK27" i="6"/>
  <c r="AJ27" i="6"/>
  <c r="AR24" i="6"/>
  <c r="AQ24" i="6"/>
  <c r="O25" i="6"/>
  <c r="AQ27" i="6"/>
  <c r="AR27" i="6"/>
  <c r="Q26" i="6"/>
  <c r="AJ25" i="6"/>
  <c r="AM25" i="6"/>
  <c r="AL25" i="6"/>
  <c r="AK25" i="6"/>
  <c r="Q25" i="6"/>
  <c r="X25" i="6"/>
  <c r="W25" i="6"/>
  <c r="Y25" i="6"/>
  <c r="V25" i="6"/>
  <c r="O27" i="6"/>
  <c r="Q27" i="6"/>
  <c r="Y26" i="6"/>
  <c r="V26" i="6"/>
  <c r="X26" i="6"/>
  <c r="W26" i="6"/>
  <c r="O24" i="6"/>
  <c r="Q24" i="6"/>
  <c r="AF25" i="6"/>
  <c r="AD25" i="6"/>
  <c r="AE25" i="6"/>
  <c r="AC25" i="6"/>
  <c r="AF26" i="6"/>
  <c r="AC26" i="6"/>
  <c r="AD26" i="6"/>
  <c r="AE26" i="6"/>
  <c r="P27" i="6"/>
  <c r="R47" i="6" s="1" a="1"/>
  <c r="R47" i="6" s="1"/>
  <c r="AS4" i="6" s="1"/>
  <c r="R26" i="6"/>
  <c r="X24" i="6"/>
  <c r="W24" i="6"/>
  <c r="Y24" i="6"/>
  <c r="V24" i="6"/>
  <c r="R25" i="6"/>
  <c r="Y27" i="6"/>
  <c r="V27" i="6"/>
  <c r="X27" i="6"/>
  <c r="W27" i="6"/>
  <c r="AD24" i="6"/>
  <c r="AC24" i="6"/>
  <c r="AE24" i="6"/>
  <c r="AF24" i="6"/>
  <c r="R24" i="6"/>
  <c r="AF27" i="6"/>
  <c r="AC27" i="6"/>
  <c r="AD27" i="6"/>
  <c r="AE27" i="6"/>
  <c r="D24" i="6"/>
  <c r="D25" i="6"/>
  <c r="D26" i="6"/>
  <c r="D27" i="6"/>
  <c r="AU46" i="6" l="1" a="1"/>
  <c r="AU46" i="6" s="1"/>
  <c r="AW3" i="6" s="1"/>
  <c r="R46" i="6" a="1"/>
  <c r="R46" i="6" s="1"/>
  <c r="AS3" i="6" s="1"/>
  <c r="BC47" i="6" a="1"/>
  <c r="BC47" i="6" s="1"/>
  <c r="AX4" i="6" s="1"/>
  <c r="Y46" i="6" a="1"/>
  <c r="Y46" i="6" s="1"/>
  <c r="AT3" i="6" s="1"/>
  <c r="BC46" i="6" a="1"/>
  <c r="BC46" i="6" s="1"/>
  <c r="AX3" i="6" s="1"/>
  <c r="AE46" i="6" a="1"/>
  <c r="AE46" i="6" s="1"/>
  <c r="AU3" i="6" s="1"/>
  <c r="AL49" i="6" a="1"/>
  <c r="AL49" i="6" s="1"/>
  <c r="AV6" i="6" s="1"/>
  <c r="AL48" i="6" a="1"/>
  <c r="AL48" i="6" s="1"/>
  <c r="AV5" i="6" s="1"/>
  <c r="AU47" i="6" a="1"/>
  <c r="AU47" i="6" s="1"/>
  <c r="AW4" i="6" s="1"/>
  <c r="AL46" i="6" a="1"/>
  <c r="AL46" i="6" s="1"/>
  <c r="AV3" i="6" s="1"/>
  <c r="AL47" i="6" a="1"/>
  <c r="AL47" i="6" s="1"/>
  <c r="AV4" i="6" s="1"/>
  <c r="R48" i="6" a="1"/>
  <c r="R48" i="6" s="1"/>
  <c r="AS5" i="6" s="1"/>
  <c r="Y48" i="6" a="1"/>
  <c r="Y48" i="6" s="1"/>
  <c r="AT5" i="6" s="1"/>
  <c r="Y47" i="6" a="1"/>
  <c r="Y47" i="6" s="1"/>
  <c r="AT4" i="6" s="1"/>
  <c r="AE47" i="6" a="1"/>
  <c r="AE47" i="6" s="1"/>
  <c r="AU4" i="6" s="1"/>
  <c r="Y49" i="6" a="1"/>
  <c r="Y49" i="6" s="1"/>
  <c r="AT6" i="6" s="1"/>
  <c r="AE49" i="6" a="1"/>
  <c r="AE49" i="6" s="1"/>
  <c r="AU6" i="6" s="1"/>
  <c r="R49" i="6" a="1"/>
  <c r="R49" i="6" s="1"/>
  <c r="AS6" i="6" s="1"/>
  <c r="AE48" i="6" a="1"/>
  <c r="AE48" i="6" s="1"/>
  <c r="AU5" i="6" s="1"/>
  <c r="E47" i="6" a="1"/>
  <c r="E47" i="6" s="1"/>
  <c r="AQ4" i="6" s="1"/>
  <c r="AR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<sst xmlns="http://schemas.openxmlformats.org/spreadsheetml/2006/main" count="469" uniqueCount="156">
  <si>
    <t>Particle #</t>
  </si>
  <si>
    <t>Size (mm)</t>
  </si>
  <si>
    <t>Aprox Time Start</t>
  </si>
  <si>
    <t>Aprox Time End</t>
  </si>
  <si>
    <t>Flood 1</t>
  </si>
  <si>
    <t>Flood 2</t>
  </si>
  <si>
    <t>Flood 3</t>
  </si>
  <si>
    <t>Flood 4</t>
  </si>
  <si>
    <t>Flood 5</t>
  </si>
  <si>
    <t>Pipe</t>
  </si>
  <si>
    <t>Hydrophone</t>
  </si>
  <si>
    <t>Max Size</t>
  </si>
  <si>
    <t>Tracers</t>
  </si>
  <si>
    <t>Bedload</t>
  </si>
  <si>
    <t>H1</t>
  </si>
  <si>
    <t>H4</t>
  </si>
  <si>
    <t>Flood 6</t>
  </si>
  <si>
    <t>Flood 7</t>
  </si>
  <si>
    <t>Flood 8</t>
  </si>
  <si>
    <t>Flood 9</t>
  </si>
  <si>
    <t>Env Max Amplitude</t>
  </si>
  <si>
    <t>Raw Max Amplitude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</si>
  <si>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</si>
  <si>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</si>
  <si>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</si>
  <si>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</si>
  <si>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</si>
  <si>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</si>
  <si>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</si>
  <si>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</si>
  <si>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</si>
  <si>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ch6_mean</t>
  </si>
  <si>
    <t>ch5_mean</t>
  </si>
  <si>
    <t>ch4_mean</t>
  </si>
  <si>
    <t>ch3_mean</t>
  </si>
  <si>
    <t>ch2_mean</t>
  </si>
  <si>
    <t>ch1_mean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</si>
  <si>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</si>
  <si>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</si>
  <si>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</si>
  <si>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</si>
  <si>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</si>
  <si>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</si>
  <si>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</si>
  <si>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</si>
  <si>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</si>
  <si>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</si>
  <si>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</si>
  <si>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</si>
  <si>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</si>
  <si>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</si>
  <si>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</si>
  <si>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</si>
  <si>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</si>
  <si>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</si>
  <si>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</si>
  <si>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</si>
  <si>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</si>
  <si>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</si>
  <si>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</si>
  <si>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</si>
  <si>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Hilbert Env</t>
  </si>
  <si>
    <t>ch6_median</t>
  </si>
  <si>
    <t>ch5_median</t>
  </si>
  <si>
    <t>ch4_median</t>
  </si>
  <si>
    <t>ch3_median</t>
  </si>
  <si>
    <t>ch2_median</t>
  </si>
  <si>
    <t>ch1_median</t>
  </si>
  <si>
    <t>flood1</t>
  </si>
  <si>
    <t>flood2</t>
  </si>
  <si>
    <t>flood3</t>
  </si>
  <si>
    <t>flood4</t>
  </si>
  <si>
    <t>flood5</t>
  </si>
  <si>
    <t>time (s)</t>
  </si>
  <si>
    <t>Max Amp (V)</t>
  </si>
  <si>
    <t xml:space="preserve">Mean Amp (V) </t>
  </si>
  <si>
    <t>Med Amp (V)</t>
  </si>
  <si>
    <t>Experiment</t>
  </si>
  <si>
    <t>Measured Dmax</t>
  </si>
  <si>
    <t>Dmax - Max Amp (2)</t>
  </si>
  <si>
    <t>Dmax - Mean Amp (2)</t>
  </si>
  <si>
    <t>Dmax - Max Amp (3)</t>
  </si>
  <si>
    <t>Dmax - Max Amp (4)</t>
  </si>
  <si>
    <t>Max Amp - Dmax (1)</t>
  </si>
  <si>
    <t xml:space="preserve">RMSE </t>
  </si>
  <si>
    <t>Max Amp</t>
  </si>
  <si>
    <t>linear</t>
  </si>
  <si>
    <t>power</t>
  </si>
  <si>
    <t>log</t>
  </si>
  <si>
    <t>Over the whole sampling period</t>
  </si>
  <si>
    <t>ch6_max</t>
  </si>
  <si>
    <t>ch5_max</t>
  </si>
  <si>
    <t>ch4_max</t>
  </si>
  <si>
    <t>ch3_max</t>
  </si>
  <si>
    <t>ch2_max</t>
  </si>
  <si>
    <t>ch1_max</t>
  </si>
  <si>
    <t>Dmax - Mean Amp (3)</t>
  </si>
  <si>
    <t>Mean Amp - Dmax (1)</t>
  </si>
  <si>
    <t>Dmax - Mean Amp (4)</t>
  </si>
  <si>
    <t>Mean Amp</t>
  </si>
  <si>
    <t>ch6_imp/s</t>
  </si>
  <si>
    <t>ch6 imp/s</t>
  </si>
  <si>
    <t>ch5 imp/s</t>
  </si>
  <si>
    <t>ch4 imp/s</t>
  </si>
  <si>
    <t>ch3 imp/s</t>
  </si>
  <si>
    <t>ch1 imp/s</t>
  </si>
  <si>
    <t>ch2 imp/s</t>
  </si>
  <si>
    <t>ch5_imp/s</t>
  </si>
  <si>
    <t>ch4_imp/s</t>
  </si>
  <si>
    <t>ch3_imp/s</t>
  </si>
  <si>
    <t>ch2_imp/s</t>
  </si>
  <si>
    <t>ch1_imp/s</t>
  </si>
  <si>
    <t>Imp/s - Dmax (1)</t>
  </si>
  <si>
    <t>Dmax - Imp/s (2)</t>
  </si>
  <si>
    <t>Dmax - Imp/s (3)</t>
  </si>
  <si>
    <t>Dmax - Imp/s (4)</t>
  </si>
  <si>
    <t>Ch1 (x1024)</t>
  </si>
  <si>
    <t>Ch2 (x256)</t>
  </si>
  <si>
    <t>Over the whole sampling period (Imp/s)</t>
  </si>
  <si>
    <t>Ch3 (x64)</t>
  </si>
  <si>
    <t>Ch4 (x16)</t>
  </si>
  <si>
    <t>-</t>
  </si>
  <si>
    <t>Ch5 (x4)</t>
  </si>
  <si>
    <t>Ch6 (x1)</t>
  </si>
  <si>
    <t>Ch1</t>
  </si>
  <si>
    <t>Ch2</t>
  </si>
  <si>
    <t>Ch3</t>
  </si>
  <si>
    <t>Ch4</t>
  </si>
  <si>
    <t>Ch5</t>
  </si>
  <si>
    <t>Ch6</t>
  </si>
  <si>
    <t>RMSE</t>
  </si>
  <si>
    <t>Amplitude</t>
  </si>
  <si>
    <t>Max</t>
  </si>
  <si>
    <t>Mean</t>
  </si>
  <si>
    <t>Solve</t>
  </si>
  <si>
    <t>Log</t>
  </si>
  <si>
    <t>min</t>
  </si>
  <si>
    <t>y2</t>
  </si>
  <si>
    <t>t2</t>
  </si>
  <si>
    <t>u2</t>
  </si>
  <si>
    <t>v2</t>
  </si>
  <si>
    <t>w2</t>
  </si>
  <si>
    <t>x2</t>
  </si>
  <si>
    <t>Max Amp by Channel</t>
  </si>
  <si>
    <t>Events</t>
  </si>
  <si>
    <t>ST1</t>
  </si>
  <si>
    <t>ST2</t>
  </si>
  <si>
    <t>ST3</t>
  </si>
  <si>
    <t>ST4</t>
  </si>
  <si>
    <t>ST5</t>
  </si>
  <si>
    <t>ST6</t>
  </si>
  <si>
    <t>ST7</t>
  </si>
  <si>
    <t>SP1</t>
  </si>
  <si>
    <t>SP2</t>
  </si>
  <si>
    <t>SP3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</si>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</sst>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"/>
    <numFmt numFmtId="166" formatCode="[$-F400]h:mm:ss\ AM/PM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1F0C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2" fontId="0" fillId="9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10" borderId="0" xfId="0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6" fontId="5" fillId="1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envelope'!$E$2:$E$25</c:f>
              <c:numCache>
                <c:formatCode>0.0000</c:formatCode>
                <c:ptCount val="24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C-4D93-9FF8-AE77C53E1B22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225-42D2-9069-B6468A8E23C9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93-9FF8-AE77C53E1B22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envelope'!$F$2:$F$25</c:f>
              <c:numCache>
                <c:formatCode>0.0000</c:formatCode>
                <c:ptCount val="24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4-4310-B45A-94DB5772C795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64-4310-B45A-94DB5772C795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envelope'!$F$26:$F$37</c:f>
              <c:numCache>
                <c:formatCode>0.0000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4-4310-B45A-94DB5772C795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envelope'!$F$2:$F$40</c:f>
              <c:numCache>
                <c:formatCode>0.0000</c:formatCode>
                <c:ptCount val="39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4-4310-B45A-94DB5772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envelope'!$G$2:$G$25</c:f>
              <c:numCache>
                <c:formatCode>0.0000</c:formatCode>
                <c:ptCount val="24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5C2-A8ED-FEBED1ABC14E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EB3-45C2-A8ED-FEBED1ABC14E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envelope'!$G$26:$G$37</c:f>
              <c:numCache>
                <c:formatCode>0.0000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3-45C2-A8ED-FEBED1ABC14E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envelope'!$G$2:$G$37</c:f>
              <c:numCache>
                <c:formatCode>0.0000</c:formatCode>
                <c:ptCount val="36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  <c:pt idx="24">
                  <c:v>4.6667095589632999E-3</c:v>
                </c:pt>
                <c:pt idx="25">
                  <c:v>4.1135640493545804E-3</c:v>
                </c:pt>
                <c:pt idx="26">
                  <c:v>6.1375608082080103E-3</c:v>
                </c:pt>
                <c:pt idx="27">
                  <c:v>4.0069409325786598E-3</c:v>
                </c:pt>
                <c:pt idx="28">
                  <c:v>4.26435563054003E-3</c:v>
                </c:pt>
                <c:pt idx="29">
                  <c:v>5.3544304928017398E-3</c:v>
                </c:pt>
                <c:pt idx="30">
                  <c:v>4.5052689799184196E-3</c:v>
                </c:pt>
                <c:pt idx="31">
                  <c:v>4.5700514622563203E-3</c:v>
                </c:pt>
                <c:pt idx="32">
                  <c:v>4.3864038070395503E-3</c:v>
                </c:pt>
                <c:pt idx="33">
                  <c:v>9.5407724532447606E-3</c:v>
                </c:pt>
                <c:pt idx="34">
                  <c:v>6.2822795747625101E-3</c:v>
                </c:pt>
                <c:pt idx="35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B3-45C2-A8ED-FEBED1ABC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A-4141-A8D3-CB9C0E04A2F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A-4141-A8D3-CB9C0E04A2F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A-4141-A8D3-CB9C0E04A2F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A-4141-A8D3-CB9C0E04A2F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A-4141-A8D3-CB9C0E04A2F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6A-4141-A8D3-CB9C0E04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5-4497-AC3F-3347B2F6FE6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5-4497-AC3F-3347B2F6FE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5-4497-AC3F-3347B2F6FE6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45-4497-AC3F-3347B2F6FE6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45-4497-AC3F-3347B2F6FE6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45-4497-AC3F-3347B2F6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B-498C-9EDA-7ED7E56A7BB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B-498C-9EDA-7ED7E56A7BB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B-498C-9EDA-7ED7E56A7BB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4B-498C-9EDA-7ED7E56A7BB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4B-498C-9EDA-7ED7E56A7BB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A4B-498C-9EDA-7ED7E56A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474-AFFA-85227DE5E7B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474-AFFA-85227DE5E7B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474-AFFA-85227DE5E7B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474-AFFA-85227DE5E7B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48-4474-AFFA-85227DE5E7B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48-4474-AFFA-85227DE5E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0-4C78-94C4-A5A26B7A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7-4BF8-9AAD-4379EAD8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F-4FE1-BC07-F1F4B82CC46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F-4FE1-BC07-F1F4B82CC46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F-4FE1-BC07-F1F4B82CC46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F-4FE1-BC07-F1F4B82CC46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EF-4FE1-BC07-F1F4B82CC46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EF-4FE1-BC07-F1F4B82C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6-46C7-A718-9451DE94801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6-46C7-A718-9451DE94801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36-46C7-A718-9451DE94801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36-46C7-A718-9451DE94801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6-46C7-A718-9451DE94801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6-46C7-A718-9451DE94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E-47EF-AEC5-54D05B386B17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E-47EF-AEC5-54D05B386B17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7E-47EF-AEC5-54D05B386B17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7E-47EF-AEC5-54D05B386B17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7E-47EF-AEC5-54D05B386B17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D7E-47EF-AEC5-54D05B38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6-4D12-AA06-C67E5243AB00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6-4D12-AA06-C67E5243AB00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6-4D12-AA06-C67E5243AB00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6-4D12-AA06-C67E5243AB00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46-4D12-AA06-C67E5243AB00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46-4D12-AA06-C67E5243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1-4F71-BEF7-AF9C8B4DD3C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1-4F71-BEF7-AF9C8B4DD3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1-4F71-BEF7-AF9C8B4DD3C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1-4F71-BEF7-AF9C8B4DD3C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1-4F71-BEF7-AF9C8B4DD3CA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F1-4F71-BEF7-AF9C8B4D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3-4D9D-8147-60F4DDE9220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83-4D9D-8147-60F4DDE9220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3-4D9D-8147-60F4DDE9220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83-4D9D-8147-60F4DDE9220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83-4D9D-8147-60F4DDE9220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83-4D9D-8147-60F4DDE9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7-4695-A894-A7D68BBF17D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87-4695-A894-A7D68BBF17D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87-4695-A894-A7D68BBF17D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87-4695-A894-A7D68BBF17D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87-4695-A894-A7D68BBF17D9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87-4695-A894-A7D68BBF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8-45F5-BCF6-875B7AE92B2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88-45F5-BCF6-875B7AE92B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88-45F5-BCF6-875B7AE92B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88-45F5-BCF6-875B7AE92B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88-45F5-BCF6-875B7AE92B2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88-45F5-BCF6-875B7AE92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envelope'!$E$2:$E$25</c:f>
              <c:numCache>
                <c:formatCode>General</c:formatCode>
                <c:ptCount val="24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5-47ED-8CEE-33A754E7F000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75-47ED-8CEE-33A754E7F000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envelope'!$E$26:$E$37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75-47ED-8CEE-33A754E7F000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envelope'!$E$2:$E$37</c:f>
              <c:numCache>
                <c:formatCode>General</c:formatCode>
                <c:ptCount val="36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  <c:pt idx="24">
                  <c:v>8.9091988856975293E-3</c:v>
                </c:pt>
                <c:pt idx="25">
                  <c:v>6.9292715613829001E-3</c:v>
                </c:pt>
                <c:pt idx="26">
                  <c:v>1.47385896428894E-2</c:v>
                </c:pt>
                <c:pt idx="27">
                  <c:v>2.25186870565936E-2</c:v>
                </c:pt>
                <c:pt idx="28">
                  <c:v>1.5294867364859001E-2</c:v>
                </c:pt>
                <c:pt idx="29">
                  <c:v>1.2363766214190001E-2</c:v>
                </c:pt>
                <c:pt idx="30">
                  <c:v>8.0927843677502997E-2</c:v>
                </c:pt>
                <c:pt idx="31">
                  <c:v>3.2770825255961797E-2</c:v>
                </c:pt>
                <c:pt idx="32">
                  <c:v>3.2088032772466697E-2</c:v>
                </c:pt>
                <c:pt idx="33">
                  <c:v>6.1720310731501603E-2</c:v>
                </c:pt>
                <c:pt idx="34">
                  <c:v>2.65212075258889E-2</c:v>
                </c:pt>
                <c:pt idx="35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75-47ED-8CEE-33A754E7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envelope'!$F$2:$F$25</c:f>
              <c:numCache>
                <c:formatCode>General</c:formatCode>
                <c:ptCount val="24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85E-994D-E169A5F7DCC9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5F-485E-994D-E169A5F7DCC9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envelope'!$F$26:$F$37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F-485E-994D-E169A5F7DCC9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envelope'!$F$2:$F$40</c:f>
              <c:numCache>
                <c:formatCode>General</c:formatCode>
                <c:ptCount val="39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  <c:pt idx="24">
                  <c:v>3.6147518972306099E-3</c:v>
                </c:pt>
                <c:pt idx="25">
                  <c:v>3.06887736670908E-3</c:v>
                </c:pt>
                <c:pt idx="26">
                  <c:v>5.8173175175506697E-3</c:v>
                </c:pt>
                <c:pt idx="27">
                  <c:v>4.9991354160188201E-3</c:v>
                </c:pt>
                <c:pt idx="28">
                  <c:v>4.1484743534522797E-3</c:v>
                </c:pt>
                <c:pt idx="29">
                  <c:v>4.8242966278930601E-3</c:v>
                </c:pt>
                <c:pt idx="30">
                  <c:v>9.6924269597843098E-3</c:v>
                </c:pt>
                <c:pt idx="31">
                  <c:v>8.7537882953942596E-3</c:v>
                </c:pt>
                <c:pt idx="32">
                  <c:v>6.2761382895869904E-3</c:v>
                </c:pt>
                <c:pt idx="33">
                  <c:v>1.87261826932381E-2</c:v>
                </c:pt>
                <c:pt idx="34">
                  <c:v>6.34952484332985E-3</c:v>
                </c:pt>
                <c:pt idx="35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5F-485E-994D-E169A5F7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envelope'!$G$2:$G$25</c:f>
              <c:numCache>
                <c:formatCode>General</c:formatCode>
                <c:ptCount val="24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95A-919F-D91F65940F75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3B-495A-919F-D91F65940F75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envelope'!$G$26:$G$37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95A-919F-D91F65940F75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envelope'!$G$2:$G$37</c:f>
              <c:numCache>
                <c:formatCode>General</c:formatCode>
                <c:ptCount val="36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  <c:pt idx="24">
                  <c:v>2.9716374894554099E-3</c:v>
                </c:pt>
                <c:pt idx="25">
                  <c:v>2.6196408724870799E-3</c:v>
                </c:pt>
                <c:pt idx="26">
                  <c:v>3.9062453901120798E-3</c:v>
                </c:pt>
                <c:pt idx="27">
                  <c:v>2.5500654296637401E-3</c:v>
                </c:pt>
                <c:pt idx="28">
                  <c:v>2.71426964444654E-3</c:v>
                </c:pt>
                <c:pt idx="29">
                  <c:v>3.40743614970838E-3</c:v>
                </c:pt>
                <c:pt idx="30">
                  <c:v>2.8688076768947999E-3</c:v>
                </c:pt>
                <c:pt idx="31">
                  <c:v>2.9094480124794301E-3</c:v>
                </c:pt>
                <c:pt idx="32">
                  <c:v>2.7927222762546698E-3</c:v>
                </c:pt>
                <c:pt idx="33">
                  <c:v>6.0760171082971503E-3</c:v>
                </c:pt>
                <c:pt idx="34">
                  <c:v>3.99861834458933E-3</c:v>
                </c:pt>
                <c:pt idx="35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B-495A-919F-D91F6594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D-47DF-9F0D-94EA16450CA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D-47DF-9F0D-94EA16450CA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5D-47DF-9F0D-94EA16450CA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5D-47DF-9F0D-94EA16450CA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5D-47DF-9F0D-94EA16450CA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5D-47DF-9F0D-94EA1645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0-4A3D-8BDF-EFBB7867246F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0-4A3D-8BDF-EFBB7867246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0-4A3D-8BDF-EFBB7867246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50-4A3D-8BDF-EFBB7867246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50-4A3D-8BDF-EFBB7867246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50-4A3D-8BDF-EFBB78672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6-4E62-93A1-3B55BCDA113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6218064478879659"/>
                  <c:y val="0.3033599324640278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6-4E62-93A1-3B55BCDA11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06-4E62-93A1-3B55BCDA11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06-4E62-93A1-3B55BCDA11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06-4E62-93A1-3B55BCDA11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06-4E62-93A1-3B55BCDA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8-452E-9769-367F90110AA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8-452E-9769-367F90110AA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8-452E-9769-367F90110AA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8-452E-9769-367F90110AA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B8-452E-9769-367F90110AA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B8-452E-9769-367F9011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58A-9B88-A192AF00241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7-458A-9B88-A192AF00241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47-458A-9B88-A192AF00241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47-458A-9B88-A192AF00241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47-458A-9B88-A192AF00241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47-458A-9B88-A192AF00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489373985830818E-2"/>
                  <c:y val="-6.8268651322359276E-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E-4856-8C16-EF32399D1B02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E-4856-8C16-EF32399D1B0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EE-4856-8C16-EF32399D1B0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EE-4856-8C16-EF32399D1B0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EE-4856-8C16-EF32399D1B0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EE-4856-8C16-EF32399D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Max Amp (2)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06144776312678E-2"/>
                  <c:y val="-8.239100320793234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3-47D8-99B4-2DCAEC38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Max Amp</a:t>
            </a:r>
            <a:endParaRPr lang="en-US" sz="1000"/>
          </a:p>
        </c:rich>
      </c:tx>
      <c:layout>
        <c:manualLayout>
          <c:xMode val="edge"/>
          <c:yMode val="edge"/>
          <c:x val="0.16135824392175799"/>
          <c:y val="4.6093212551739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validation!$C$22</c:f>
              <c:strCache>
                <c:ptCount val="1"/>
                <c:pt idx="0">
                  <c:v>Max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validation!$C$23:$C$27</c:f>
              <c:numCache>
                <c:formatCode>0.00</c:formatCode>
                <c:ptCount val="5"/>
                <c:pt idx="1">
                  <c:v>124.98377815678667</c:v>
                </c:pt>
                <c:pt idx="2">
                  <c:v>28.937326206160222</c:v>
                </c:pt>
                <c:pt idx="3">
                  <c:v>18.125609180160435</c:v>
                </c:pt>
                <c:pt idx="4">
                  <c:v>115.87861276600501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2-42FA-B61E-83431FBF0FBD}"/>
            </c:ext>
          </c:extLst>
        </c:ser>
        <c:ser>
          <c:idx val="1"/>
          <c:order val="1"/>
          <c:tx>
            <c:strRef>
              <c:f>validation!$D$22</c:f>
              <c:strCache>
                <c:ptCount val="1"/>
                <c:pt idx="0">
                  <c:v>Dmax - Max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3278057815860007E-2"/>
                  <c:y val="-9.230883442242433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validation!$D$23:$D$27</c:f>
              <c:numCache>
                <c:formatCode>0.00</c:formatCode>
                <c:ptCount val="5"/>
                <c:pt idx="1">
                  <c:v>97.695517607575738</c:v>
                </c:pt>
                <c:pt idx="2">
                  <c:v>42.558611168539372</c:v>
                </c:pt>
                <c:pt idx="3">
                  <c:v>36.351982834008801</c:v>
                </c:pt>
                <c:pt idx="4">
                  <c:v>92.468560837516662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2-42FA-B61E-83431FBF0FBD}"/>
            </c:ext>
          </c:extLst>
        </c:ser>
        <c:ser>
          <c:idx val="2"/>
          <c:order val="2"/>
          <c:tx>
            <c:strRef>
              <c:f>validation!$E$22</c:f>
              <c:strCache>
                <c:ptCount val="1"/>
                <c:pt idx="0">
                  <c:v>Dmax - Max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42445045338195"/>
                  <c:y val="8.3311254563541493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validation!$E$23:$E$27</c:f>
              <c:numCache>
                <c:formatCode>0.00</c:formatCode>
                <c:ptCount val="5"/>
                <c:pt idx="1">
                  <c:v>99.727167764153535</c:v>
                </c:pt>
                <c:pt idx="2">
                  <c:v>37.904529640463622</c:v>
                </c:pt>
                <c:pt idx="3">
                  <c:v>24.285515845279502</c:v>
                </c:pt>
                <c:pt idx="4">
                  <c:v>95.389258082839561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2-42FA-B61E-83431FBF0FBD}"/>
            </c:ext>
          </c:extLst>
        </c:ser>
        <c:ser>
          <c:idx val="3"/>
          <c:order val="3"/>
          <c:tx>
            <c:strRef>
              <c:f>validation!$F$22</c:f>
              <c:strCache>
                <c:ptCount val="1"/>
                <c:pt idx="0">
                  <c:v>Dmax - Max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067645454364753"/>
                  <c:y val="-1.7392681506459482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validation!$F$23:$F$27</c:f>
              <c:numCache>
                <c:formatCode>0.00</c:formatCode>
                <c:ptCount val="5"/>
                <c:pt idx="1">
                  <c:v>95.622784164000777</c:v>
                </c:pt>
                <c:pt idx="2">
                  <c:v>43.56527987715296</c:v>
                </c:pt>
                <c:pt idx="3">
                  <c:v>19.607987322204224</c:v>
                </c:pt>
                <c:pt idx="4">
                  <c:v>93.229578162012615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Amax </a:t>
            </a:r>
            <a:r>
              <a:rPr lang="en-US" sz="1200" baseline="0"/>
              <a:t>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90-4CAE-B85D-C78266EC17FD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90-4CAE-B85D-C78266EC17FD}"/>
            </c:ext>
          </c:extLst>
        </c:ser>
        <c:ser>
          <c:idx val="0"/>
          <c:order val="1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346367484345608E-2"/>
                  <c:y val="0.30603579098067285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90-4CAE-B85D-C78266EC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AmpMax ( 3 and 4)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16629900733323"/>
                  <c:y val="0.1384722222222222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901921826719537"/>
                  <c:y val="0.30648658501020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7B2-9771-08E1478C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layout>
            <c:manualLayout>
              <c:xMode val="edge"/>
              <c:yMode val="edge"/>
              <c:x val="0.4431146648678883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</a:p>
            </c:rich>
          </c:tx>
          <c:layout>
            <c:manualLayout>
              <c:xMode val="edge"/>
              <c:yMode val="edge"/>
              <c:x val="2.7282426009174521E-2"/>
              <c:y val="0.343140492855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Mean</a:t>
            </a:r>
            <a:r>
              <a:rPr lang="en-US" sz="1200" baseline="0"/>
              <a:t> Amp 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993656456298516"/>
                  <c:y val="-5.271525455979345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D1-430C-A6BF-C571D974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05264819071684"/>
                  <c:y val="0.3337391304347825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7-462A-A02E-21BD21F2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258479044846108"/>
                  <c:y val="0.17254694986642777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571384794456385"/>
                  <c:y val="0.3477850563684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B-41AF-A521-486DB53B5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Mean Amp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validation!$I$22</c:f>
              <c:strCache>
                <c:ptCount val="1"/>
                <c:pt idx="0">
                  <c:v>Mean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validation!$I$23:$I$27</c:f>
              <c:numCache>
                <c:formatCode>0.00</c:formatCode>
                <c:ptCount val="5"/>
                <c:pt idx="1">
                  <c:v>40.493833299235177</c:v>
                </c:pt>
                <c:pt idx="2">
                  <c:v>15.219551761716476</c:v>
                </c:pt>
                <c:pt idx="3">
                  <c:v>19.030965504442523</c:v>
                </c:pt>
                <c:pt idx="4">
                  <c:v>17.065811702828679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6-4134-9857-C6ECB4B29A54}"/>
            </c:ext>
          </c:extLst>
        </c:ser>
        <c:ser>
          <c:idx val="1"/>
          <c:order val="1"/>
          <c:tx>
            <c:strRef>
              <c:f>validation!$J$22</c:f>
              <c:strCache>
                <c:ptCount val="1"/>
                <c:pt idx="0">
                  <c:v>Dmax - Mean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validation!$J$23:$J$27</c:f>
              <c:numCache>
                <c:formatCode>0.000</c:formatCode>
                <c:ptCount val="5"/>
                <c:pt idx="1">
                  <c:v>47.470032741532719</c:v>
                </c:pt>
                <c:pt idx="2">
                  <c:v>28.836950958716034</c:v>
                </c:pt>
                <c:pt idx="3">
                  <c:v>31.739122444755466</c:v>
                </c:pt>
                <c:pt idx="4">
                  <c:v>30.248590430233961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6-4134-9857-C6ECB4B29A54}"/>
            </c:ext>
          </c:extLst>
        </c:ser>
        <c:ser>
          <c:idx val="2"/>
          <c:order val="2"/>
          <c:tx>
            <c:strRef>
              <c:f>validation!$K$22</c:f>
              <c:strCache>
                <c:ptCount val="1"/>
                <c:pt idx="0">
                  <c:v>Dmax - Mean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validation!$K$23:$K$27</c:f>
              <c:numCache>
                <c:formatCode>0.000</c:formatCode>
                <c:ptCount val="5"/>
                <c:pt idx="1">
                  <c:v>45.304341949768059</c:v>
                </c:pt>
                <c:pt idx="2">
                  <c:v>21.723372749373084</c:v>
                </c:pt>
                <c:pt idx="3">
                  <c:v>25.693859138130588</c:v>
                </c:pt>
                <c:pt idx="4">
                  <c:v>23.674255529249351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6-4134-9857-C6ECB4B29A54}"/>
            </c:ext>
          </c:extLst>
        </c:ser>
        <c:ser>
          <c:idx val="3"/>
          <c:order val="3"/>
          <c:tx>
            <c:strRef>
              <c:f>validation!$L$22</c:f>
              <c:strCache>
                <c:ptCount val="1"/>
                <c:pt idx="0">
                  <c:v>Dmax - Mean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validation!$L$23:$L$27</c:f>
              <c:numCache>
                <c:formatCode>0.000</c:formatCode>
                <c:ptCount val="5"/>
                <c:pt idx="1">
                  <c:v>52.922887744040423</c:v>
                </c:pt>
                <c:pt idx="2">
                  <c:v>12.11248485590275</c:v>
                </c:pt>
                <c:pt idx="3">
                  <c:v>21.432805233401098</c:v>
                </c:pt>
                <c:pt idx="4">
                  <c:v>16.887456130623633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0-4322-84DF-253B9DA8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02500460289909"/>
                  <c:y val="-0.4457106043359268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9-4938-8ACD-7FE60D85A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3946523595824041"/>
                  <c:y val="-0.3659773028122046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A-4645-988D-5882A2A8F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Ch1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validation!$O$22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522188919764704"/>
                  <c:y val="3.153046292828826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validation!$O$23:$O$27</c:f>
              <c:numCache>
                <c:formatCode>0.00</c:formatCode>
                <c:ptCount val="5"/>
                <c:pt idx="1">
                  <c:v>546.17166893812691</c:v>
                </c:pt>
                <c:pt idx="2">
                  <c:v>158.2516590681046</c:v>
                </c:pt>
                <c:pt idx="3">
                  <c:v>159.9955674195038</c:v>
                </c:pt>
                <c:pt idx="4">
                  <c:v>216.74762833039611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F-4FFA-82F7-6A1A84147B7E}"/>
            </c:ext>
          </c:extLst>
        </c:ser>
        <c:ser>
          <c:idx val="1"/>
          <c:order val="1"/>
          <c:tx>
            <c:strRef>
              <c:f>validation!$P$22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46234507412592"/>
                  <c:y val="-5.0577154989664495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validation!$P$23:$P$27</c:f>
              <c:numCache>
                <c:formatCode>0.00</c:formatCode>
                <c:ptCount val="5"/>
                <c:pt idx="1">
                  <c:v>156.89618286448186</c:v>
                </c:pt>
                <c:pt idx="2">
                  <c:v>106.2530489485371</c:v>
                </c:pt>
                <c:pt idx="3">
                  <c:v>106.70110402506842</c:v>
                </c:pt>
                <c:pt idx="4">
                  <c:v>119.1125392430142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F-4FFA-82F7-6A1A84147B7E}"/>
            </c:ext>
          </c:extLst>
        </c:ser>
        <c:ser>
          <c:idx val="3"/>
          <c:order val="2"/>
          <c:tx>
            <c:strRef>
              <c:f>validation!$R$22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4058619669012524"/>
                  <c:y val="5.633732180948029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validation!$R$23:$R$27</c:f>
              <c:numCache>
                <c:formatCode>0.00</c:formatCode>
                <c:ptCount val="5"/>
                <c:pt idx="1">
                  <c:v>173.50357460693817</c:v>
                </c:pt>
                <c:pt idx="2">
                  <c:v>107.46446045383004</c:v>
                </c:pt>
                <c:pt idx="3">
                  <c:v>107.98468277821667</c:v>
                </c:pt>
                <c:pt idx="4">
                  <c:v>122.79861228787036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3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6683680792130169"/>
          <c:w val="1"/>
          <c:h val="0.11556165585824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843078649342395E-2"/>
                  <c:y val="0.2243760784641366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2-4E00-ACFE-7A22BD94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5-45AE-9364-5AA0BF445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(3) and (4)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1284365432777334"/>
                  <c:y val="0.2176144433664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84-4E34-82A2-C130F7C5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Ch2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validation!$V$22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validation!$V$23:$V$27</c:f>
              <c:numCache>
                <c:formatCode>0.00</c:formatCode>
                <c:ptCount val="5"/>
                <c:pt idx="1">
                  <c:v>0.9958438496719686</c:v>
                </c:pt>
                <c:pt idx="2">
                  <c:v>0.31499650175891308</c:v>
                </c:pt>
                <c:pt idx="3">
                  <c:v>6.8452368952399834</c:v>
                </c:pt>
                <c:pt idx="4">
                  <c:v>0.41567343967478648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6-4A00-BCCF-E061E6DFFF7D}"/>
            </c:ext>
          </c:extLst>
        </c:ser>
        <c:ser>
          <c:idx val="1"/>
          <c:order val="1"/>
          <c:tx>
            <c:strRef>
              <c:f>validation!$W$22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validation!$W$23:$W$27</c:f>
              <c:numCache>
                <c:formatCode>0.00</c:formatCode>
                <c:ptCount val="5"/>
                <c:pt idx="1">
                  <c:v>47.011462828327836</c:v>
                </c:pt>
                <c:pt idx="2">
                  <c:v>42.871088475303516</c:v>
                </c:pt>
                <c:pt idx="3">
                  <c:v>53.945670493273312</c:v>
                </c:pt>
                <c:pt idx="4">
                  <c:v>43.868704467680203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F6-4A00-BCCF-E061E6DFFF7D}"/>
            </c:ext>
          </c:extLst>
        </c:ser>
        <c:ser>
          <c:idx val="2"/>
          <c:order val="2"/>
          <c:tx>
            <c:strRef>
              <c:f>validation!$X$22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validation!$X$23:$X$27</c:f>
              <c:numCache>
                <c:formatCode>0.00</c:formatCode>
                <c:ptCount val="5"/>
                <c:pt idx="1">
                  <c:v>32.342147494732167</c:v>
                </c:pt>
                <c:pt idx="2">
                  <c:v>25.960620247950711</c:v>
                </c:pt>
                <c:pt idx="3">
                  <c:v>42.794842976188278</c:v>
                </c:pt>
                <c:pt idx="4">
                  <c:v>27.509761120953833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F6-4A00-BCCF-E061E6DFFF7D}"/>
            </c:ext>
          </c:extLst>
        </c:ser>
        <c:ser>
          <c:idx val="3"/>
          <c:order val="3"/>
          <c:tx>
            <c:strRef>
              <c:f>validation!$Y$22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validation!$Y$23:$Y$27</c:f>
              <c:numCache>
                <c:formatCode>0.00</c:formatCode>
                <c:ptCount val="5"/>
                <c:pt idx="1">
                  <c:v>41.933118884917931</c:v>
                </c:pt>
                <c:pt idx="2">
                  <c:v>33.212523597718601</c:v>
                </c:pt>
                <c:pt idx="3">
                  <c:v>53.044478030622045</c:v>
                </c:pt>
                <c:pt idx="4">
                  <c:v>35.512198542686704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6-4460-A41F-7B3CE2D5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35558738660188"/>
                  <c:y val="-0.1375706117828530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1-4403-AA7E-6163766D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5056569305183613E-2"/>
                  <c:y val="0.24917018930743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C-4305-987A-649B4053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Ch3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validation!$AC$22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validation!$AC$23:$AC$27</c:f>
              <c:numCache>
                <c:formatCode>0.00</c:formatCode>
                <c:ptCount val="5"/>
                <c:pt idx="1">
                  <c:v>29.659305775690282</c:v>
                </c:pt>
                <c:pt idx="2">
                  <c:v>16.430797296776326</c:v>
                </c:pt>
                <c:pt idx="3">
                  <c:v>17.630718337536553</c:v>
                </c:pt>
                <c:pt idx="4">
                  <c:v>16.373213590505561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4-4350-9F56-E4B73081FB03}"/>
            </c:ext>
          </c:extLst>
        </c:ser>
        <c:ser>
          <c:idx val="1"/>
          <c:order val="1"/>
          <c:tx>
            <c:strRef>
              <c:f>validation!$AD$22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validation!$AD$23:$AD$27</c:f>
              <c:numCache>
                <c:formatCode>0.000</c:formatCode>
                <c:ptCount val="5"/>
                <c:pt idx="1">
                  <c:v>41.207262199211904</c:v>
                </c:pt>
                <c:pt idx="2">
                  <c:v>20.565616418960641</c:v>
                </c:pt>
                <c:pt idx="3">
                  <c:v>23.029020988777891</c:v>
                </c:pt>
                <c:pt idx="4">
                  <c:v>20.442917594091853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4-4350-9F56-E4B73081FB03}"/>
            </c:ext>
          </c:extLst>
        </c:ser>
        <c:ser>
          <c:idx val="2"/>
          <c:order val="2"/>
          <c:tx>
            <c:strRef>
              <c:f>validation!$AE$22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validation!$AE$23:$AE$27</c:f>
              <c:numCache>
                <c:formatCode>0.00</c:formatCode>
                <c:ptCount val="5"/>
                <c:pt idx="1">
                  <c:v>40.923634346381888</c:v>
                </c:pt>
                <c:pt idx="2">
                  <c:v>15.263430355503798</c:v>
                </c:pt>
                <c:pt idx="3">
                  <c:v>19.104974879697991</c:v>
                </c:pt>
                <c:pt idx="4">
                  <c:v>15.060376567986314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04-4350-9F56-E4B73081FB03}"/>
            </c:ext>
          </c:extLst>
        </c:ser>
        <c:ser>
          <c:idx val="3"/>
          <c:order val="3"/>
          <c:tx>
            <c:strRef>
              <c:f>validation!$AF$22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validation!$AF$23:$AF$27</c:f>
              <c:numCache>
                <c:formatCode>0.000</c:formatCode>
                <c:ptCount val="5"/>
                <c:pt idx="1">
                  <c:v>48.046833598239623</c:v>
                </c:pt>
                <c:pt idx="2">
                  <c:v>-3.6761334165626529</c:v>
                </c:pt>
                <c:pt idx="3">
                  <c:v>8.0970069671965419</c:v>
                </c:pt>
                <c:pt idx="4">
                  <c:v>-4.3784956823808656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5-455A-8A11-AE469CEA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72791399919537"/>
                  <c:y val="0.29176255026795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A-4EB0-B546-45FAD41A8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30169604118661"/>
                  <c:y val="0.25896661584533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D-4C45-BB18-140095FA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Ch4 Imp/s</a:t>
            </a:r>
            <a:endParaRPr lang="en-US" sz="1000"/>
          </a:p>
        </c:rich>
      </c:tx>
      <c:layout>
        <c:manualLayout>
          <c:xMode val="edge"/>
          <c:yMode val="edge"/>
          <c:x val="0.10468539009637413"/>
          <c:y val="7.961554895300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validation!$AJ$22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validation!$AJ$23:$AJ$27</c:f>
              <c:numCache>
                <c:formatCode>0.00</c:formatCode>
                <c:ptCount val="5"/>
                <c:pt idx="1">
                  <c:v>33.188278878637824</c:v>
                </c:pt>
                <c:pt idx="2">
                  <c:v>19.787322110256987</c:v>
                </c:pt>
                <c:pt idx="3">
                  <c:v>19.316209167361411</c:v>
                </c:pt>
                <c:pt idx="4">
                  <c:v>20.219890502537915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0-4452-B562-3B029DF7F529}"/>
            </c:ext>
          </c:extLst>
        </c:ser>
        <c:ser>
          <c:idx val="1"/>
          <c:order val="1"/>
          <c:tx>
            <c:strRef>
              <c:f>validation!$AK$22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validation!$AK$23:$AK$27</c:f>
              <c:numCache>
                <c:formatCode>0.00</c:formatCode>
                <c:ptCount val="5"/>
                <c:pt idx="1">
                  <c:v>45.44043253352951</c:v>
                </c:pt>
                <c:pt idx="2">
                  <c:v>27.704673245050621</c:v>
                </c:pt>
                <c:pt idx="3">
                  <c:v>26.878276028829479</c:v>
                </c:pt>
                <c:pt idx="4">
                  <c:v>28.446311608815058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0-4452-B562-3B029DF7F529}"/>
            </c:ext>
          </c:extLst>
        </c:ser>
        <c:ser>
          <c:idx val="2"/>
          <c:order val="2"/>
          <c:tx>
            <c:strRef>
              <c:f>validation!$AL$22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validation!$AL$23:$AL$27</c:f>
              <c:numCache>
                <c:formatCode>0.00</c:formatCode>
                <c:ptCount val="5"/>
                <c:pt idx="1">
                  <c:v>49.260837883196288</c:v>
                </c:pt>
                <c:pt idx="2">
                  <c:v>16.178763293074105</c:v>
                </c:pt>
                <c:pt idx="3">
                  <c:v>9.2058127259320273</c:v>
                </c:pt>
                <c:pt idx="4">
                  <c:v>19.832581929011742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0-4452-B562-3B029DF7F529}"/>
            </c:ext>
          </c:extLst>
        </c:ser>
        <c:ser>
          <c:idx val="3"/>
          <c:order val="3"/>
          <c:tx>
            <c:strRef>
              <c:f>validation!$AM$22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validation!$AM$23:$AM$27</c:f>
              <c:numCache>
                <c:formatCode>0.00</c:formatCode>
                <c:ptCount val="5"/>
                <c:pt idx="1">
                  <c:v>57.855938622870738</c:v>
                </c:pt>
                <c:pt idx="2">
                  <c:v>0.87586922357535002</c:v>
                </c:pt>
                <c:pt idx="3">
                  <c:v>-27.980038314235287</c:v>
                </c:pt>
                <c:pt idx="4">
                  <c:v>11.296517251930133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1-4E1F-916B-F08D1CDA9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D-4AC8-A01D-FCC0367BF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E-4B9C-AEB2-AAE57B2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Ch5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validation!$AQ$22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validation!$AQ$23:$AQ$27</c:f>
              <c:numCache>
                <c:formatCode>0.00</c:formatCode>
                <c:ptCount val="5"/>
                <c:pt idx="1">
                  <c:v>31.94910428210375</c:v>
                </c:pt>
                <c:pt idx="2">
                  <c:v>21.340315843657365</c:v>
                </c:pt>
                <c:pt idx="3">
                  <c:v>20.920959881197483</c:v>
                </c:pt>
                <c:pt idx="4">
                  <c:v>21.576912796719373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C7F-9EEA-355AD8FB458F}"/>
            </c:ext>
          </c:extLst>
        </c:ser>
        <c:ser>
          <c:idx val="1"/>
          <c:order val="1"/>
          <c:tx>
            <c:strRef>
              <c:f>validation!$AR$22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validation!$AR$23:$AR$27</c:f>
              <c:numCache>
                <c:formatCode>0.00</c:formatCode>
                <c:ptCount val="5"/>
                <c:pt idx="1">
                  <c:v>49.598324488129023</c:v>
                </c:pt>
                <c:pt idx="2">
                  <c:v>40.165890105190499</c:v>
                </c:pt>
                <c:pt idx="3">
                  <c:v>39.701999999999998</c:v>
                </c:pt>
                <c:pt idx="4">
                  <c:v>40.4236067757531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2-4FD3-9131-0CBF7018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4-4ABE-8A40-6EBB1C63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08-4A80-82DF-3DEF83227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Ch6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validation!$AY$22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validation!$AY$23:$AY$27</c:f>
              <c:numCache>
                <c:formatCode>0.00</c:formatCode>
                <c:ptCount val="5"/>
                <c:pt idx="1">
                  <c:v>39.250419737862266</c:v>
                </c:pt>
                <c:pt idx="2">
                  <c:v>27.524661448827725</c:v>
                </c:pt>
                <c:pt idx="3">
                  <c:v>27.524661448827725</c:v>
                </c:pt>
                <c:pt idx="4">
                  <c:v>29.449546358859745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E-4E26-AE78-1A6101C895C9}"/>
            </c:ext>
          </c:extLst>
        </c:ser>
        <c:ser>
          <c:idx val="1"/>
          <c:order val="1"/>
          <c:tx>
            <c:strRef>
              <c:f>validation!$AZ$22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validation!$AZ$23:$AZ$27</c:f>
              <c:numCache>
                <c:formatCode>0.00</c:formatCode>
                <c:ptCount val="5"/>
                <c:pt idx="1">
                  <c:v>53.097644481017909</c:v>
                </c:pt>
                <c:pt idx="2">
                  <c:v>43.216999999999999</c:v>
                </c:pt>
                <c:pt idx="3">
                  <c:v>43.216999999999999</c:v>
                </c:pt>
                <c:pt idx="4">
                  <c:v>45.099026951175652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layout>
        <c:manualLayout>
          <c:xMode val="edge"/>
          <c:yMode val="edge"/>
          <c:x val="0.26889324348051119"/>
          <c:y val="5.5979639279546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F-4FB0-A26B-5F14CB8882D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F-4FB0-A26B-5F14CB8882D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F-4FB0-A26B-5F14CB8882D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4F-4FB0-A26B-5F14CB8882D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4F-4FB0-A26B-5F14CB8882D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4F-4FB0-A26B-5F14CB88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9-42B1-9990-6E2E7D02ED63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9-42B1-9990-6E2E7D02ED63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9-42B1-9990-6E2E7D02ED63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C9-42B1-9990-6E2E7D02ED63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C9-42B1-9990-6E2E7D02ED63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C9-42B1-9990-6E2E7D02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0-4C35-AD08-48A3113BFA5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0-4C35-AD08-48A3113BFA5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0-4C35-AD08-48A3113BFA5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40-4C35-AD08-48A3113BFA5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40-4C35-AD08-48A3113BFA5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40-4C35-AD08-48A3113B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Linear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0"/>
          <c:order val="0"/>
          <c:tx>
            <c:strRef>
              <c:f>validation!$BJ$22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validation!$BJ$23:$BJ$27</c:f>
              <c:numCache>
                <c:formatCode>0.00</c:formatCode>
                <c:ptCount val="5"/>
                <c:pt idx="0">
                  <c:v>169.89940980089071</c:v>
                </c:pt>
                <c:pt idx="1">
                  <c:v>97.695819187166947</c:v>
                </c:pt>
                <c:pt idx="2">
                  <c:v>42.561160235106172</c:v>
                </c:pt>
                <c:pt idx="3">
                  <c:v>35.798757291920879</c:v>
                </c:pt>
                <c:pt idx="4">
                  <c:v>92.469075477977853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5-43BD-B4CB-7FC317EF7AE1}"/>
            </c:ext>
          </c:extLst>
        </c:ser>
        <c:ser>
          <c:idx val="1"/>
          <c:order val="1"/>
          <c:tx>
            <c:strRef>
              <c:f>validation!$BI$22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validation!$BI$23:$BI$27</c:f>
              <c:numCache>
                <c:formatCode>0.00</c:formatCode>
                <c:ptCount val="5"/>
                <c:pt idx="0">
                  <c:v>169.90196470395239</c:v>
                </c:pt>
                <c:pt idx="1">
                  <c:v>97.695476093415976</c:v>
                </c:pt>
                <c:pt idx="2">
                  <c:v>42.558604231101945</c:v>
                </c:pt>
                <c:pt idx="3">
                  <c:v>36.351979788789492</c:v>
                </c:pt>
                <c:pt idx="4">
                  <c:v>92.468522601215994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5-43BD-B4CB-7FC317EF7AE1}"/>
            </c:ext>
          </c:extLst>
        </c:ser>
        <c:ser>
          <c:idx val="2"/>
          <c:order val="2"/>
          <c:tx>
            <c:strRef>
              <c:f>validation!$BH$22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validation!$BH$23:$BH$27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97.695476093415976</c:v>
                </c:pt>
                <c:pt idx="2">
                  <c:v>42.558604231101967</c:v>
                </c:pt>
                <c:pt idx="3">
                  <c:v>36.351979788789485</c:v>
                </c:pt>
                <c:pt idx="4">
                  <c:v>92.468522601215938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25-43BD-B4CB-7FC317EF7AE1}"/>
            </c:ext>
          </c:extLst>
        </c:ser>
        <c:ser>
          <c:idx val="3"/>
          <c:order val="3"/>
          <c:tx>
            <c:strRef>
              <c:f>validation!$BG$22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validation!$BG$23:$BG$27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97.695476093415863</c:v>
                </c:pt>
                <c:pt idx="2">
                  <c:v>42.55860423110196</c:v>
                </c:pt>
                <c:pt idx="3">
                  <c:v>36.351979788789492</c:v>
                </c:pt>
                <c:pt idx="4">
                  <c:v>92.468522601216051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25-43BD-B4CB-7FC317EF7AE1}"/>
            </c:ext>
          </c:extLst>
        </c:ser>
        <c:ser>
          <c:idx val="5"/>
          <c:order val="4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validation!$BK$23:$BK$27</c:f>
              <c:numCache>
                <c:formatCode>0.00</c:formatCode>
                <c:ptCount val="5"/>
                <c:pt idx="0">
                  <c:v>166.79810978703136</c:v>
                </c:pt>
                <c:pt idx="1">
                  <c:v>97.20996129768622</c:v>
                </c:pt>
                <c:pt idx="2">
                  <c:v>44.072453848905766</c:v>
                </c:pt>
                <c:pt idx="3">
                  <c:v>33.411000000000001</c:v>
                </c:pt>
                <c:pt idx="4">
                  <c:v>92.172546755566742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25-43BD-B4CB-7FC317EF7AE1}"/>
            </c:ext>
          </c:extLst>
        </c:ser>
        <c:ser>
          <c:idx val="6"/>
          <c:order val="5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validation!$BL$23:$BL$27</c:f>
              <c:numCache>
                <c:formatCode>General</c:formatCode>
                <c:ptCount val="5"/>
                <c:pt idx="0">
                  <c:v>133.37410261117151</c:v>
                </c:pt>
                <c:pt idx="1">
                  <c:v>94.751502888379235</c:v>
                </c:pt>
                <c:pt idx="2">
                  <c:v>59.341999999999999</c:v>
                </c:pt>
                <c:pt idx="3">
                  <c:v>59.341999999999999</c:v>
                </c:pt>
                <c:pt idx="4">
                  <c:v>91.955652593155037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8838153210983952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Power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validation!$B$39:$B$40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validation!$C$39:$C$40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3"/>
          <c:order val="0"/>
          <c:tx>
            <c:strRef>
              <c:f>validation!$BP$22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validation!$BP$23:$BP$27</c:f>
              <c:numCache>
                <c:formatCode>0.00</c:formatCode>
                <c:ptCount val="5"/>
                <c:pt idx="0">
                  <c:v>148.54443363082297</c:v>
                </c:pt>
                <c:pt idx="1">
                  <c:v>99.694232599765229</c:v>
                </c:pt>
                <c:pt idx="2">
                  <c:v>37.892011567978848</c:v>
                </c:pt>
                <c:pt idx="3">
                  <c:v>24.277495488594788</c:v>
                </c:pt>
                <c:pt idx="4">
                  <c:v>95.357755524747361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81-4B72-AB57-760E8D33B874}"/>
            </c:ext>
          </c:extLst>
        </c:ser>
        <c:ser>
          <c:idx val="2"/>
          <c:order val="1"/>
          <c:tx>
            <c:strRef>
              <c:f>validation!$BQ$22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validation!$BQ$23:$BQ$27</c:f>
              <c:numCache>
                <c:formatCode>0.00</c:formatCode>
                <c:ptCount val="5"/>
                <c:pt idx="0">
                  <c:v>148.55088810395125</c:v>
                </c:pt>
                <c:pt idx="1">
                  <c:v>99.698564460136211</c:v>
                </c:pt>
                <c:pt idx="2">
                  <c:v>37.89365803135999</c:v>
                </c:pt>
                <c:pt idx="3">
                  <c:v>24.278550381318947</c:v>
                </c:pt>
                <c:pt idx="4">
                  <c:v>95.361898958840129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81-4B72-AB57-760E8D33B874}"/>
            </c:ext>
          </c:extLst>
        </c:ser>
        <c:ser>
          <c:idx val="1"/>
          <c:order val="2"/>
          <c:tx>
            <c:strRef>
              <c:f>validation!$BR$22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validation!$BR$23:$BR$27</c:f>
              <c:numCache>
                <c:formatCode>0.00</c:formatCode>
                <c:ptCount val="5"/>
                <c:pt idx="0">
                  <c:v>148.56416624831871</c:v>
                </c:pt>
                <c:pt idx="1">
                  <c:v>99.707475964800153</c:v>
                </c:pt>
                <c:pt idx="2">
                  <c:v>37.897045136401111</c:v>
                </c:pt>
                <c:pt idx="3">
                  <c:v>24.280720506998595</c:v>
                </c:pt>
                <c:pt idx="4">
                  <c:v>95.37042283289928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1-4B72-AB57-760E8D33B874}"/>
            </c:ext>
          </c:extLst>
        </c:ser>
        <c:ser>
          <c:idx val="0"/>
          <c:order val="3"/>
          <c:tx>
            <c:strRef>
              <c:f>validation!$BS$22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validation!$BS$23:$BS$27</c:f>
              <c:numCache>
                <c:formatCode>0.00</c:formatCode>
                <c:ptCount val="5"/>
                <c:pt idx="0">
                  <c:v>148.46770308891954</c:v>
                </c:pt>
                <c:pt idx="1">
                  <c:v>99.679486561846588</c:v>
                </c:pt>
                <c:pt idx="2">
                  <c:v>37.920313348849398</c:v>
                </c:pt>
                <c:pt idx="3">
                  <c:v>22.760195936132316</c:v>
                </c:pt>
                <c:pt idx="4">
                  <c:v>95.347571958453543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1-4B72-AB57-760E8D33B874}"/>
            </c:ext>
          </c:extLst>
        </c:ser>
        <c:ser>
          <c:idx val="5"/>
          <c:order val="4"/>
          <c:tx>
            <c:strRef>
              <c:f>validation!$BT$22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validation!$BT$23:$BT$27</c:f>
              <c:numCache>
                <c:formatCode>0.00</c:formatCode>
                <c:ptCount val="5"/>
                <c:pt idx="0">
                  <c:v>150.49778259856092</c:v>
                </c:pt>
                <c:pt idx="1">
                  <c:v>100.08569989084388</c:v>
                </c:pt>
                <c:pt idx="2">
                  <c:v>37.206163654402346</c:v>
                </c:pt>
                <c:pt idx="3">
                  <c:v>0</c:v>
                </c:pt>
                <c:pt idx="4">
                  <c:v>95.634608274952342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81-4B72-AB57-760E8D33B874}"/>
            </c:ext>
          </c:extLst>
        </c:ser>
        <c:ser>
          <c:idx val="6"/>
          <c:order val="5"/>
          <c:tx>
            <c:strRef>
              <c:f>validation!$BU$22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validation!$BU$23:$BU$27</c:f>
              <c:numCache>
                <c:formatCode>0.00</c:formatCode>
                <c:ptCount val="5"/>
                <c:pt idx="0">
                  <c:v>120.65882558744174</c:v>
                </c:pt>
                <c:pt idx="1">
                  <c:v>94.384158724984758</c:v>
                </c:pt>
                <c:pt idx="2">
                  <c:v>0</c:v>
                </c:pt>
                <c:pt idx="3">
                  <c:v>0</c:v>
                </c:pt>
                <c:pt idx="4">
                  <c:v>91.834151906724713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9042307261402944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strRef>
              <c:f>validation!$CE$22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2-4C9F-AB90-A94DE6202D24}"/>
            </c:ext>
          </c:extLst>
        </c:ser>
        <c:ser>
          <c:idx val="0"/>
          <c:order val="1"/>
          <c:tx>
            <c:strRef>
              <c:f>validation!$CD$22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C2-4C9F-AB90-A94DE6202D24}"/>
            </c:ext>
          </c:extLst>
        </c:ser>
        <c:ser>
          <c:idx val="2"/>
          <c:order val="2"/>
          <c:tx>
            <c:strRef>
              <c:f>validation!$CC$22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C2-4C9F-AB90-A94DE6202D24}"/>
            </c:ext>
          </c:extLst>
        </c:ser>
        <c:ser>
          <c:idx val="3"/>
          <c:order val="3"/>
          <c:tx>
            <c:strRef>
              <c:f>validation!$CB$22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C2-4C9F-AB90-A94DE6202D24}"/>
            </c:ext>
          </c:extLst>
        </c:ser>
        <c:ser>
          <c:idx val="4"/>
          <c:order val="4"/>
          <c:tx>
            <c:strRef>
              <c:f>validation!$CA$22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C2-4C9F-AB90-A94DE6202D24}"/>
            </c:ext>
          </c:extLst>
        </c:ser>
        <c:ser>
          <c:idx val="5"/>
          <c:order val="5"/>
          <c:tx>
            <c:strRef>
              <c:f>validation!$BZ$22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C2-4C9F-AB90-A94DE620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</a:t>
            </a:r>
            <a:r>
              <a:rPr lang="en-US" baseline="0"/>
              <a:t>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6-4E2B-A503-C9C9EB7F7CF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56-4E2B-A503-C9C9EB7F7CF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56-4E2B-A503-C9C9EB7F7CF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56-4E2B-A503-C9C9EB7F7CF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56-4E2B-A503-C9C9EB7F7CF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56-4E2B-A503-C9C9EB7F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F-4BE0-8FBE-B5945392D836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5F-4BE0-8FBE-B5945392D83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5F-4BE0-8FBE-B5945392D8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5F-4BE0-8FBE-B5945392D83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4554609959822581E-2"/>
                  <c:y val="6.0923701853323978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5F-4BE0-8FBE-B5945392D836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5F-4BE0-8FBE-B5945392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H1 Flood Calibration - Impact Pipes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419688736091085"/>
                  <c:y val="5.276889114497869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floods!$F$3:$F$7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floods!$B$3:$B$7</c:f>
              <c:numCache>
                <c:formatCode>General</c:formatCode>
                <c:ptCount val="5"/>
                <c:pt idx="0">
                  <c:v>7.0800000000000002E-2</c:v>
                </c:pt>
                <c:pt idx="1">
                  <c:v>4.87E-2</c:v>
                </c:pt>
                <c:pt idx="2">
                  <c:v>6.7999999999999996E-3</c:v>
                </c:pt>
                <c:pt idx="3">
                  <c:v>1.5E-3</c:v>
                </c:pt>
                <c:pt idx="4">
                  <c:v>4.9599999999999998E-2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C-4426-80EC-39C1B2E9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790400"/>
        <c:axId val="1128790880"/>
      </c:scatterChart>
      <c:valAx>
        <c:axId val="112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880"/>
        <c:crosses val="autoZero"/>
        <c:crossBetween val="midCat"/>
      </c:valAx>
      <c:valAx>
        <c:axId val="1128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9" Type="http://schemas.openxmlformats.org/officeDocument/2006/relationships/chart" Target="../charts/chart65.xml"/><Relationship Id="rId21" Type="http://schemas.openxmlformats.org/officeDocument/2006/relationships/chart" Target="../charts/chart47.xml"/><Relationship Id="rId34" Type="http://schemas.openxmlformats.org/officeDocument/2006/relationships/chart" Target="../charts/chart60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33" Type="http://schemas.openxmlformats.org/officeDocument/2006/relationships/chart" Target="../charts/chart59.xml"/><Relationship Id="rId38" Type="http://schemas.openxmlformats.org/officeDocument/2006/relationships/chart" Target="../charts/chart64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29" Type="http://schemas.openxmlformats.org/officeDocument/2006/relationships/chart" Target="../charts/chart55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32" Type="http://schemas.openxmlformats.org/officeDocument/2006/relationships/chart" Target="../charts/chart58.xml"/><Relationship Id="rId37" Type="http://schemas.openxmlformats.org/officeDocument/2006/relationships/chart" Target="../charts/chart63.xml"/><Relationship Id="rId40" Type="http://schemas.openxmlformats.org/officeDocument/2006/relationships/chart" Target="../charts/chart66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28" Type="http://schemas.openxmlformats.org/officeDocument/2006/relationships/chart" Target="../charts/chart54.xml"/><Relationship Id="rId36" Type="http://schemas.openxmlformats.org/officeDocument/2006/relationships/chart" Target="../charts/chart62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31" Type="http://schemas.openxmlformats.org/officeDocument/2006/relationships/chart" Target="../charts/chart57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Relationship Id="rId27" Type="http://schemas.openxmlformats.org/officeDocument/2006/relationships/chart" Target="../charts/chart53.xml"/><Relationship Id="rId30" Type="http://schemas.openxmlformats.org/officeDocument/2006/relationships/chart" Target="../charts/chart56.xml"/><Relationship Id="rId35" Type="http://schemas.openxmlformats.org/officeDocument/2006/relationships/chart" Target="../charts/chart61.xml"/><Relationship Id="rId8" Type="http://schemas.openxmlformats.org/officeDocument/2006/relationships/chart" Target="../charts/chart34.xml"/><Relationship Id="rId3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668254</xdr:colOff>
      <xdr:row>38</xdr:row>
      <xdr:rowOff>135484</xdr:rowOff>
    </xdr:from>
    <xdr:to>
      <xdr:col>3</xdr:col>
      <xdr:colOff>614950</xdr:colOff>
      <xdr:row>55</xdr:row>
      <xdr:rowOff>40147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692634</xdr:colOff>
      <xdr:row>38</xdr:row>
      <xdr:rowOff>106638</xdr:rowOff>
    </xdr:from>
    <xdr:to>
      <xdr:col>7</xdr:col>
      <xdr:colOff>13993</xdr:colOff>
      <xdr:row>55</xdr:row>
      <xdr:rowOff>11301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C9BAA-27B9-4ED8-97CD-E7E774109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56943</xdr:colOff>
      <xdr:row>38</xdr:row>
      <xdr:rowOff>114921</xdr:rowOff>
    </xdr:from>
    <xdr:to>
      <xdr:col>12</xdr:col>
      <xdr:colOff>402238</xdr:colOff>
      <xdr:row>55</xdr:row>
      <xdr:rowOff>19584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2B500A-9672-4C76-9840-B7AB33DA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697367</xdr:colOff>
      <xdr:row>55</xdr:row>
      <xdr:rowOff>91848</xdr:rowOff>
    </xdr:from>
    <xdr:to>
      <xdr:col>6</xdr:col>
      <xdr:colOff>870857</xdr:colOff>
      <xdr:row>85</xdr:row>
      <xdr:rowOff>159883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B500E-0FBD-4FFF-A26E-78C825E9E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57430</xdr:colOff>
      <xdr:row>55</xdr:row>
      <xdr:rowOff>113459</xdr:rowOff>
    </xdr:from>
    <xdr:to>
      <xdr:col>18</xdr:col>
      <xdr:colOff>183295</xdr:colOff>
      <xdr:row>85</xdr:row>
      <xdr:rowOff>181494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D60EA-FC0E-4CF1-9A27-D1FDB42E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721179</xdr:colOff>
      <xdr:row>86</xdr:row>
      <xdr:rowOff>68036</xdr:rowOff>
    </xdr:from>
    <xdr:to>
      <xdr:col>7</xdr:col>
      <xdr:colOff>10205</xdr:colOff>
      <xdr:row>116</xdr:row>
      <xdr:rowOff>136071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0278AB-8DD2-4A74-B8C2-88A0A1CAB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136071</xdr:colOff>
      <xdr:row>86</xdr:row>
      <xdr:rowOff>95250</xdr:rowOff>
    </xdr:from>
    <xdr:to>
      <xdr:col>18</xdr:col>
      <xdr:colOff>261936</xdr:colOff>
      <xdr:row>116</xdr:row>
      <xdr:rowOff>163285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25AA566-695E-4F0B-8254-EF827BE98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344365</xdr:colOff>
      <xdr:row>38</xdr:row>
      <xdr:rowOff>141876</xdr:rowOff>
    </xdr:from>
    <xdr:to>
      <xdr:col>17</xdr:col>
      <xdr:colOff>332446</xdr:colOff>
      <xdr:row>49</xdr:row>
      <xdr:rowOff>117029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470DA8-C972-4552-BB64-A07C9CDA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263769</xdr:colOff>
      <xdr:row>38</xdr:row>
      <xdr:rowOff>153866</xdr:rowOff>
    </xdr:from>
    <xdr:to>
      <xdr:col>21</xdr:col>
      <xdr:colOff>251849</xdr:colOff>
      <xdr:row>49</xdr:row>
      <xdr:rowOff>129019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B19E68-7F9D-47E4-8BDA-9F4A38260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500063</xdr:colOff>
      <xdr:row>1</xdr:row>
      <xdr:rowOff>71438</xdr:rowOff>
    </xdr:from>
    <xdr:to>
      <xdr:col>39</xdr:col>
      <xdr:colOff>235961</xdr:colOff>
      <xdr:row>25</xdr:row>
      <xdr:rowOff>36802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6D5A355-60C4-4EAD-BA45-9A6BF3D37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299357</xdr:colOff>
      <xdr:row>1</xdr:row>
      <xdr:rowOff>54429</xdr:rowOff>
    </xdr:from>
    <xdr:to>
      <xdr:col>51</xdr:col>
      <xdr:colOff>35255</xdr:colOff>
      <xdr:row>25</xdr:row>
      <xdr:rowOff>19793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19FECEC-5912-47AA-A558-DB5D5447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508196</xdr:colOff>
      <xdr:row>25</xdr:row>
      <xdr:rowOff>78093</xdr:rowOff>
    </xdr:from>
    <xdr:to>
      <xdr:col>39</xdr:col>
      <xdr:colOff>244094</xdr:colOff>
      <xdr:row>49</xdr:row>
      <xdr:rowOff>43457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1EE5840-815B-4298-9B2E-014A06BAF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306456</xdr:colOff>
      <xdr:row>25</xdr:row>
      <xdr:rowOff>66261</xdr:rowOff>
    </xdr:from>
    <xdr:to>
      <xdr:col>51</xdr:col>
      <xdr:colOff>42355</xdr:colOff>
      <xdr:row>49</xdr:row>
      <xdr:rowOff>31625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56D361C-41BB-4544-BD8B-DBADC1805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476250</xdr:colOff>
      <xdr:row>57</xdr:row>
      <xdr:rowOff>17008</xdr:rowOff>
    </xdr:from>
    <xdr:to>
      <xdr:col>39</xdr:col>
      <xdr:colOff>212148</xdr:colOff>
      <xdr:row>80</xdr:row>
      <xdr:rowOff>172872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7151FD5-B402-4B8F-A319-066ABDD7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275544</xdr:colOff>
      <xdr:row>57</xdr:row>
      <xdr:rowOff>-1</xdr:rowOff>
    </xdr:from>
    <xdr:to>
      <xdr:col>51</xdr:col>
      <xdr:colOff>11442</xdr:colOff>
      <xdr:row>80</xdr:row>
      <xdr:rowOff>155863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BD27C65-07B5-4341-8B07-C875638A3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484383</xdr:colOff>
      <xdr:row>81</xdr:row>
      <xdr:rowOff>23663</xdr:rowOff>
    </xdr:from>
    <xdr:to>
      <xdr:col>39</xdr:col>
      <xdr:colOff>220281</xdr:colOff>
      <xdr:row>104</xdr:row>
      <xdr:rowOff>179527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177A9DA-EB73-40CF-819C-875947E2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282643</xdr:colOff>
      <xdr:row>81</xdr:row>
      <xdr:rowOff>11831</xdr:rowOff>
    </xdr:from>
    <xdr:to>
      <xdr:col>51</xdr:col>
      <xdr:colOff>18542</xdr:colOff>
      <xdr:row>104</xdr:row>
      <xdr:rowOff>167695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ACD1488-0A4E-46E0-88FC-AFFBDADA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322113</xdr:colOff>
      <xdr:row>37</xdr:row>
      <xdr:rowOff>105126</xdr:rowOff>
    </xdr:from>
    <xdr:to>
      <xdr:col>3</xdr:col>
      <xdr:colOff>164900</xdr:colOff>
      <xdr:row>54</xdr:row>
      <xdr:rowOff>9789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B3AB-7EC7-42F2-A4D0-8F39B9C0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222878</xdr:colOff>
      <xdr:row>37</xdr:row>
      <xdr:rowOff>117463</xdr:rowOff>
    </xdr:from>
    <xdr:to>
      <xdr:col>6</xdr:col>
      <xdr:colOff>366851</xdr:colOff>
      <xdr:row>54</xdr:row>
      <xdr:rowOff>22126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A652-B2BB-4757-ACB7-2B67D4F39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396813</xdr:colOff>
      <xdr:row>37</xdr:row>
      <xdr:rowOff>125746</xdr:rowOff>
    </xdr:from>
    <xdr:to>
      <xdr:col>11</xdr:col>
      <xdr:colOff>454192</xdr:colOff>
      <xdr:row>54</xdr:row>
      <xdr:rowOff>30409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3BAF5-06F5-41B9-A624-650C2AC93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331520</xdr:colOff>
      <xdr:row>54</xdr:row>
      <xdr:rowOff>102673</xdr:rowOff>
    </xdr:from>
    <xdr:to>
      <xdr:col>6</xdr:col>
      <xdr:colOff>342653</xdr:colOff>
      <xdr:row>84</xdr:row>
      <xdr:rowOff>170708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34A6F-9ACB-4A46-BB89-DC3A2223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553163</xdr:colOff>
      <xdr:row>1</xdr:row>
      <xdr:rowOff>3058</xdr:rowOff>
    </xdr:from>
    <xdr:to>
      <xdr:col>32</xdr:col>
      <xdr:colOff>96705</xdr:colOff>
      <xdr:row>24</xdr:row>
      <xdr:rowOff>103910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64765-EF61-4BD6-8183-32D1BC880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24</xdr:row>
      <xdr:rowOff>171450</xdr:rowOff>
    </xdr:from>
    <xdr:to>
      <xdr:col>32</xdr:col>
      <xdr:colOff>115042</xdr:colOff>
      <xdr:row>48</xdr:row>
      <xdr:rowOff>81802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90C5EE-E454-49E9-A224-CCFDC0C4C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266700</xdr:colOff>
      <xdr:row>1</xdr:row>
      <xdr:rowOff>19050</xdr:rowOff>
    </xdr:from>
    <xdr:to>
      <xdr:col>43</xdr:col>
      <xdr:colOff>419842</xdr:colOff>
      <xdr:row>24</xdr:row>
      <xdr:rowOff>119902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781A26-72CD-4BF4-95AF-52F4BC07C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247650</xdr:colOff>
      <xdr:row>25</xdr:row>
      <xdr:rowOff>19050</xdr:rowOff>
    </xdr:from>
    <xdr:to>
      <xdr:col>43</xdr:col>
      <xdr:colOff>400792</xdr:colOff>
      <xdr:row>48</xdr:row>
      <xdr:rowOff>119902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4DCB5C-BD65-433B-851A-91B401534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450273</xdr:colOff>
      <xdr:row>54</xdr:row>
      <xdr:rowOff>103909</xdr:rowOff>
    </xdr:from>
    <xdr:to>
      <xdr:col>17</xdr:col>
      <xdr:colOff>288223</xdr:colOff>
      <xdr:row>84</xdr:row>
      <xdr:rowOff>171944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521FA-D52A-407A-AE73-B052E0B3B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123411</xdr:colOff>
      <xdr:row>27</xdr:row>
      <xdr:rowOff>69160</xdr:rowOff>
    </xdr:from>
    <xdr:to>
      <xdr:col>2</xdr:col>
      <xdr:colOff>819978</xdr:colOff>
      <xdr:row>37</xdr:row>
      <xdr:rowOff>163108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C65D-0C9E-474C-AF01-DFDCBA30C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811697</xdr:colOff>
      <xdr:row>27</xdr:row>
      <xdr:rowOff>58597</xdr:rowOff>
    </xdr:from>
    <xdr:to>
      <xdr:col>5</xdr:col>
      <xdr:colOff>836544</xdr:colOff>
      <xdr:row>43</xdr:row>
      <xdr:rowOff>41412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7D33-46DD-B248-80E9-7E624FAC0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66264</xdr:colOff>
      <xdr:row>49</xdr:row>
      <xdr:rowOff>107675</xdr:rowOff>
    </xdr:from>
    <xdr:to>
      <xdr:col>2</xdr:col>
      <xdr:colOff>737152</xdr:colOff>
      <xdr:row>60</xdr:row>
      <xdr:rowOff>107675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79F5B-0A51-4FF8-8D60-72BCCB5E9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140805</xdr:colOff>
      <xdr:row>37</xdr:row>
      <xdr:rowOff>157369</xdr:rowOff>
    </xdr:from>
    <xdr:to>
      <xdr:col>2</xdr:col>
      <xdr:colOff>811695</xdr:colOff>
      <xdr:row>49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65CE5-9526-43D6-ABD1-C44A7C40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99393</xdr:colOff>
      <xdr:row>49</xdr:row>
      <xdr:rowOff>190499</xdr:rowOff>
    </xdr:from>
    <xdr:to>
      <xdr:col>9</xdr:col>
      <xdr:colOff>306458</xdr:colOff>
      <xdr:row>60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C64D8-E0C0-4279-AB72-44432ED8F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107673</xdr:colOff>
      <xdr:row>27</xdr:row>
      <xdr:rowOff>57979</xdr:rowOff>
    </xdr:from>
    <xdr:to>
      <xdr:col>9</xdr:col>
      <xdr:colOff>291474</xdr:colOff>
      <xdr:row>37</xdr:row>
      <xdr:rowOff>182218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982CB-C70B-4177-BD99-1DC496FCF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99392</xdr:colOff>
      <xdr:row>38</xdr:row>
      <xdr:rowOff>33132</xdr:rowOff>
    </xdr:from>
    <xdr:to>
      <xdr:col>9</xdr:col>
      <xdr:colOff>283193</xdr:colOff>
      <xdr:row>48</xdr:row>
      <xdr:rowOff>157371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0F4C8-B8EC-4990-BFEC-421978A88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331304</xdr:colOff>
      <xdr:row>27</xdr:row>
      <xdr:rowOff>66261</xdr:rowOff>
    </xdr:from>
    <xdr:to>
      <xdr:col>12</xdr:col>
      <xdr:colOff>455543</xdr:colOff>
      <xdr:row>43</xdr:row>
      <xdr:rowOff>49076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BB64E0-EDBC-4B17-810E-FD05C69E9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556845</xdr:colOff>
      <xdr:row>50</xdr:row>
      <xdr:rowOff>50858</xdr:rowOff>
    </xdr:from>
    <xdr:to>
      <xdr:col>15</xdr:col>
      <xdr:colOff>601817</xdr:colOff>
      <xdr:row>61</xdr:row>
      <xdr:rowOff>26011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3319BF-52EF-43D2-8924-6D16394DD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504265</xdr:colOff>
      <xdr:row>27</xdr:row>
      <xdr:rowOff>78441</xdr:rowOff>
    </xdr:from>
    <xdr:to>
      <xdr:col>15</xdr:col>
      <xdr:colOff>545573</xdr:colOff>
      <xdr:row>38</xdr:row>
      <xdr:rowOff>53594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5AEBEE-6E3D-4399-907E-467572355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504265</xdr:colOff>
      <xdr:row>38</xdr:row>
      <xdr:rowOff>123265</xdr:rowOff>
    </xdr:from>
    <xdr:to>
      <xdr:col>15</xdr:col>
      <xdr:colOff>545573</xdr:colOff>
      <xdr:row>49</xdr:row>
      <xdr:rowOff>98418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1F470B-22AC-49C7-AFD5-F5C20487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578828</xdr:colOff>
      <xdr:row>27</xdr:row>
      <xdr:rowOff>65943</xdr:rowOff>
    </xdr:from>
    <xdr:to>
      <xdr:col>19</xdr:col>
      <xdr:colOff>534548</xdr:colOff>
      <xdr:row>43</xdr:row>
      <xdr:rowOff>48758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892222-A218-484E-A2A4-938C7BCAD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646681</xdr:colOff>
      <xdr:row>49</xdr:row>
      <xdr:rowOff>135070</xdr:rowOff>
    </xdr:from>
    <xdr:to>
      <xdr:col>22</xdr:col>
      <xdr:colOff>653079</xdr:colOff>
      <xdr:row>60</xdr:row>
      <xdr:rowOff>110223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47A7BB-F638-44E4-8C72-EA3D36215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567675</xdr:colOff>
      <xdr:row>27</xdr:row>
      <xdr:rowOff>5352</xdr:rowOff>
    </xdr:from>
    <xdr:to>
      <xdr:col>22</xdr:col>
      <xdr:colOff>573563</xdr:colOff>
      <xdr:row>37</xdr:row>
      <xdr:rowOff>171005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F102C2-87AA-4436-AC98-CAABFAC09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604630</xdr:colOff>
      <xdr:row>38</xdr:row>
      <xdr:rowOff>66261</xdr:rowOff>
    </xdr:from>
    <xdr:to>
      <xdr:col>22</xdr:col>
      <xdr:colOff>610518</xdr:colOff>
      <xdr:row>49</xdr:row>
      <xdr:rowOff>41414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8580FA6-F121-4BCC-B9EC-A44C38A45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621196</xdr:colOff>
      <xdr:row>27</xdr:row>
      <xdr:rowOff>8282</xdr:rowOff>
    </xdr:from>
    <xdr:to>
      <xdr:col>26</xdr:col>
      <xdr:colOff>405848</xdr:colOff>
      <xdr:row>42</xdr:row>
      <xdr:rowOff>181597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C3E3EF-B9EC-40C3-967D-6F88E620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546653</xdr:colOff>
      <xdr:row>49</xdr:row>
      <xdr:rowOff>91108</xdr:rowOff>
    </xdr:from>
    <xdr:to>
      <xdr:col>28</xdr:col>
      <xdr:colOff>959096</xdr:colOff>
      <xdr:row>60</xdr:row>
      <xdr:rowOff>66261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836AD4C-804C-4441-9011-25A9F83C8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496956</xdr:colOff>
      <xdr:row>27</xdr:row>
      <xdr:rowOff>24848</xdr:rowOff>
    </xdr:from>
    <xdr:to>
      <xdr:col>28</xdr:col>
      <xdr:colOff>909397</xdr:colOff>
      <xdr:row>38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0A632E-1A4D-4666-83F3-7B182213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480391</xdr:colOff>
      <xdr:row>38</xdr:row>
      <xdr:rowOff>41413</xdr:rowOff>
    </xdr:from>
    <xdr:to>
      <xdr:col>28</xdr:col>
      <xdr:colOff>892832</xdr:colOff>
      <xdr:row>49</xdr:row>
      <xdr:rowOff>16566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84FFF3D-43CF-44E2-BE84-90253C99D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16565</xdr:colOff>
      <xdr:row>27</xdr:row>
      <xdr:rowOff>49696</xdr:rowOff>
    </xdr:from>
    <xdr:to>
      <xdr:col>32</xdr:col>
      <xdr:colOff>66261</xdr:colOff>
      <xdr:row>43</xdr:row>
      <xdr:rowOff>32511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F7CD427-0B1B-4F9C-AE22-52B179A81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38100</xdr:colOff>
      <xdr:row>49</xdr:row>
      <xdr:rowOff>114300</xdr:rowOff>
    </xdr:from>
    <xdr:to>
      <xdr:col>36</xdr:col>
      <xdr:colOff>8252</xdr:colOff>
      <xdr:row>60</xdr:row>
      <xdr:rowOff>89453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135D72B-C3C8-4BDD-8237-829090942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142875</xdr:colOff>
      <xdr:row>27</xdr:row>
      <xdr:rowOff>47625</xdr:rowOff>
    </xdr:from>
    <xdr:to>
      <xdr:col>35</xdr:col>
      <xdr:colOff>722625</xdr:colOff>
      <xdr:row>38</xdr:row>
      <xdr:rowOff>22778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679499-0B14-401B-A504-B15509000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32</xdr:col>
      <xdr:colOff>161925</xdr:colOff>
      <xdr:row>38</xdr:row>
      <xdr:rowOff>95250</xdr:rowOff>
    </xdr:from>
    <xdr:to>
      <xdr:col>35</xdr:col>
      <xdr:colOff>741675</xdr:colOff>
      <xdr:row>49</xdr:row>
      <xdr:rowOff>70403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438959-0346-45B7-B179-1EB802BDB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36</xdr:col>
      <xdr:colOff>19050</xdr:colOff>
      <xdr:row>27</xdr:row>
      <xdr:rowOff>47625</xdr:rowOff>
    </xdr:from>
    <xdr:to>
      <xdr:col>40</xdr:col>
      <xdr:colOff>354496</xdr:colOff>
      <xdr:row>43</xdr:row>
      <xdr:rowOff>30440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0AD29C6-2C56-4909-993B-C325584D9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40</xdr:col>
      <xdr:colOff>480392</xdr:colOff>
      <xdr:row>50</xdr:row>
      <xdr:rowOff>33131</xdr:rowOff>
    </xdr:from>
    <xdr:to>
      <xdr:col>44</xdr:col>
      <xdr:colOff>437292</xdr:colOff>
      <xdr:row>61</xdr:row>
      <xdr:rowOff>8284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EF839A9-87F1-498A-889E-8EFE3EB3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40</xdr:col>
      <xdr:colOff>381000</xdr:colOff>
      <xdr:row>27</xdr:row>
      <xdr:rowOff>41413</xdr:rowOff>
    </xdr:from>
    <xdr:to>
      <xdr:col>44</xdr:col>
      <xdr:colOff>337898</xdr:colOff>
      <xdr:row>38</xdr:row>
      <xdr:rowOff>16566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C70BDB8-D0C3-409F-A04F-1AC55A08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40</xdr:col>
      <xdr:colOff>422412</xdr:colOff>
      <xdr:row>38</xdr:row>
      <xdr:rowOff>99391</xdr:rowOff>
    </xdr:from>
    <xdr:to>
      <xdr:col>44</xdr:col>
      <xdr:colOff>379310</xdr:colOff>
      <xdr:row>49</xdr:row>
      <xdr:rowOff>74544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1888C49-6687-410B-BA9B-5153E1D1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44</xdr:col>
      <xdr:colOff>414131</xdr:colOff>
      <xdr:row>27</xdr:row>
      <xdr:rowOff>49696</xdr:rowOff>
    </xdr:from>
    <xdr:to>
      <xdr:col>48</xdr:col>
      <xdr:colOff>265044</xdr:colOff>
      <xdr:row>43</xdr:row>
      <xdr:rowOff>32511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916C93B-7B2F-441E-827C-4214460BB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438150</xdr:colOff>
      <xdr:row>50</xdr:row>
      <xdr:rowOff>66675</xdr:rowOff>
    </xdr:from>
    <xdr:to>
      <xdr:col>52</xdr:col>
      <xdr:colOff>408302</xdr:colOff>
      <xdr:row>61</xdr:row>
      <xdr:rowOff>41828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E4F7EEA-64FD-4641-A554-3667E76B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48</xdr:col>
      <xdr:colOff>428625</xdr:colOff>
      <xdr:row>27</xdr:row>
      <xdr:rowOff>95250</xdr:rowOff>
    </xdr:from>
    <xdr:to>
      <xdr:col>52</xdr:col>
      <xdr:colOff>398775</xdr:colOff>
      <xdr:row>38</xdr:row>
      <xdr:rowOff>70403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7139D7C-DB7B-42F9-AFD3-7C247E00F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400050</xdr:colOff>
      <xdr:row>38</xdr:row>
      <xdr:rowOff>123825</xdr:rowOff>
    </xdr:from>
    <xdr:to>
      <xdr:col>52</xdr:col>
      <xdr:colOff>370200</xdr:colOff>
      <xdr:row>49</xdr:row>
      <xdr:rowOff>98978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24FE031-1A3A-4D42-BFF9-BC2C0DF5E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52</xdr:col>
      <xdr:colOff>447675</xdr:colOff>
      <xdr:row>27</xdr:row>
      <xdr:rowOff>85725</xdr:rowOff>
    </xdr:from>
    <xdr:to>
      <xdr:col>56</xdr:col>
      <xdr:colOff>298588</xdr:colOff>
      <xdr:row>43</xdr:row>
      <xdr:rowOff>68540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E9466D-1416-43A7-9CCE-8001FA47E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369795</xdr:colOff>
      <xdr:row>27</xdr:row>
      <xdr:rowOff>56031</xdr:rowOff>
    </xdr:from>
    <xdr:to>
      <xdr:col>64</xdr:col>
      <xdr:colOff>43961</xdr:colOff>
      <xdr:row>43</xdr:row>
      <xdr:rowOff>56029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40C958-90D4-40B0-942B-B613B692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64</xdr:col>
      <xdr:colOff>205153</xdr:colOff>
      <xdr:row>27</xdr:row>
      <xdr:rowOff>14654</xdr:rowOff>
    </xdr:from>
    <xdr:to>
      <xdr:col>72</xdr:col>
      <xdr:colOff>586154</xdr:colOff>
      <xdr:row>43</xdr:row>
      <xdr:rowOff>58616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311CECD-BD2C-4F6A-947C-58427DE7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373672</xdr:colOff>
      <xdr:row>51</xdr:row>
      <xdr:rowOff>51289</xdr:rowOff>
    </xdr:from>
    <xdr:to>
      <xdr:col>64</xdr:col>
      <xdr:colOff>14654</xdr:colOff>
      <xdr:row>67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EBCA217-05E3-4361-826A-1DE13EF7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64</xdr:col>
      <xdr:colOff>223630</xdr:colOff>
      <xdr:row>52</xdr:row>
      <xdr:rowOff>49695</xdr:rowOff>
    </xdr:from>
    <xdr:to>
      <xdr:col>69</xdr:col>
      <xdr:colOff>12424</xdr:colOff>
      <xdr:row>68</xdr:row>
      <xdr:rowOff>32510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7D8167C-2C3B-468E-A996-0E49B8CB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69</xdr:col>
      <xdr:colOff>87923</xdr:colOff>
      <xdr:row>52</xdr:row>
      <xdr:rowOff>51289</xdr:rowOff>
    </xdr:from>
    <xdr:to>
      <xdr:col>73</xdr:col>
      <xdr:colOff>484852</xdr:colOff>
      <xdr:row>68</xdr:row>
      <xdr:rowOff>34104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E551408-1201-44CB-B573-A323F013F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75</xdr:col>
      <xdr:colOff>51957</xdr:colOff>
      <xdr:row>27</xdr:row>
      <xdr:rowOff>69273</xdr:rowOff>
    </xdr:from>
    <xdr:to>
      <xdr:col>83</xdr:col>
      <xdr:colOff>225138</xdr:colOff>
      <xdr:row>43</xdr:row>
      <xdr:rowOff>69273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A5CCFD7D-2D20-4DFA-A230-E2A147AE9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83</xdr:col>
      <xdr:colOff>400050</xdr:colOff>
      <xdr:row>27</xdr:row>
      <xdr:rowOff>57150</xdr:rowOff>
    </xdr:from>
    <xdr:to>
      <xdr:col>92</xdr:col>
      <xdr:colOff>85725</xdr:colOff>
      <xdr:row>43</xdr:row>
      <xdr:rowOff>38100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1AA83BC-59C6-4A44-AFD5-6F2A1813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75</xdr:col>
      <xdr:colOff>33131</xdr:colOff>
      <xdr:row>52</xdr:row>
      <xdr:rowOff>89159</xdr:rowOff>
    </xdr:from>
    <xdr:to>
      <xdr:col>83</xdr:col>
      <xdr:colOff>231321</xdr:colOff>
      <xdr:row>69</xdr:row>
      <xdr:rowOff>137672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DAC88E5-A3B0-4C4C-A486-B217052EA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91440</xdr:rowOff>
    </xdr:from>
    <xdr:to>
      <xdr:col>12</xdr:col>
      <xdr:colOff>217170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6B00F-A438-8A09-D7D6-90C62CF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opLeftCell="X55" zoomScale="70" zoomScaleNormal="70" workbookViewId="0">
      <selection activeCell="BA78" sqref="BA78"/>
    </sheetView>
  </sheetViews>
  <sheetFormatPr defaultRowHeight="1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106</v>
      </c>
      <c r="M1" s="1" t="s">
        <v>105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</row>
    <row r="2" spans="1:58">
      <c r="A2" s="2">
        <v>167</v>
      </c>
      <c r="B2" s="2">
        <v>128</v>
      </c>
      <c r="C2" s="2">
        <v>41</v>
      </c>
      <c r="D2" s="2">
        <v>48</v>
      </c>
      <c r="E2" s="5">
        <v>0.104819100180613</v>
      </c>
      <c r="F2" s="5">
        <v>3.3154403752457901E-2</v>
      </c>
      <c r="G2" s="5">
        <v>2.2914216154744201E-2</v>
      </c>
      <c r="H2" s="16">
        <f t="shared" ref="H2:M2" si="0">BA2/($D2-$C2)</f>
        <v>0.8571428571428571</v>
      </c>
      <c r="I2" s="16">
        <f t="shared" si="0"/>
        <v>2.2857142857142856</v>
      </c>
      <c r="J2" s="16">
        <f t="shared" si="0"/>
        <v>13.714285714285714</v>
      </c>
      <c r="K2" s="16">
        <f t="shared" si="0"/>
        <v>37.714285714285715</v>
      </c>
      <c r="L2" s="16">
        <f t="shared" si="0"/>
        <v>86.285714285714292</v>
      </c>
      <c r="M2" s="16">
        <f t="shared" si="0"/>
        <v>139.71428571428572</v>
      </c>
      <c r="N2" s="36"/>
      <c r="O2">
        <v>6.4069250048013796E-2</v>
      </c>
      <c r="P2">
        <v>0.17940701762775299</v>
      </c>
      <c r="Q2">
        <v>0.59727911911144405</v>
      </c>
      <c r="R2">
        <v>2.1218818406845701</v>
      </c>
      <c r="S2">
        <v>8.4875273627382803</v>
      </c>
      <c r="T2">
        <v>33.9501094509531</v>
      </c>
      <c r="V2">
        <v>0.104819100180613</v>
      </c>
      <c r="W2">
        <v>0.41927640072245398</v>
      </c>
      <c r="X2">
        <v>1.6771056028898099</v>
      </c>
      <c r="Y2">
        <v>6.7084224115592699</v>
      </c>
      <c r="Z2">
        <v>26.833689646237001</v>
      </c>
      <c r="AA2">
        <v>107.33475858494801</v>
      </c>
      <c r="BA2" s="1">
        <v>6</v>
      </c>
      <c r="BB2" s="1">
        <v>16</v>
      </c>
      <c r="BC2" s="1">
        <v>96</v>
      </c>
      <c r="BD2" s="1">
        <v>264</v>
      </c>
      <c r="BE2" s="1">
        <v>604</v>
      </c>
      <c r="BF2" s="1">
        <v>978</v>
      </c>
    </row>
    <row r="3" spans="1:58">
      <c r="A3" s="2">
        <v>6</v>
      </c>
      <c r="B3" s="2">
        <v>128</v>
      </c>
      <c r="C3" s="2">
        <v>80</v>
      </c>
      <c r="D3" s="2">
        <v>90</v>
      </c>
      <c r="E3" s="5">
        <v>5.1422303101187901E-2</v>
      </c>
      <c r="F3" s="5">
        <v>1.43345982575964E-2</v>
      </c>
      <c r="G3" s="5">
        <v>7.2966466530169603E-3</v>
      </c>
      <c r="H3" s="16">
        <f t="shared" ref="H3:H37" si="1">BA3/(D3-C3)</f>
        <v>0.2</v>
      </c>
      <c r="I3" s="16">
        <f t="shared" ref="I3:I37" si="2">BB3/($D3-$C3)</f>
        <v>0.8</v>
      </c>
      <c r="J3" s="16">
        <f t="shared" ref="J3:J37" si="3">BC3/($D3-$C3)</f>
        <v>6.5</v>
      </c>
      <c r="K3" s="16">
        <f t="shared" ref="K3:K37" si="4">BD3/($D3-$C3)</f>
        <v>19.5</v>
      </c>
      <c r="L3" s="16">
        <f t="shared" ref="L3:L37" si="5">BE3/($D3-$C3)</f>
        <v>62.8</v>
      </c>
      <c r="M3" s="16">
        <f t="shared" ref="M3:M37" si="6">BF3/($D3-$C3)</f>
        <v>169</v>
      </c>
      <c r="N3" s="36"/>
      <c r="O3">
        <v>5.1422303616638097E-2</v>
      </c>
      <c r="P3">
        <v>0.136504884052633</v>
      </c>
      <c r="Q3">
        <v>0.26754282688021702</v>
      </c>
      <c r="R3">
        <v>0.98750358289623297</v>
      </c>
      <c r="S3">
        <v>3.6696571758817198</v>
      </c>
      <c r="T3">
        <v>14.678628703526799</v>
      </c>
      <c r="V3">
        <v>5.1422303101187901E-2</v>
      </c>
      <c r="W3">
        <v>0.20568921240475099</v>
      </c>
      <c r="X3">
        <v>0.82275684961900697</v>
      </c>
      <c r="Y3">
        <v>3.2910273984760301</v>
      </c>
      <c r="Z3">
        <v>13.164109593904101</v>
      </c>
      <c r="AA3">
        <v>52.656438375616403</v>
      </c>
      <c r="BA3" s="1">
        <v>2</v>
      </c>
      <c r="BB3" s="1">
        <v>8</v>
      </c>
      <c r="BC3" s="1">
        <v>65</v>
      </c>
      <c r="BD3" s="1">
        <v>195</v>
      </c>
      <c r="BE3" s="1">
        <v>628</v>
      </c>
      <c r="BF3" s="1">
        <v>1690</v>
      </c>
    </row>
    <row r="4" spans="1:58">
      <c r="A4" s="2">
        <v>8</v>
      </c>
      <c r="B4" s="2">
        <v>128</v>
      </c>
      <c r="C4" s="2">
        <v>115</v>
      </c>
      <c r="D4" s="2">
        <v>125</v>
      </c>
      <c r="E4" s="5">
        <v>0.161944718485239</v>
      </c>
      <c r="F4" s="5">
        <v>3.2526116479269097E-2</v>
      </c>
      <c r="G4" s="5">
        <v>7.7989329746457701E-3</v>
      </c>
      <c r="H4" s="16">
        <f t="shared" si="1"/>
        <v>1</v>
      </c>
      <c r="I4" s="16">
        <f t="shared" si="2"/>
        <v>3.1</v>
      </c>
      <c r="J4" s="16">
        <f t="shared" si="3"/>
        <v>8.9</v>
      </c>
      <c r="K4" s="16">
        <f t="shared" si="4"/>
        <v>23</v>
      </c>
      <c r="L4" s="16">
        <f t="shared" si="5"/>
        <v>50.9</v>
      </c>
      <c r="M4" s="16">
        <f t="shared" si="6"/>
        <v>149.30000000000001</v>
      </c>
      <c r="N4" s="36"/>
      <c r="O4">
        <v>9.4968206718967205E-2</v>
      </c>
      <c r="P4">
        <v>0.31788484763340902</v>
      </c>
      <c r="Q4">
        <v>0.78149567271952003</v>
      </c>
      <c r="R4">
        <v>2.2740324054836099</v>
      </c>
      <c r="S4">
        <v>8.3266858207082599</v>
      </c>
      <c r="T4">
        <v>33.306743282832997</v>
      </c>
      <c r="V4">
        <v>0.161944718485239</v>
      </c>
      <c r="W4">
        <v>0.64777887394095901</v>
      </c>
      <c r="X4">
        <v>2.5911154957638298</v>
      </c>
      <c r="Y4">
        <v>10.3644619830553</v>
      </c>
      <c r="Z4">
        <v>41.457847932221398</v>
      </c>
      <c r="AA4">
        <v>165.831391728885</v>
      </c>
      <c r="BA4" s="1">
        <v>10</v>
      </c>
      <c r="BB4" s="1">
        <v>31</v>
      </c>
      <c r="BC4" s="1">
        <v>89</v>
      </c>
      <c r="BD4" s="1">
        <v>230</v>
      </c>
      <c r="BE4" s="1">
        <v>509</v>
      </c>
      <c r="BF4" s="1">
        <v>1493</v>
      </c>
    </row>
    <row r="5" spans="1:58">
      <c r="A5" s="2">
        <v>168</v>
      </c>
      <c r="B5" s="2">
        <v>128</v>
      </c>
      <c r="C5" s="2">
        <v>150</v>
      </c>
      <c r="D5" s="2">
        <v>160</v>
      </c>
      <c r="E5" s="5">
        <v>8.9416636847151898E-2</v>
      </c>
      <c r="F5" s="5">
        <v>2.1060905578879598E-2</v>
      </c>
      <c r="G5" s="5">
        <v>9.6694169987568603E-3</v>
      </c>
      <c r="H5" s="16">
        <f t="shared" si="1"/>
        <v>0.4</v>
      </c>
      <c r="I5" s="16">
        <f t="shared" si="2"/>
        <v>1.6</v>
      </c>
      <c r="J5" s="16">
        <f t="shared" si="3"/>
        <v>11</v>
      </c>
      <c r="K5" s="16">
        <f t="shared" si="4"/>
        <v>25.5</v>
      </c>
      <c r="L5" s="16">
        <f t="shared" si="5"/>
        <v>48.9</v>
      </c>
      <c r="M5" s="16">
        <f t="shared" si="6"/>
        <v>135.1</v>
      </c>
      <c r="N5" s="36"/>
      <c r="O5">
        <v>5.6005964760614799E-2</v>
      </c>
      <c r="P5">
        <v>0.16309275016740199</v>
      </c>
      <c r="Q5">
        <v>0.449858505678978</v>
      </c>
      <c r="R5">
        <v>1.61414237742101</v>
      </c>
      <c r="S5">
        <v>5.3915917727487104</v>
      </c>
      <c r="T5">
        <v>21.566367090994799</v>
      </c>
      <c r="V5">
        <v>8.9416636847151898E-2</v>
      </c>
      <c r="W5">
        <v>0.35766654738860698</v>
      </c>
      <c r="X5">
        <v>1.4306661895544299</v>
      </c>
      <c r="Y5">
        <v>5.7226647582177197</v>
      </c>
      <c r="Z5">
        <v>22.890659032870801</v>
      </c>
      <c r="AA5">
        <v>91.562636131483501</v>
      </c>
      <c r="BA5" s="1">
        <v>4</v>
      </c>
      <c r="BB5" s="1">
        <v>16</v>
      </c>
      <c r="BC5" s="1">
        <v>110</v>
      </c>
      <c r="BD5" s="1">
        <v>255</v>
      </c>
      <c r="BE5" s="1">
        <v>489</v>
      </c>
      <c r="BF5" s="1">
        <v>1351</v>
      </c>
    </row>
    <row r="6" spans="1:58">
      <c r="A6" s="2">
        <v>150</v>
      </c>
      <c r="B6" s="2">
        <v>90</v>
      </c>
      <c r="C6" s="2">
        <v>194</v>
      </c>
      <c r="D6" s="2">
        <v>199</v>
      </c>
      <c r="E6" s="5">
        <v>4.68499378365069E-2</v>
      </c>
      <c r="F6" s="5">
        <v>1.9737041545963101E-2</v>
      </c>
      <c r="G6" s="5">
        <v>1.1301251811562101E-2</v>
      </c>
      <c r="H6" s="16">
        <f t="shared" si="1"/>
        <v>0.4</v>
      </c>
      <c r="I6" s="16">
        <f t="shared" si="2"/>
        <v>3.2</v>
      </c>
      <c r="J6" s="16">
        <f t="shared" si="3"/>
        <v>8.1999999999999993</v>
      </c>
      <c r="K6" s="16">
        <f t="shared" si="4"/>
        <v>27.8</v>
      </c>
      <c r="L6" s="16">
        <f t="shared" si="5"/>
        <v>82.8</v>
      </c>
      <c r="M6" s="16">
        <f t="shared" si="6"/>
        <v>176.4</v>
      </c>
      <c r="N6" s="36"/>
      <c r="O6">
        <v>4.6849938207403699E-2</v>
      </c>
      <c r="P6">
        <v>0.12535462962986799</v>
      </c>
      <c r="Q6">
        <v>0.44063655773576799</v>
      </c>
      <c r="R6">
        <v>1.4715502319528799</v>
      </c>
      <c r="S6">
        <v>5.0526826474058097</v>
      </c>
      <c r="T6">
        <v>20.2107305896232</v>
      </c>
      <c r="V6">
        <v>4.68499378365069E-2</v>
      </c>
      <c r="W6">
        <v>0.18739975134602699</v>
      </c>
      <c r="X6">
        <v>0.74959900538411095</v>
      </c>
      <c r="Y6">
        <v>2.9983960215364398</v>
      </c>
      <c r="Z6">
        <v>11.993584086145701</v>
      </c>
      <c r="AA6">
        <v>47.974336344583101</v>
      </c>
      <c r="BA6" s="1">
        <v>2</v>
      </c>
      <c r="BB6" s="1">
        <v>16</v>
      </c>
      <c r="BC6" s="1">
        <v>41</v>
      </c>
      <c r="BD6" s="1">
        <v>139</v>
      </c>
      <c r="BE6" s="1">
        <v>414</v>
      </c>
      <c r="BF6" s="1">
        <v>882</v>
      </c>
    </row>
    <row r="7" spans="1:58">
      <c r="A7" s="2">
        <v>11</v>
      </c>
      <c r="B7" s="2">
        <v>90</v>
      </c>
      <c r="C7" s="2">
        <v>226</v>
      </c>
      <c r="D7" s="2">
        <v>234</v>
      </c>
      <c r="E7" s="5">
        <v>5.1754391722476999E-2</v>
      </c>
      <c r="F7" s="5">
        <v>2.3629413923689099E-2</v>
      </c>
      <c r="G7" s="5">
        <v>3.0143536797057099E-2</v>
      </c>
      <c r="H7" s="16">
        <f t="shared" si="1"/>
        <v>0.75</v>
      </c>
      <c r="I7" s="16">
        <f t="shared" si="2"/>
        <v>3.625</v>
      </c>
      <c r="J7" s="16">
        <f t="shared" si="3"/>
        <v>12.75</v>
      </c>
      <c r="K7" s="16">
        <f t="shared" si="4"/>
        <v>30.75</v>
      </c>
      <c r="L7" s="16">
        <f t="shared" si="5"/>
        <v>61.625</v>
      </c>
      <c r="M7" s="16">
        <f t="shared" si="6"/>
        <v>166.125</v>
      </c>
      <c r="N7" s="36"/>
      <c r="O7">
        <v>3.9406083818281298E-2</v>
      </c>
      <c r="P7">
        <v>0.15393753693111001</v>
      </c>
      <c r="Q7">
        <v>0.46926879178815301</v>
      </c>
      <c r="R7">
        <v>1.6679355265670801</v>
      </c>
      <c r="S7">
        <v>6.0491299651584196</v>
      </c>
      <c r="T7">
        <v>24.1965198606337</v>
      </c>
      <c r="V7">
        <v>5.1754391722476999E-2</v>
      </c>
      <c r="W7">
        <v>0.20701756688990799</v>
      </c>
      <c r="X7">
        <v>0.82807026755963298</v>
      </c>
      <c r="Y7">
        <v>3.3122810702385301</v>
      </c>
      <c r="Z7">
        <v>13.249124280954099</v>
      </c>
      <c r="AA7">
        <v>52.996497123816503</v>
      </c>
      <c r="BA7" s="1">
        <v>6</v>
      </c>
      <c r="BB7" s="1">
        <v>29</v>
      </c>
      <c r="BC7" s="1">
        <v>102</v>
      </c>
      <c r="BD7" s="1">
        <v>246</v>
      </c>
      <c r="BE7" s="1">
        <v>493</v>
      </c>
      <c r="BF7" s="1">
        <v>1329</v>
      </c>
    </row>
    <row r="8" spans="1:58">
      <c r="A8" s="2">
        <v>22</v>
      </c>
      <c r="B8" s="2">
        <v>90</v>
      </c>
      <c r="C8" s="2">
        <v>265</v>
      </c>
      <c r="D8" s="2">
        <v>275</v>
      </c>
      <c r="E8" s="5">
        <v>6.2688332148029005E-2</v>
      </c>
      <c r="F8" s="5">
        <v>1.8357479777712401E-2</v>
      </c>
      <c r="G8" s="5">
        <v>5.3392743586913897E-3</v>
      </c>
      <c r="H8" s="16">
        <f t="shared" si="1"/>
        <v>0.3</v>
      </c>
      <c r="I8" s="16">
        <f t="shared" si="2"/>
        <v>2.1</v>
      </c>
      <c r="J8" s="16">
        <f t="shared" si="3"/>
        <v>9.1</v>
      </c>
      <c r="K8" s="16">
        <f t="shared" si="4"/>
        <v>21.2</v>
      </c>
      <c r="L8" s="16">
        <f t="shared" si="5"/>
        <v>66</v>
      </c>
      <c r="M8" s="16">
        <f t="shared" si="6"/>
        <v>158.1</v>
      </c>
      <c r="N8" s="36"/>
      <c r="O8">
        <v>4.5463397559226001E-2</v>
      </c>
      <c r="P8">
        <v>0.16338445100562901</v>
      </c>
      <c r="Q8">
        <v>0.426009200925964</v>
      </c>
      <c r="R8">
        <v>1.2687679005852299</v>
      </c>
      <c r="S8">
        <v>4.6995148199797203</v>
      </c>
      <c r="T8">
        <v>18.7980592799188</v>
      </c>
      <c r="V8">
        <v>4.5463397884194803E-2</v>
      </c>
      <c r="W8">
        <v>0.25075332859211602</v>
      </c>
      <c r="X8">
        <v>1.0030133143684601</v>
      </c>
      <c r="Y8">
        <v>4.0120532574738599</v>
      </c>
      <c r="Z8">
        <v>16.0482130298954</v>
      </c>
      <c r="AA8">
        <v>64.192852119581701</v>
      </c>
      <c r="BA8" s="1">
        <v>3</v>
      </c>
      <c r="BB8" s="1">
        <v>21</v>
      </c>
      <c r="BC8" s="1">
        <v>91</v>
      </c>
      <c r="BD8" s="1">
        <v>212</v>
      </c>
      <c r="BE8" s="1">
        <v>660</v>
      </c>
      <c r="BF8" s="1">
        <v>1581</v>
      </c>
    </row>
    <row r="9" spans="1:58">
      <c r="A9" s="2">
        <v>152</v>
      </c>
      <c r="B9" s="2">
        <v>90</v>
      </c>
      <c r="C9" s="2">
        <v>310</v>
      </c>
      <c r="D9" s="2">
        <v>320</v>
      </c>
      <c r="E9" s="5">
        <v>0.10293183462706799</v>
      </c>
      <c r="F9" s="5">
        <v>2.3869849132825499E-2</v>
      </c>
      <c r="G9" s="5">
        <v>8.4624680045280194E-3</v>
      </c>
      <c r="H9" s="16">
        <f t="shared" si="1"/>
        <v>0.9</v>
      </c>
      <c r="I9" s="16">
        <f t="shared" si="2"/>
        <v>3.2</v>
      </c>
      <c r="J9" s="16">
        <f t="shared" si="3"/>
        <v>7.5</v>
      </c>
      <c r="K9" s="16">
        <f t="shared" si="4"/>
        <v>23.3</v>
      </c>
      <c r="L9" s="16">
        <f t="shared" si="5"/>
        <v>70</v>
      </c>
      <c r="M9" s="16">
        <f t="shared" si="6"/>
        <v>163.9</v>
      </c>
      <c r="N9" s="36"/>
      <c r="O9">
        <v>9.5743592288179996E-2</v>
      </c>
      <c r="P9">
        <v>0.18723147718286101</v>
      </c>
      <c r="Q9">
        <v>0.64667150537108198</v>
      </c>
      <c r="R9">
        <v>1.81287477386409</v>
      </c>
      <c r="S9">
        <v>6.1106814199081896</v>
      </c>
      <c r="T9">
        <v>24.442725679632701</v>
      </c>
      <c r="V9">
        <v>0.10293183462706799</v>
      </c>
      <c r="W9">
        <v>0.41172733850827198</v>
      </c>
      <c r="X9">
        <v>1.6469093540330899</v>
      </c>
      <c r="Y9">
        <v>6.5876374161323596</v>
      </c>
      <c r="Z9">
        <v>26.3505496645294</v>
      </c>
      <c r="AA9">
        <v>105.402198658117</v>
      </c>
      <c r="BA9" s="1">
        <v>9</v>
      </c>
      <c r="BB9" s="1">
        <v>32</v>
      </c>
      <c r="BC9" s="1">
        <v>75</v>
      </c>
      <c r="BD9" s="1">
        <v>233</v>
      </c>
      <c r="BE9" s="1">
        <v>700</v>
      </c>
      <c r="BF9" s="1">
        <v>1639</v>
      </c>
    </row>
    <row r="10" spans="1:58">
      <c r="A10" s="2">
        <v>12</v>
      </c>
      <c r="B10" s="2">
        <v>64</v>
      </c>
      <c r="C10" s="2">
        <v>357</v>
      </c>
      <c r="D10" s="2">
        <v>360</v>
      </c>
      <c r="E10" s="5">
        <v>4.4543546788178297E-2</v>
      </c>
      <c r="F10" s="5">
        <v>2.3352349155409499E-2</v>
      </c>
      <c r="G10" s="5">
        <v>2.1759151907210301E-2</v>
      </c>
      <c r="H10" s="16">
        <f t="shared" si="1"/>
        <v>1</v>
      </c>
      <c r="I10" s="16">
        <f t="shared" si="2"/>
        <v>4.666666666666667</v>
      </c>
      <c r="J10" s="16">
        <f t="shared" si="3"/>
        <v>13.666666666666666</v>
      </c>
      <c r="K10" s="16">
        <f t="shared" si="4"/>
        <v>34.333333333333336</v>
      </c>
      <c r="L10" s="16">
        <f t="shared" si="5"/>
        <v>107.66666666666667</v>
      </c>
      <c r="M10" s="16">
        <f t="shared" si="6"/>
        <v>186.33333333333334</v>
      </c>
      <c r="N10" s="36"/>
      <c r="O10">
        <v>3.8585276164057498E-2</v>
      </c>
      <c r="P10">
        <v>0.117415800187244</v>
      </c>
      <c r="Q10">
        <v>0.46966320074897699</v>
      </c>
      <c r="R10">
        <v>1.4945503386105301</v>
      </c>
      <c r="S10">
        <v>5.97820135444214</v>
      </c>
      <c r="T10">
        <v>23.912805417768499</v>
      </c>
      <c r="V10">
        <v>4.4543546788178297E-2</v>
      </c>
      <c r="W10">
        <v>0.17817418715271299</v>
      </c>
      <c r="X10">
        <v>0.71269674861085297</v>
      </c>
      <c r="Y10">
        <v>2.8507869944434101</v>
      </c>
      <c r="Z10">
        <v>11.4031479777736</v>
      </c>
      <c r="AA10">
        <v>45.612591911094597</v>
      </c>
      <c r="BA10" s="1">
        <v>3</v>
      </c>
      <c r="BB10" s="1">
        <v>14</v>
      </c>
      <c r="BC10" s="1">
        <v>41</v>
      </c>
      <c r="BD10" s="1">
        <v>103</v>
      </c>
      <c r="BE10" s="1">
        <v>323</v>
      </c>
      <c r="BF10" s="1">
        <v>559</v>
      </c>
    </row>
    <row r="11" spans="1:58">
      <c r="A11" s="2">
        <v>96</v>
      </c>
      <c r="B11" s="2">
        <v>64</v>
      </c>
      <c r="C11" s="2">
        <v>392</v>
      </c>
      <c r="D11" s="2">
        <v>400</v>
      </c>
      <c r="E11" s="5">
        <v>9.5639162401153693E-2</v>
      </c>
      <c r="F11" s="5">
        <v>1.9277468694701001E-2</v>
      </c>
      <c r="G11" s="5">
        <v>5.1627678565697001E-3</v>
      </c>
      <c r="H11" s="16">
        <f t="shared" si="1"/>
        <v>0.375</v>
      </c>
      <c r="I11" s="16">
        <f t="shared" si="2"/>
        <v>2.75</v>
      </c>
      <c r="J11" s="16">
        <f t="shared" si="3"/>
        <v>7.25</v>
      </c>
      <c r="K11" s="16">
        <f t="shared" si="4"/>
        <v>20.625</v>
      </c>
      <c r="L11" s="16">
        <f t="shared" si="5"/>
        <v>69.875</v>
      </c>
      <c r="M11" s="16">
        <f t="shared" si="6"/>
        <v>173</v>
      </c>
      <c r="N11" s="36"/>
      <c r="O11">
        <v>9.5639162709086803E-2</v>
      </c>
      <c r="P11">
        <v>0.18581760283662399</v>
      </c>
      <c r="Q11">
        <v>0.60536126077852104</v>
      </c>
      <c r="R11">
        <v>1.2337579982911999</v>
      </c>
      <c r="S11">
        <v>4.9350319931648103</v>
      </c>
      <c r="T11">
        <v>19.740127972659199</v>
      </c>
      <c r="V11">
        <v>9.5639162401153693E-2</v>
      </c>
      <c r="W11">
        <v>0.382556649604614</v>
      </c>
      <c r="X11">
        <v>1.53022659841845</v>
      </c>
      <c r="Y11">
        <v>6.1209063936738302</v>
      </c>
      <c r="Z11">
        <v>24.483625574695299</v>
      </c>
      <c r="AA11">
        <v>97.934502298781396</v>
      </c>
      <c r="BA11" s="1">
        <v>3</v>
      </c>
      <c r="BB11" s="1">
        <v>22</v>
      </c>
      <c r="BC11" s="1">
        <v>58</v>
      </c>
      <c r="BD11" s="1">
        <v>165</v>
      </c>
      <c r="BE11" s="1">
        <v>559</v>
      </c>
      <c r="BF11" s="1">
        <v>1384</v>
      </c>
    </row>
    <row r="12" spans="1:58">
      <c r="A12" s="2">
        <v>101</v>
      </c>
      <c r="B12" s="2">
        <v>64</v>
      </c>
      <c r="C12" s="2">
        <v>432</v>
      </c>
      <c r="D12" s="2">
        <v>438</v>
      </c>
      <c r="E12" s="5">
        <v>3.00794247374499E-2</v>
      </c>
      <c r="F12" s="5">
        <v>1.50358559887077E-2</v>
      </c>
      <c r="G12" s="5">
        <v>9.2196022769056602E-3</v>
      </c>
      <c r="H12" s="16">
        <f t="shared" si="1"/>
        <v>0.33333333333333331</v>
      </c>
      <c r="I12" s="16">
        <f t="shared" si="2"/>
        <v>1.5</v>
      </c>
      <c r="J12" s="16">
        <f t="shared" si="3"/>
        <v>8.1666666666666661</v>
      </c>
      <c r="K12" s="16">
        <f t="shared" si="4"/>
        <v>22</v>
      </c>
      <c r="L12" s="16">
        <f t="shared" si="5"/>
        <v>90.666666666666671</v>
      </c>
      <c r="M12" s="16">
        <f t="shared" si="6"/>
        <v>173.5</v>
      </c>
      <c r="N12" s="36"/>
      <c r="O12">
        <v>2.85197693561322E-2</v>
      </c>
      <c r="P12">
        <v>0.101347429024516</v>
      </c>
      <c r="Q12">
        <v>0.24057369702033901</v>
      </c>
      <c r="R12">
        <v>0.96229478808135804</v>
      </c>
      <c r="S12">
        <v>3.84917915232543</v>
      </c>
      <c r="T12">
        <v>15.3967166093017</v>
      </c>
      <c r="V12">
        <v>3.00794247374499E-2</v>
      </c>
      <c r="W12">
        <v>0.120317698949799</v>
      </c>
      <c r="X12">
        <v>0.48127079579919901</v>
      </c>
      <c r="Y12">
        <v>1.9250831831967901</v>
      </c>
      <c r="Z12">
        <v>7.7003327327871904</v>
      </c>
      <c r="AA12">
        <v>30.801330931148701</v>
      </c>
      <c r="BA12" s="1">
        <v>2</v>
      </c>
      <c r="BB12" s="1">
        <v>9</v>
      </c>
      <c r="BC12" s="1">
        <v>49</v>
      </c>
      <c r="BD12" s="1">
        <v>132</v>
      </c>
      <c r="BE12" s="1">
        <v>544</v>
      </c>
      <c r="BF12" s="1">
        <v>1041</v>
      </c>
    </row>
    <row r="13" spans="1:58">
      <c r="A13" s="2">
        <v>24</v>
      </c>
      <c r="B13" s="2">
        <v>64</v>
      </c>
      <c r="C13" s="2">
        <v>468</v>
      </c>
      <c r="D13" s="2">
        <v>478</v>
      </c>
      <c r="E13" s="5">
        <v>0.10538288704710901</v>
      </c>
      <c r="F13" s="5">
        <v>1.6430974908246999E-2</v>
      </c>
      <c r="G13" s="5">
        <v>6.0105568763227698E-3</v>
      </c>
      <c r="H13" s="16">
        <f t="shared" si="1"/>
        <v>0.5</v>
      </c>
      <c r="I13" s="16">
        <f t="shared" si="2"/>
        <v>1.8</v>
      </c>
      <c r="J13" s="16">
        <f t="shared" si="3"/>
        <v>4.3</v>
      </c>
      <c r="K13" s="16">
        <f t="shared" si="4"/>
        <v>13.9</v>
      </c>
      <c r="L13" s="16">
        <f t="shared" si="5"/>
        <v>58.6</v>
      </c>
      <c r="M13" s="16">
        <f t="shared" si="6"/>
        <v>173</v>
      </c>
      <c r="N13" s="36"/>
      <c r="O13">
        <v>0.10538288717717199</v>
      </c>
      <c r="P13">
        <v>0.15056990486005101</v>
      </c>
      <c r="Q13">
        <v>0.50129083006757003</v>
      </c>
      <c r="R13">
        <v>1.0515823951961401</v>
      </c>
      <c r="S13">
        <v>4.2063295807845602</v>
      </c>
      <c r="T13">
        <v>16.825318323138202</v>
      </c>
      <c r="V13">
        <v>0.10538288704710901</v>
      </c>
      <c r="W13">
        <v>0.42153154818843802</v>
      </c>
      <c r="X13">
        <v>1.6861261927537501</v>
      </c>
      <c r="Y13">
        <v>6.7445047710150003</v>
      </c>
      <c r="Z13">
        <v>26.978019084060001</v>
      </c>
      <c r="AA13">
        <v>107.91207633624001</v>
      </c>
      <c r="BA13" s="1">
        <v>5</v>
      </c>
      <c r="BB13" s="1">
        <v>18</v>
      </c>
      <c r="BC13" s="1">
        <v>43</v>
      </c>
      <c r="BD13" s="1">
        <v>139</v>
      </c>
      <c r="BE13" s="1">
        <v>586</v>
      </c>
      <c r="BF13" s="1">
        <v>1730</v>
      </c>
    </row>
    <row r="14" spans="1:58">
      <c r="A14" s="2">
        <v>107</v>
      </c>
      <c r="B14" s="2">
        <v>45</v>
      </c>
      <c r="C14" s="2">
        <v>515</v>
      </c>
      <c r="D14" s="2">
        <v>520</v>
      </c>
      <c r="E14" s="5">
        <v>2.7724885205644801E-2</v>
      </c>
      <c r="F14" s="5">
        <v>1.4478880481023E-2</v>
      </c>
      <c r="G14" s="5">
        <v>1.4642800293065399E-2</v>
      </c>
      <c r="H14" s="16">
        <f t="shared" si="1"/>
        <v>0.2</v>
      </c>
      <c r="I14" s="16">
        <f t="shared" si="2"/>
        <v>2.6</v>
      </c>
      <c r="J14" s="16">
        <f t="shared" si="3"/>
        <v>7.8</v>
      </c>
      <c r="K14" s="16">
        <f t="shared" si="4"/>
        <v>15.6</v>
      </c>
      <c r="L14" s="16">
        <f t="shared" si="5"/>
        <v>69</v>
      </c>
      <c r="M14" s="16">
        <f t="shared" si="6"/>
        <v>188.6</v>
      </c>
      <c r="N14" s="36"/>
      <c r="O14">
        <v>2.77248857374158E-2</v>
      </c>
      <c r="P14">
        <v>7.8677957752448305E-2</v>
      </c>
      <c r="Q14">
        <v>0.26510584610390098</v>
      </c>
      <c r="R14">
        <v>0.92664835919294097</v>
      </c>
      <c r="S14">
        <v>3.7065934367717599</v>
      </c>
      <c r="T14">
        <v>14.826373747087001</v>
      </c>
      <c r="V14">
        <v>2.7724885205644801E-2</v>
      </c>
      <c r="W14">
        <v>0.110899540822579</v>
      </c>
      <c r="X14">
        <v>0.44359816329031698</v>
      </c>
      <c r="Y14">
        <v>1.7743926531612599</v>
      </c>
      <c r="Z14">
        <v>7.0975706126450699</v>
      </c>
      <c r="AA14">
        <v>28.390282450580202</v>
      </c>
      <c r="BA14" s="1">
        <v>1</v>
      </c>
      <c r="BB14" s="1">
        <v>13</v>
      </c>
      <c r="BC14" s="1">
        <v>39</v>
      </c>
      <c r="BD14" s="1">
        <v>78</v>
      </c>
      <c r="BE14" s="1">
        <v>345</v>
      </c>
      <c r="BF14" s="1">
        <v>943</v>
      </c>
    </row>
    <row r="15" spans="1:58">
      <c r="A15" s="2">
        <v>162</v>
      </c>
      <c r="B15" s="2">
        <v>45</v>
      </c>
      <c r="C15" s="2">
        <v>550</v>
      </c>
      <c r="D15" s="2">
        <v>560</v>
      </c>
      <c r="E15" s="5">
        <v>2.2481115003792299E-2</v>
      </c>
      <c r="F15" s="5">
        <v>9.1860908476934702E-3</v>
      </c>
      <c r="G15" s="5">
        <v>5.26397191560033E-3</v>
      </c>
      <c r="H15" s="16">
        <f t="shared" si="1"/>
        <v>0</v>
      </c>
      <c r="I15" s="16">
        <f t="shared" si="2"/>
        <v>0.8</v>
      </c>
      <c r="J15" s="16">
        <f t="shared" si="3"/>
        <v>4</v>
      </c>
      <c r="K15" s="16">
        <f t="shared" si="4"/>
        <v>12.1</v>
      </c>
      <c r="L15" s="16">
        <f t="shared" si="5"/>
        <v>63.1</v>
      </c>
      <c r="M15" s="16">
        <f t="shared" si="6"/>
        <v>188.1</v>
      </c>
      <c r="N15" s="36"/>
      <c r="P15">
        <v>7.7959153032395798E-2</v>
      </c>
      <c r="Q15">
        <v>0.24135454645261201</v>
      </c>
      <c r="R15">
        <v>0.62231226944989104</v>
      </c>
      <c r="S15">
        <v>2.3516392566763402</v>
      </c>
      <c r="T15">
        <v>9.4065570267053804</v>
      </c>
      <c r="W15">
        <v>8.9924460015169197E-2</v>
      </c>
      <c r="X15">
        <v>0.35969784006067601</v>
      </c>
      <c r="Y15">
        <v>1.4387913602427</v>
      </c>
      <c r="Z15">
        <v>5.7551654409708304</v>
      </c>
      <c r="AA15">
        <v>23.0206617638833</v>
      </c>
      <c r="BA15" s="1">
        <v>0</v>
      </c>
      <c r="BB15" s="1">
        <v>8</v>
      </c>
      <c r="BC15" s="1">
        <v>40</v>
      </c>
      <c r="BD15" s="1">
        <v>121</v>
      </c>
      <c r="BE15" s="1">
        <v>631</v>
      </c>
      <c r="BF15" s="1">
        <v>1881</v>
      </c>
    </row>
    <row r="16" spans="1:58">
      <c r="A16" s="2">
        <v>159</v>
      </c>
      <c r="B16" s="2">
        <v>45</v>
      </c>
      <c r="C16" s="2">
        <v>595</v>
      </c>
      <c r="D16" s="2">
        <v>610</v>
      </c>
      <c r="E16" s="5">
        <v>1.09573532088619E-2</v>
      </c>
      <c r="F16" s="5">
        <v>4.9905746416529098E-3</v>
      </c>
      <c r="G16" s="5">
        <v>4.5767283517164602E-3</v>
      </c>
      <c r="H16" s="16">
        <f t="shared" si="1"/>
        <v>0</v>
      </c>
      <c r="I16" s="16">
        <f t="shared" si="2"/>
        <v>0</v>
      </c>
      <c r="J16" s="16">
        <f t="shared" si="3"/>
        <v>0.73333333333333328</v>
      </c>
      <c r="K16" s="16">
        <f t="shared" si="4"/>
        <v>4.8</v>
      </c>
      <c r="L16" s="16">
        <f t="shared" si="5"/>
        <v>51.8</v>
      </c>
      <c r="M16" s="16">
        <f t="shared" si="6"/>
        <v>188</v>
      </c>
      <c r="N16" s="36"/>
      <c r="Q16">
        <v>0.12254395097085501</v>
      </c>
      <c r="R16">
        <v>0.35900970208783201</v>
      </c>
      <c r="S16">
        <v>1.2775871078584</v>
      </c>
      <c r="T16">
        <v>5.1103484314336303</v>
      </c>
      <c r="X16">
        <v>0.175317651341791</v>
      </c>
      <c r="Y16">
        <v>0.70127060536716501</v>
      </c>
      <c r="Z16">
        <v>2.80508242146866</v>
      </c>
      <c r="AA16">
        <v>11.220329685874599</v>
      </c>
      <c r="BA16" s="1">
        <v>0</v>
      </c>
      <c r="BB16" s="1">
        <v>0</v>
      </c>
      <c r="BC16" s="1">
        <v>11</v>
      </c>
      <c r="BD16" s="1">
        <v>72</v>
      </c>
      <c r="BE16" s="1">
        <v>777</v>
      </c>
      <c r="BF16" s="1">
        <v>2820</v>
      </c>
    </row>
    <row r="17" spans="1:58">
      <c r="A17" s="2">
        <v>35</v>
      </c>
      <c r="B17" s="2">
        <v>45</v>
      </c>
      <c r="C17" s="2">
        <v>642</v>
      </c>
      <c r="D17" s="2">
        <v>648</v>
      </c>
      <c r="E17" s="5">
        <v>2.2279504588702301E-2</v>
      </c>
      <c r="F17" s="5">
        <v>9.4453501582737708E-3</v>
      </c>
      <c r="G17" s="5">
        <v>6.3512880877902899E-3</v>
      </c>
      <c r="H17" s="16">
        <f t="shared" si="1"/>
        <v>0</v>
      </c>
      <c r="I17" s="16">
        <f t="shared" si="2"/>
        <v>1</v>
      </c>
      <c r="J17" s="16">
        <f t="shared" si="3"/>
        <v>4</v>
      </c>
      <c r="K17" s="16">
        <f t="shared" si="4"/>
        <v>17.166666666666668</v>
      </c>
      <c r="L17" s="16">
        <f t="shared" si="5"/>
        <v>69.666666666666671</v>
      </c>
      <c r="M17" s="16">
        <f t="shared" si="6"/>
        <v>189.83333333333334</v>
      </c>
      <c r="N17" s="36"/>
      <c r="P17">
        <v>7.2703926665255297E-2</v>
      </c>
      <c r="Q17">
        <v>0.21382124817687001</v>
      </c>
      <c r="R17">
        <v>0.60450240905165797</v>
      </c>
      <c r="S17">
        <v>2.4180096362066301</v>
      </c>
      <c r="T17">
        <v>9.6720385448265294</v>
      </c>
      <c r="W17">
        <v>8.9118018354809397E-2</v>
      </c>
      <c r="X17">
        <v>0.35647207341923698</v>
      </c>
      <c r="Y17">
        <v>1.4258882936769499</v>
      </c>
      <c r="Z17">
        <v>5.7035531747077997</v>
      </c>
      <c r="AA17">
        <v>22.814212698831199</v>
      </c>
      <c r="BA17" s="1">
        <v>0</v>
      </c>
      <c r="BB17" s="1">
        <v>6</v>
      </c>
      <c r="BC17" s="1">
        <v>24</v>
      </c>
      <c r="BD17" s="1">
        <v>103</v>
      </c>
      <c r="BE17" s="1">
        <v>418</v>
      </c>
      <c r="BF17" s="1">
        <v>1139</v>
      </c>
    </row>
    <row r="18" spans="1:58">
      <c r="A18" s="2">
        <v>69</v>
      </c>
      <c r="B18" s="2">
        <v>32</v>
      </c>
      <c r="C18" s="2">
        <v>685</v>
      </c>
      <c r="D18" s="2">
        <v>689</v>
      </c>
      <c r="E18" s="5">
        <v>1.0897008883362201E-2</v>
      </c>
      <c r="F18" s="5">
        <v>7.27047978157239E-3</v>
      </c>
      <c r="G18" s="5">
        <v>6.8585843273274603E-3</v>
      </c>
      <c r="H18" s="16">
        <f t="shared" si="1"/>
        <v>0</v>
      </c>
      <c r="I18" s="16">
        <f t="shared" si="2"/>
        <v>0.25</v>
      </c>
      <c r="J18" s="16">
        <f t="shared" si="3"/>
        <v>3</v>
      </c>
      <c r="K18" s="16">
        <f t="shared" si="4"/>
        <v>14.25</v>
      </c>
      <c r="L18" s="16">
        <f t="shared" si="5"/>
        <v>68.75</v>
      </c>
      <c r="M18" s="16">
        <f t="shared" si="6"/>
        <v>207.5</v>
      </c>
      <c r="N18" s="36"/>
      <c r="P18">
        <v>4.3588035701968897E-2</v>
      </c>
      <c r="Q18">
        <v>0.13106034882425699</v>
      </c>
      <c r="R18">
        <v>0.52424139529702896</v>
      </c>
      <c r="S18">
        <v>1.86124282879616</v>
      </c>
      <c r="T18">
        <v>7.4449713151846701</v>
      </c>
      <c r="W18">
        <v>4.3588035533449102E-2</v>
      </c>
      <c r="X18">
        <v>0.17435214213379599</v>
      </c>
      <c r="Y18">
        <v>0.69740856853518496</v>
      </c>
      <c r="Z18">
        <v>2.7896342741407398</v>
      </c>
      <c r="AA18">
        <v>11.158537096562901</v>
      </c>
      <c r="BA18" s="1">
        <v>0</v>
      </c>
      <c r="BB18" s="1">
        <v>1</v>
      </c>
      <c r="BC18" s="1">
        <v>12</v>
      </c>
      <c r="BD18" s="1">
        <v>57</v>
      </c>
      <c r="BE18" s="1">
        <v>275</v>
      </c>
      <c r="BF18" s="1">
        <v>830</v>
      </c>
    </row>
    <row r="19" spans="1:58">
      <c r="A19" s="2">
        <v>85</v>
      </c>
      <c r="B19" s="2">
        <v>32</v>
      </c>
      <c r="C19" s="2">
        <v>730</v>
      </c>
      <c r="D19" s="2">
        <v>736</v>
      </c>
      <c r="E19" s="5">
        <v>1.13162316396569E-2</v>
      </c>
      <c r="F19" s="5">
        <v>6.77105129691932E-3</v>
      </c>
      <c r="G19" s="5">
        <v>5.0494700428746703E-3</v>
      </c>
      <c r="H19" s="16">
        <f t="shared" si="1"/>
        <v>0</v>
      </c>
      <c r="I19" s="16">
        <f t="shared" si="2"/>
        <v>0.16666666666666666</v>
      </c>
      <c r="J19" s="16">
        <f t="shared" si="3"/>
        <v>2.8333333333333335</v>
      </c>
      <c r="K19" s="16">
        <f t="shared" si="4"/>
        <v>12.666666666666666</v>
      </c>
      <c r="L19" s="16">
        <f t="shared" si="5"/>
        <v>54.666666666666664</v>
      </c>
      <c r="M19" s="16">
        <f t="shared" si="6"/>
        <v>204.66666666666666</v>
      </c>
      <c r="N19" s="36"/>
      <c r="P19">
        <v>4.5264926352280903E-2</v>
      </c>
      <c r="Q19">
        <v>0.12707267062271299</v>
      </c>
      <c r="R19">
        <v>0.43334728234498898</v>
      </c>
      <c r="S19">
        <v>1.7333891293799499</v>
      </c>
      <c r="T19">
        <v>6.9335565175198299</v>
      </c>
      <c r="W19">
        <v>4.5264926558627801E-2</v>
      </c>
      <c r="X19">
        <v>0.18105970623451101</v>
      </c>
      <c r="Y19">
        <v>0.72423882493804503</v>
      </c>
      <c r="Z19">
        <v>2.8969552997521801</v>
      </c>
      <c r="AA19">
        <v>11.587821199008699</v>
      </c>
      <c r="BA19" s="1">
        <v>0</v>
      </c>
      <c r="BB19" s="1">
        <v>1</v>
      </c>
      <c r="BC19" s="1">
        <v>17</v>
      </c>
      <c r="BD19" s="1">
        <v>76</v>
      </c>
      <c r="BE19" s="1">
        <v>328</v>
      </c>
      <c r="BF19" s="1">
        <v>1228</v>
      </c>
    </row>
    <row r="20" spans="1:58">
      <c r="A20" s="2">
        <v>61</v>
      </c>
      <c r="B20" s="2">
        <v>32</v>
      </c>
      <c r="C20" s="2">
        <v>782</v>
      </c>
      <c r="D20" s="2">
        <v>788</v>
      </c>
      <c r="E20" s="5">
        <v>2.4554138346802101E-2</v>
      </c>
      <c r="F20" s="5">
        <v>8.2745106205033593E-3</v>
      </c>
      <c r="G20" s="5">
        <v>4.2829956428710502E-3</v>
      </c>
      <c r="H20" s="16">
        <f t="shared" si="1"/>
        <v>0</v>
      </c>
      <c r="I20" s="16">
        <f t="shared" si="2"/>
        <v>1</v>
      </c>
      <c r="J20" s="16">
        <f t="shared" si="3"/>
        <v>4.5</v>
      </c>
      <c r="K20" s="16">
        <f t="shared" si="4"/>
        <v>10.666666666666666</v>
      </c>
      <c r="L20" s="16">
        <f t="shared" si="5"/>
        <v>60.666666666666664</v>
      </c>
      <c r="M20" s="16">
        <f t="shared" si="6"/>
        <v>200.16666666666666</v>
      </c>
      <c r="N20" s="36"/>
      <c r="P20">
        <v>6.4224427234734496E-2</v>
      </c>
      <c r="Q20">
        <v>0.22893530246709601</v>
      </c>
      <c r="R20">
        <v>0.58198300914003198</v>
      </c>
      <c r="S20">
        <v>2.1182747223488398</v>
      </c>
      <c r="T20">
        <v>8.4730988893953594</v>
      </c>
      <c r="W20">
        <v>9.8216553387208499E-2</v>
      </c>
      <c r="X20">
        <v>0.392866213548834</v>
      </c>
      <c r="Y20">
        <v>1.57146485419533</v>
      </c>
      <c r="Z20">
        <v>6.2858594167813404</v>
      </c>
      <c r="AA20">
        <v>25.143437667125301</v>
      </c>
      <c r="BA20" s="1">
        <v>0</v>
      </c>
      <c r="BB20" s="1">
        <v>6</v>
      </c>
      <c r="BC20" s="1">
        <v>27</v>
      </c>
      <c r="BD20" s="1">
        <v>64</v>
      </c>
      <c r="BE20" s="1">
        <v>364</v>
      </c>
      <c r="BF20" s="1">
        <v>1201</v>
      </c>
    </row>
    <row r="21" spans="1:58">
      <c r="A21" s="2">
        <v>52</v>
      </c>
      <c r="B21" s="2">
        <v>32</v>
      </c>
      <c r="C21" s="2">
        <v>820</v>
      </c>
      <c r="D21" s="2">
        <v>825</v>
      </c>
      <c r="E21" s="5">
        <v>1.6195175632876601E-2</v>
      </c>
      <c r="F21" s="5">
        <v>8.7837172608482301E-3</v>
      </c>
      <c r="G21" s="5">
        <v>7.5116788153303899E-3</v>
      </c>
      <c r="H21" s="16">
        <f t="shared" si="1"/>
        <v>0</v>
      </c>
      <c r="I21" s="16">
        <f t="shared" si="2"/>
        <v>0.6</v>
      </c>
      <c r="J21" s="16">
        <f t="shared" si="3"/>
        <v>4.2</v>
      </c>
      <c r="K21" s="16">
        <f t="shared" si="4"/>
        <v>14.8</v>
      </c>
      <c r="L21" s="16">
        <f t="shared" si="5"/>
        <v>79</v>
      </c>
      <c r="M21" s="16">
        <f t="shared" si="6"/>
        <v>198</v>
      </c>
      <c r="N21" s="36"/>
      <c r="P21">
        <v>5.66060042990124E-2</v>
      </c>
      <c r="Q21">
        <v>0.173305439270318</v>
      </c>
      <c r="R21">
        <v>0.56215790367475604</v>
      </c>
      <c r="S21">
        <v>2.2486316146990202</v>
      </c>
      <c r="T21">
        <v>8.9945264587960896</v>
      </c>
      <c r="W21">
        <v>6.4780702531506598E-2</v>
      </c>
      <c r="X21">
        <v>0.259122810126026</v>
      </c>
      <c r="Y21">
        <v>1.0364912405041</v>
      </c>
      <c r="Z21">
        <v>4.1459649620164196</v>
      </c>
      <c r="AA21">
        <v>16.5838598480656</v>
      </c>
      <c r="BA21" s="1">
        <v>0</v>
      </c>
      <c r="BB21" s="1">
        <v>3</v>
      </c>
      <c r="BC21" s="1">
        <v>21</v>
      </c>
      <c r="BD21" s="1">
        <v>74</v>
      </c>
      <c r="BE21" s="1">
        <v>395</v>
      </c>
      <c r="BF21" s="1">
        <v>990</v>
      </c>
    </row>
    <row r="22" spans="1:58">
      <c r="A22" s="2">
        <v>165</v>
      </c>
      <c r="B22" s="2">
        <v>16</v>
      </c>
      <c r="C22" s="2">
        <v>865</v>
      </c>
      <c r="D22" s="2">
        <v>875</v>
      </c>
      <c r="E22" s="5">
        <v>1.06254875376059E-2</v>
      </c>
      <c r="F22" s="5">
        <v>5.3979442955963304E-3</v>
      </c>
      <c r="G22" s="5">
        <v>5.0606462291010196E-3</v>
      </c>
      <c r="H22" s="16">
        <f t="shared" si="1"/>
        <v>0</v>
      </c>
      <c r="I22" s="16">
        <f t="shared" si="2"/>
        <v>0.1</v>
      </c>
      <c r="J22" s="16">
        <f t="shared" si="3"/>
        <v>1.1000000000000001</v>
      </c>
      <c r="K22" s="16">
        <f t="shared" si="4"/>
        <v>6.2</v>
      </c>
      <c r="L22" s="16">
        <f t="shared" si="5"/>
        <v>60.7</v>
      </c>
      <c r="M22" s="16">
        <f t="shared" si="6"/>
        <v>191.1</v>
      </c>
      <c r="N22" s="36"/>
      <c r="P22">
        <v>4.2501949944915698E-2</v>
      </c>
      <c r="Q22">
        <v>0.116374533955678</v>
      </c>
      <c r="R22">
        <v>0.36853445483851999</v>
      </c>
      <c r="S22">
        <v>1.38187374013061</v>
      </c>
      <c r="T22">
        <v>5.5274949605224499</v>
      </c>
      <c r="W22">
        <v>4.2501950150423698E-2</v>
      </c>
      <c r="X22">
        <v>0.17000780060169399</v>
      </c>
      <c r="Y22">
        <v>0.68003120240677895</v>
      </c>
      <c r="Z22">
        <v>2.72012480962711</v>
      </c>
      <c r="AA22">
        <v>10.880499238508399</v>
      </c>
      <c r="BA22" s="1">
        <v>0</v>
      </c>
      <c r="BB22" s="1">
        <v>1</v>
      </c>
      <c r="BC22" s="1">
        <v>11</v>
      </c>
      <c r="BD22" s="1">
        <v>62</v>
      </c>
      <c r="BE22" s="1">
        <v>607</v>
      </c>
      <c r="BF22" s="1">
        <v>1911</v>
      </c>
    </row>
    <row r="23" spans="1:58">
      <c r="A23" s="2">
        <v>166</v>
      </c>
      <c r="B23" s="2">
        <v>16</v>
      </c>
      <c r="C23" s="2">
        <v>920</v>
      </c>
      <c r="D23" s="2">
        <v>930</v>
      </c>
      <c r="E23" s="5">
        <v>5.4104257016193398E-3</v>
      </c>
      <c r="F23" s="5">
        <v>4.2237913969842902E-3</v>
      </c>
      <c r="G23" s="5">
        <v>4.0412722569313003E-3</v>
      </c>
      <c r="H23" s="16">
        <f t="shared" si="1"/>
        <v>0</v>
      </c>
      <c r="I23" s="16">
        <f t="shared" si="2"/>
        <v>0</v>
      </c>
      <c r="J23" s="16">
        <f t="shared" si="3"/>
        <v>0.2</v>
      </c>
      <c r="K23" s="16">
        <f t="shared" si="4"/>
        <v>3.2</v>
      </c>
      <c r="L23" s="16">
        <f t="shared" si="5"/>
        <v>53.6</v>
      </c>
      <c r="M23" s="16">
        <f t="shared" si="6"/>
        <v>202</v>
      </c>
      <c r="N23" s="36"/>
      <c r="Q23">
        <v>7.8663658425102104E-2</v>
      </c>
      <c r="R23">
        <v>0.286033381784213</v>
      </c>
      <c r="S23">
        <v>1.08129059920596</v>
      </c>
      <c r="T23">
        <v>4.3251623968238597</v>
      </c>
      <c r="X23">
        <v>8.56390953438151E-2</v>
      </c>
      <c r="Y23">
        <v>0.34626724490363803</v>
      </c>
      <c r="Z23">
        <v>1.3850689796145501</v>
      </c>
      <c r="AA23">
        <v>5.5402759184582102</v>
      </c>
      <c r="BA23" s="1">
        <v>0</v>
      </c>
      <c r="BB23" s="1"/>
      <c r="BC23" s="1">
        <v>2</v>
      </c>
      <c r="BD23" s="1">
        <v>32</v>
      </c>
      <c r="BE23" s="1">
        <v>536</v>
      </c>
      <c r="BF23" s="1">
        <v>2020</v>
      </c>
    </row>
    <row r="24" spans="1:58">
      <c r="A24" s="2">
        <v>53</v>
      </c>
      <c r="B24" s="2">
        <v>22.6</v>
      </c>
      <c r="C24" s="2">
        <v>970</v>
      </c>
      <c r="D24" s="2">
        <v>985</v>
      </c>
      <c r="E24" s="5">
        <v>5.4074185586351197E-3</v>
      </c>
      <c r="F24" s="5">
        <v>3.7739188928974099E-3</v>
      </c>
      <c r="G24" s="5">
        <v>3.5257352179030601E-3</v>
      </c>
      <c r="H24" s="16">
        <f t="shared" si="1"/>
        <v>0</v>
      </c>
      <c r="I24" s="16">
        <f t="shared" si="2"/>
        <v>0</v>
      </c>
      <c r="J24" s="16">
        <f t="shared" si="3"/>
        <v>0.13333333333333333</v>
      </c>
      <c r="K24" s="16">
        <f t="shared" si="4"/>
        <v>2</v>
      </c>
      <c r="L24" s="16">
        <f t="shared" si="5"/>
        <v>40.06666666666667</v>
      </c>
      <c r="M24" s="16">
        <f t="shared" si="6"/>
        <v>200.2</v>
      </c>
      <c r="N24" s="36"/>
      <c r="Q24">
        <v>8.5713068849887802E-2</v>
      </c>
      <c r="R24">
        <v>0.28274257889141102</v>
      </c>
      <c r="S24">
        <v>0.96612323561066804</v>
      </c>
      <c r="T24">
        <v>3.8644929424426699</v>
      </c>
      <c r="X24">
        <v>8.5713069200916994E-2</v>
      </c>
      <c r="Y24">
        <v>0.346074787752647</v>
      </c>
      <c r="Z24">
        <v>1.38429915101059</v>
      </c>
      <c r="AA24">
        <v>5.5371966040423599</v>
      </c>
      <c r="BA24" s="1">
        <v>0</v>
      </c>
      <c r="BB24" s="1"/>
      <c r="BC24" s="1">
        <v>2</v>
      </c>
      <c r="BD24" s="1">
        <v>30</v>
      </c>
      <c r="BE24" s="1">
        <v>601</v>
      </c>
      <c r="BF24" s="1">
        <v>3003</v>
      </c>
    </row>
    <row r="25" spans="1:58">
      <c r="A25" s="2">
        <v>45</v>
      </c>
      <c r="B25" s="2">
        <v>22.6</v>
      </c>
      <c r="C25" s="2">
        <v>1020</v>
      </c>
      <c r="D25" s="2">
        <v>1030</v>
      </c>
      <c r="E25" s="5">
        <v>6.9634801117522301E-3</v>
      </c>
      <c r="F25" s="5">
        <v>4.7306891897243297E-3</v>
      </c>
      <c r="G25" s="5">
        <v>4.5595536316889104E-3</v>
      </c>
      <c r="H25" s="16">
        <f t="shared" si="1"/>
        <v>0</v>
      </c>
      <c r="I25" s="16">
        <f t="shared" si="2"/>
        <v>0.1</v>
      </c>
      <c r="J25" s="16">
        <f t="shared" si="3"/>
        <v>0.4</v>
      </c>
      <c r="K25" s="16">
        <f t="shared" si="4"/>
        <v>5.0999999999999996</v>
      </c>
      <c r="L25" s="16">
        <f t="shared" si="5"/>
        <v>49.4</v>
      </c>
      <c r="M25" s="16">
        <f t="shared" si="6"/>
        <v>193.1</v>
      </c>
      <c r="N25" s="36"/>
      <c r="P25">
        <v>2.7853920384742901E-2</v>
      </c>
      <c r="Q25">
        <v>0.102227488893629</v>
      </c>
      <c r="R25">
        <v>0.312084224737535</v>
      </c>
      <c r="S25">
        <v>1.21105643309446</v>
      </c>
      <c r="T25">
        <v>4.8442257323778604</v>
      </c>
      <c r="W25">
        <v>2.7853920447008899E-2</v>
      </c>
      <c r="X25">
        <v>0.111415681788035</v>
      </c>
      <c r="Y25">
        <v>0.445662727152142</v>
      </c>
      <c r="Z25">
        <v>1.78265090860857</v>
      </c>
      <c r="AA25">
        <v>7.13060363443428</v>
      </c>
      <c r="BA25" s="1">
        <v>0</v>
      </c>
      <c r="BB25" s="1">
        <v>1</v>
      </c>
      <c r="BC25" s="1">
        <v>4</v>
      </c>
      <c r="BD25" s="1">
        <v>51</v>
      </c>
      <c r="BE25" s="1">
        <v>494</v>
      </c>
      <c r="BF25" s="1">
        <v>1931</v>
      </c>
    </row>
    <row r="26" spans="1:58">
      <c r="A26" s="3">
        <v>1.1000000000000001</v>
      </c>
      <c r="B26" s="3">
        <v>32</v>
      </c>
      <c r="C26" s="4">
        <v>50</v>
      </c>
      <c r="D26" s="4">
        <v>70</v>
      </c>
      <c r="E26" s="5">
        <v>1.40031756933689E-2</v>
      </c>
      <c r="F26" s="5">
        <v>5.6784984243662398E-3</v>
      </c>
      <c r="G26" s="5">
        <v>4.6667095589632999E-3</v>
      </c>
      <c r="H26" s="16">
        <f t="shared" si="1"/>
        <v>0</v>
      </c>
      <c r="I26" s="16">
        <f t="shared" si="2"/>
        <v>0.05</v>
      </c>
      <c r="J26" s="16">
        <f t="shared" si="3"/>
        <v>0.9</v>
      </c>
      <c r="K26" s="16">
        <f t="shared" si="4"/>
        <v>7.55</v>
      </c>
      <c r="L26" s="16">
        <f t="shared" si="5"/>
        <v>59.8</v>
      </c>
      <c r="M26" s="16">
        <f t="shared" si="6"/>
        <v>180.85</v>
      </c>
      <c r="N26" s="36"/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  <c r="W26">
        <v>5.6012702773475899E-2</v>
      </c>
      <c r="X26">
        <v>0.22405081109390301</v>
      </c>
      <c r="Y26">
        <v>0.89620324437561405</v>
      </c>
      <c r="Z26">
        <v>3.58481297750245</v>
      </c>
      <c r="AA26">
        <v>14.3392519100098</v>
      </c>
      <c r="BA26" s="1">
        <v>0</v>
      </c>
      <c r="BB26" s="1">
        <v>1</v>
      </c>
      <c r="BC26" s="1">
        <v>18</v>
      </c>
      <c r="BD26" s="1">
        <v>151</v>
      </c>
      <c r="BE26" s="1">
        <v>1196</v>
      </c>
      <c r="BF26" s="1">
        <v>3617</v>
      </c>
    </row>
    <row r="27" spans="1:58">
      <c r="A27" s="3">
        <v>1.2</v>
      </c>
      <c r="B27" s="3">
        <v>32</v>
      </c>
      <c r="C27" s="4">
        <v>70</v>
      </c>
      <c r="D27" s="4">
        <v>90</v>
      </c>
      <c r="E27" s="5">
        <v>1.0890800850407899E-2</v>
      </c>
      <c r="F27" s="5">
        <v>4.8212415579803897E-3</v>
      </c>
      <c r="G27" s="5">
        <v>4.1135640493545804E-3</v>
      </c>
      <c r="H27" s="16">
        <f t="shared" si="1"/>
        <v>0</v>
      </c>
      <c r="I27" s="16">
        <f t="shared" si="2"/>
        <v>0.05</v>
      </c>
      <c r="J27" s="16">
        <f t="shared" si="3"/>
        <v>0.55000000000000004</v>
      </c>
      <c r="K27" s="16">
        <f t="shared" si="4"/>
        <v>5.15</v>
      </c>
      <c r="L27" s="16">
        <f t="shared" si="5"/>
        <v>48.6</v>
      </c>
      <c r="M27" s="16">
        <f t="shared" si="6"/>
        <v>175.05</v>
      </c>
      <c r="N27" s="36"/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  <c r="W27">
        <v>4.3563203401631702E-2</v>
      </c>
      <c r="X27">
        <v>0.174252813606527</v>
      </c>
      <c r="Y27">
        <v>0.69701125442610801</v>
      </c>
      <c r="Z27">
        <v>2.7880450177044298</v>
      </c>
      <c r="AA27">
        <v>11.1521800708177</v>
      </c>
      <c r="BA27" s="1">
        <v>0</v>
      </c>
      <c r="BB27" s="1">
        <v>1</v>
      </c>
      <c r="BC27" s="1">
        <v>11</v>
      </c>
      <c r="BD27" s="1">
        <v>103</v>
      </c>
      <c r="BE27" s="1">
        <v>972</v>
      </c>
      <c r="BF27" s="1">
        <v>3501</v>
      </c>
    </row>
    <row r="28" spans="1:58">
      <c r="A28" s="3">
        <v>1.3</v>
      </c>
      <c r="B28" s="3">
        <v>32</v>
      </c>
      <c r="C28" s="4">
        <v>90</v>
      </c>
      <c r="D28" s="4">
        <v>100</v>
      </c>
      <c r="E28" s="5">
        <v>2.3197934886697399E-2</v>
      </c>
      <c r="F28" s="5">
        <v>9.1426900455134907E-3</v>
      </c>
      <c r="G28" s="5">
        <v>6.1375608082080103E-3</v>
      </c>
      <c r="H28" s="16">
        <f t="shared" si="1"/>
        <v>0</v>
      </c>
      <c r="I28" s="16">
        <f t="shared" si="2"/>
        <v>0.4</v>
      </c>
      <c r="J28" s="16">
        <f t="shared" si="3"/>
        <v>3.5</v>
      </c>
      <c r="K28" s="16">
        <f t="shared" si="4"/>
        <v>16.3</v>
      </c>
      <c r="L28" s="16">
        <f t="shared" si="5"/>
        <v>78.8</v>
      </c>
      <c r="M28" s="16">
        <f t="shared" si="6"/>
        <v>174.9</v>
      </c>
      <c r="N28" s="36"/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  <c r="W28">
        <v>9.2791739546789598E-2</v>
      </c>
      <c r="X28">
        <v>0.371166958187158</v>
      </c>
      <c r="Y28">
        <v>1.48466783274863</v>
      </c>
      <c r="Z28">
        <v>5.9386713309945298</v>
      </c>
      <c r="AA28">
        <v>23.754685323978102</v>
      </c>
      <c r="BA28" s="1">
        <v>0</v>
      </c>
      <c r="BB28" s="1">
        <v>4</v>
      </c>
      <c r="BC28" s="1">
        <v>35</v>
      </c>
      <c r="BD28" s="1">
        <v>163</v>
      </c>
      <c r="BE28" s="1">
        <v>788</v>
      </c>
      <c r="BF28" s="1">
        <v>1749</v>
      </c>
    </row>
    <row r="29" spans="1:58">
      <c r="A29" s="3">
        <v>2.1</v>
      </c>
      <c r="B29" s="3">
        <v>45</v>
      </c>
      <c r="C29" s="4">
        <v>120</v>
      </c>
      <c r="D29" s="4">
        <v>140</v>
      </c>
      <c r="E29" s="5">
        <v>3.5345925929864103E-2</v>
      </c>
      <c r="F29" s="5">
        <v>7.8507383881498607E-3</v>
      </c>
      <c r="G29" s="5">
        <v>4.0069409325786598E-3</v>
      </c>
      <c r="H29" s="16">
        <f t="shared" si="1"/>
        <v>0</v>
      </c>
      <c r="I29" s="16">
        <f t="shared" si="2"/>
        <v>0.55000000000000004</v>
      </c>
      <c r="J29" s="16">
        <f t="shared" si="3"/>
        <v>2.8</v>
      </c>
      <c r="K29" s="16">
        <f t="shared" si="4"/>
        <v>10.199999999999999</v>
      </c>
      <c r="L29" s="16">
        <f t="shared" si="5"/>
        <v>60.75</v>
      </c>
      <c r="M29" s="16">
        <f t="shared" si="6"/>
        <v>171.2</v>
      </c>
      <c r="N29" s="36"/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  <c r="W29">
        <v>0.14138370371945599</v>
      </c>
      <c r="X29">
        <v>0.56553481487782498</v>
      </c>
      <c r="Y29">
        <v>2.2621392595112999</v>
      </c>
      <c r="Z29">
        <v>9.0485570380452103</v>
      </c>
      <c r="AA29">
        <v>36.194228152180798</v>
      </c>
      <c r="BA29" s="1">
        <v>0</v>
      </c>
      <c r="BB29" s="1">
        <v>11</v>
      </c>
      <c r="BC29" s="1">
        <v>56</v>
      </c>
      <c r="BD29" s="1">
        <v>204</v>
      </c>
      <c r="BE29" s="1">
        <v>1215</v>
      </c>
      <c r="BF29" s="1">
        <v>3424</v>
      </c>
    </row>
    <row r="30" spans="1:58">
      <c r="A30" s="3">
        <v>2.2000000000000002</v>
      </c>
      <c r="B30" s="3">
        <v>45</v>
      </c>
      <c r="C30" s="4">
        <v>140</v>
      </c>
      <c r="D30" s="4">
        <v>155</v>
      </c>
      <c r="E30" s="5">
        <v>2.4016207968108199E-2</v>
      </c>
      <c r="F30" s="5">
        <v>6.5149661727545603E-3</v>
      </c>
      <c r="G30" s="5">
        <v>4.26435563054003E-3</v>
      </c>
      <c r="H30" s="16">
        <f t="shared" si="1"/>
        <v>6.6666666666666666E-2</v>
      </c>
      <c r="I30" s="16">
        <f t="shared" si="2"/>
        <v>0.33333333333333331</v>
      </c>
      <c r="J30" s="16">
        <f t="shared" si="3"/>
        <v>1.7333333333333334</v>
      </c>
      <c r="K30" s="16">
        <f t="shared" si="4"/>
        <v>7.4666666666666668</v>
      </c>
      <c r="L30" s="16">
        <f t="shared" si="5"/>
        <v>54.06666666666667</v>
      </c>
      <c r="M30" s="16">
        <f t="shared" si="6"/>
        <v>187.2</v>
      </c>
      <c r="N30" s="36"/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  <c r="V30">
        <v>2.4016207968108199E-2</v>
      </c>
      <c r="W30">
        <v>9.6064831872432796E-2</v>
      </c>
      <c r="X30">
        <v>0.38425932748973102</v>
      </c>
      <c r="Y30">
        <v>1.5370373099589201</v>
      </c>
      <c r="Z30">
        <v>6.1481492398356998</v>
      </c>
      <c r="AA30">
        <v>24.592596959342799</v>
      </c>
      <c r="BA30" s="1">
        <v>1</v>
      </c>
      <c r="BB30" s="1">
        <v>5</v>
      </c>
      <c r="BC30" s="1">
        <v>26</v>
      </c>
      <c r="BD30" s="1">
        <v>112</v>
      </c>
      <c r="BE30" s="1">
        <v>811</v>
      </c>
      <c r="BF30" s="1">
        <v>2808</v>
      </c>
    </row>
    <row r="31" spans="1:58">
      <c r="A31" s="3">
        <v>2.2999999999999998</v>
      </c>
      <c r="B31" s="3">
        <v>45</v>
      </c>
      <c r="C31" s="4">
        <v>160</v>
      </c>
      <c r="D31" s="4">
        <v>170</v>
      </c>
      <c r="E31" s="5">
        <v>1.9422121419342901E-2</v>
      </c>
      <c r="F31" s="5">
        <v>7.5773751595888898E-3</v>
      </c>
      <c r="G31" s="5">
        <v>5.3544304928017398E-3</v>
      </c>
      <c r="H31" s="16">
        <f t="shared" si="1"/>
        <v>0</v>
      </c>
      <c r="I31" s="16">
        <f t="shared" si="2"/>
        <v>0.3</v>
      </c>
      <c r="J31" s="16">
        <f t="shared" si="3"/>
        <v>2.8</v>
      </c>
      <c r="K31" s="16">
        <f t="shared" si="4"/>
        <v>14.7</v>
      </c>
      <c r="L31" s="16">
        <f t="shared" si="5"/>
        <v>70</v>
      </c>
      <c r="M31" s="16">
        <f t="shared" si="6"/>
        <v>183.8</v>
      </c>
      <c r="N31" s="36"/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  <c r="W31">
        <v>7.7688485677371896E-2</v>
      </c>
      <c r="X31">
        <v>0.31075394270948697</v>
      </c>
      <c r="Y31">
        <v>1.2430157708379499</v>
      </c>
      <c r="Z31">
        <v>4.9720630833517996</v>
      </c>
      <c r="AA31">
        <v>19.888252333407198</v>
      </c>
      <c r="BA31" s="1">
        <v>0</v>
      </c>
      <c r="BB31" s="1">
        <v>3</v>
      </c>
      <c r="BC31" s="1">
        <v>28</v>
      </c>
      <c r="BD31" s="1">
        <v>147</v>
      </c>
      <c r="BE31" s="1">
        <v>700</v>
      </c>
      <c r="BF31" s="1">
        <v>1838</v>
      </c>
    </row>
    <row r="32" spans="1:58">
      <c r="A32" s="3">
        <v>3.1</v>
      </c>
      <c r="B32" s="3">
        <v>64</v>
      </c>
      <c r="C32" s="4">
        <v>190</v>
      </c>
      <c r="D32" s="4">
        <v>210</v>
      </c>
      <c r="E32" s="5">
        <v>0.12653412852816501</v>
      </c>
      <c r="F32" s="5">
        <v>1.5222331559222001E-2</v>
      </c>
      <c r="G32" s="5">
        <v>4.5052689799184196E-3</v>
      </c>
      <c r="H32" s="16">
        <f t="shared" si="1"/>
        <v>0.5</v>
      </c>
      <c r="I32" s="16">
        <f t="shared" si="2"/>
        <v>1.9</v>
      </c>
      <c r="J32" s="16">
        <f t="shared" si="3"/>
        <v>5.65</v>
      </c>
      <c r="K32" s="16">
        <f t="shared" si="4"/>
        <v>15.6</v>
      </c>
      <c r="L32" s="16">
        <f t="shared" si="5"/>
        <v>60.6</v>
      </c>
      <c r="M32" s="16">
        <f t="shared" si="6"/>
        <v>165.3</v>
      </c>
      <c r="N32" s="36"/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  <c r="V32">
        <v>0.12653412852816501</v>
      </c>
      <c r="W32">
        <v>0.50613651411266203</v>
      </c>
      <c r="X32">
        <v>2.0245460564506401</v>
      </c>
      <c r="Y32">
        <v>8.0981842258025907</v>
      </c>
      <c r="Z32">
        <v>32.392736903210299</v>
      </c>
      <c r="AA32">
        <v>129.570947612841</v>
      </c>
      <c r="BA32" s="1">
        <v>10</v>
      </c>
      <c r="BB32" s="1">
        <v>38</v>
      </c>
      <c r="BC32" s="1">
        <v>113</v>
      </c>
      <c r="BD32" s="1">
        <v>312</v>
      </c>
      <c r="BE32" s="1">
        <v>1212</v>
      </c>
      <c r="BF32" s="1">
        <v>3306</v>
      </c>
    </row>
    <row r="33" spans="1:58">
      <c r="A33" s="3">
        <v>3.2</v>
      </c>
      <c r="B33" s="3">
        <v>64</v>
      </c>
      <c r="C33" s="4">
        <v>215</v>
      </c>
      <c r="D33" s="4">
        <v>230</v>
      </c>
      <c r="E33" s="5">
        <v>5.1502950973667999E-2</v>
      </c>
      <c r="F33" s="5">
        <v>1.37528556522491E-2</v>
      </c>
      <c r="G33" s="5">
        <v>4.5700514622563203E-3</v>
      </c>
      <c r="H33" s="16">
        <f t="shared" si="1"/>
        <v>0.13333333333333333</v>
      </c>
      <c r="I33" s="16">
        <f t="shared" si="2"/>
        <v>2</v>
      </c>
      <c r="J33" s="16">
        <f t="shared" si="3"/>
        <v>7.333333333333333</v>
      </c>
      <c r="K33" s="16">
        <f t="shared" si="4"/>
        <v>18.600000000000001</v>
      </c>
      <c r="L33" s="16">
        <f t="shared" si="5"/>
        <v>68.8</v>
      </c>
      <c r="M33" s="16">
        <f t="shared" si="6"/>
        <v>171.33333333333334</v>
      </c>
      <c r="N33" s="36"/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  <c r="V33">
        <v>3.4786896818932399E-2</v>
      </c>
      <c r="W33">
        <v>0.206011803894672</v>
      </c>
      <c r="X33">
        <v>0.82404721557868799</v>
      </c>
      <c r="Y33">
        <v>3.2961888623147502</v>
      </c>
      <c r="Z33">
        <v>13.184755449259001</v>
      </c>
      <c r="AA33">
        <v>52.739021797036003</v>
      </c>
      <c r="BA33" s="1">
        <v>2</v>
      </c>
      <c r="BB33" s="1">
        <v>30</v>
      </c>
      <c r="BC33" s="1">
        <v>110</v>
      </c>
      <c r="BD33" s="1">
        <v>279</v>
      </c>
      <c r="BE33" s="1">
        <v>1032</v>
      </c>
      <c r="BF33" s="1">
        <v>2570</v>
      </c>
    </row>
    <row r="34" spans="1:58">
      <c r="A34" s="3">
        <v>3.3</v>
      </c>
      <c r="B34" s="3">
        <v>64</v>
      </c>
      <c r="C34" s="4">
        <v>230</v>
      </c>
      <c r="D34" s="4">
        <v>250</v>
      </c>
      <c r="E34" s="5">
        <v>5.04335454776157E-2</v>
      </c>
      <c r="F34" s="5">
        <v>9.8602655911611495E-3</v>
      </c>
      <c r="G34" s="5">
        <v>4.3864038070395503E-3</v>
      </c>
      <c r="H34" s="16">
        <f t="shared" si="1"/>
        <v>0.2</v>
      </c>
      <c r="I34" s="16">
        <f t="shared" si="2"/>
        <v>1</v>
      </c>
      <c r="J34" s="16">
        <f t="shared" si="3"/>
        <v>3.4</v>
      </c>
      <c r="K34" s="16">
        <f t="shared" si="4"/>
        <v>12.25</v>
      </c>
      <c r="L34" s="16">
        <f t="shared" si="5"/>
        <v>57.75</v>
      </c>
      <c r="M34" s="16">
        <f t="shared" si="6"/>
        <v>167.8</v>
      </c>
      <c r="N34" s="36"/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  <c r="V34">
        <v>5.04335454776157E-2</v>
      </c>
      <c r="W34">
        <v>0.201734181910463</v>
      </c>
      <c r="X34">
        <v>0.80693672764185198</v>
      </c>
      <c r="Y34">
        <v>3.2277469105674101</v>
      </c>
      <c r="Z34">
        <v>12.9109876422696</v>
      </c>
      <c r="AA34">
        <v>51.643950569078498</v>
      </c>
      <c r="BA34" s="1">
        <v>4</v>
      </c>
      <c r="BB34" s="1">
        <v>20</v>
      </c>
      <c r="BC34" s="1">
        <v>68</v>
      </c>
      <c r="BD34" s="1">
        <v>245</v>
      </c>
      <c r="BE34" s="1">
        <v>1155</v>
      </c>
      <c r="BF34" s="1">
        <v>3356</v>
      </c>
    </row>
    <row r="35" spans="1:58">
      <c r="A35" s="3">
        <v>4.0999999999999996</v>
      </c>
      <c r="B35" s="3">
        <v>90</v>
      </c>
      <c r="C35" s="4">
        <v>270</v>
      </c>
      <c r="D35" s="4">
        <v>285</v>
      </c>
      <c r="E35" s="5">
        <v>9.6840712231762202E-2</v>
      </c>
      <c r="F35" s="5">
        <v>2.94139388502281E-2</v>
      </c>
      <c r="G35" s="5">
        <v>9.5407724532447606E-3</v>
      </c>
      <c r="H35" s="16">
        <f t="shared" si="1"/>
        <v>0.8</v>
      </c>
      <c r="I35" s="16">
        <f t="shared" si="2"/>
        <v>4.0666666666666664</v>
      </c>
      <c r="J35" s="16">
        <f t="shared" si="3"/>
        <v>12.466666666666667</v>
      </c>
      <c r="K35" s="16">
        <f t="shared" si="4"/>
        <v>32.666666666666664</v>
      </c>
      <c r="L35" s="16">
        <f t="shared" si="5"/>
        <v>67.933333333333337</v>
      </c>
      <c r="M35" s="16">
        <f t="shared" si="6"/>
        <v>150.53333333333333</v>
      </c>
      <c r="N35" s="36"/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  <c r="V35">
        <v>9.6840712231762202E-2</v>
      </c>
      <c r="W35">
        <v>0.38736284892704798</v>
      </c>
      <c r="X35">
        <v>1.5494513957081899</v>
      </c>
      <c r="Y35">
        <v>6.19780558283278</v>
      </c>
      <c r="Z35">
        <v>24.791222331331099</v>
      </c>
      <c r="AA35">
        <v>99.164889325324495</v>
      </c>
      <c r="BA35" s="1">
        <v>12</v>
      </c>
      <c r="BB35" s="1">
        <v>61</v>
      </c>
      <c r="BC35" s="1">
        <v>187</v>
      </c>
      <c r="BD35" s="1">
        <v>490</v>
      </c>
      <c r="BE35" s="1">
        <v>1019</v>
      </c>
      <c r="BF35" s="1">
        <v>2258</v>
      </c>
    </row>
    <row r="36" spans="1:58">
      <c r="A36" s="3">
        <v>4.2</v>
      </c>
      <c r="B36" s="3">
        <v>90</v>
      </c>
      <c r="C36" s="4">
        <v>290</v>
      </c>
      <c r="D36" s="4">
        <v>310</v>
      </c>
      <c r="E36" s="5">
        <v>4.1669974213015902E-2</v>
      </c>
      <c r="F36" s="5">
        <v>9.9725509064199202E-3</v>
      </c>
      <c r="G36" s="5">
        <v>6.2822795747625101E-3</v>
      </c>
      <c r="H36" s="16">
        <f t="shared" si="1"/>
        <v>0</v>
      </c>
      <c r="I36" s="16">
        <f t="shared" si="2"/>
        <v>0.75</v>
      </c>
      <c r="J36" s="16">
        <f t="shared" si="3"/>
        <v>4.0999999999999996</v>
      </c>
      <c r="K36" s="16">
        <f t="shared" si="4"/>
        <v>17.649999999999999</v>
      </c>
      <c r="L36" s="16">
        <f t="shared" si="5"/>
        <v>69.7</v>
      </c>
      <c r="M36" s="16">
        <f t="shared" si="6"/>
        <v>167.75</v>
      </c>
      <c r="N36" s="36"/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  <c r="W36">
        <v>0.166679896852063</v>
      </c>
      <c r="X36">
        <v>0.66671958740825399</v>
      </c>
      <c r="Y36">
        <v>2.6668783496330102</v>
      </c>
      <c r="Z36">
        <v>10.667513398532</v>
      </c>
      <c r="AA36">
        <v>42.670053594128298</v>
      </c>
      <c r="BA36" s="1">
        <v>0</v>
      </c>
      <c r="BB36" s="1">
        <v>15</v>
      </c>
      <c r="BC36" s="1">
        <v>82</v>
      </c>
      <c r="BD36" s="1">
        <v>353</v>
      </c>
      <c r="BE36" s="1">
        <v>1394</v>
      </c>
      <c r="BF36" s="1">
        <v>3355</v>
      </c>
    </row>
    <row r="37" spans="1:58">
      <c r="A37" s="3">
        <v>4.3</v>
      </c>
      <c r="B37" s="3">
        <v>90</v>
      </c>
      <c r="C37" s="4">
        <v>310</v>
      </c>
      <c r="D37" s="4">
        <v>330</v>
      </c>
      <c r="E37" s="5">
        <v>6.5041528765672305E-2</v>
      </c>
      <c r="F37" s="5">
        <v>1.5521667521925899E-2</v>
      </c>
      <c r="G37" s="5">
        <v>9.3037999635866304E-3</v>
      </c>
      <c r="H37" s="16">
        <f t="shared" si="1"/>
        <v>0.3</v>
      </c>
      <c r="I37" s="16">
        <f t="shared" si="2"/>
        <v>1.6</v>
      </c>
      <c r="J37" s="16">
        <f t="shared" si="3"/>
        <v>7.1</v>
      </c>
      <c r="K37" s="16">
        <f t="shared" si="4"/>
        <v>20.95</v>
      </c>
      <c r="L37" s="16">
        <f t="shared" si="5"/>
        <v>76.55</v>
      </c>
      <c r="M37" s="16">
        <f t="shared" si="6"/>
        <v>164.3</v>
      </c>
      <c r="N37" s="36"/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  <c r="V37">
        <v>6.5041528765672305E-2</v>
      </c>
      <c r="W37">
        <v>0.260166115062689</v>
      </c>
      <c r="X37">
        <v>1.04066446025075</v>
      </c>
      <c r="Y37">
        <v>4.1626578410030204</v>
      </c>
      <c r="Z37">
        <v>16.650631364012099</v>
      </c>
      <c r="AA37">
        <v>66.602525456048397</v>
      </c>
      <c r="BA37" s="1">
        <v>6</v>
      </c>
      <c r="BB37" s="1">
        <v>32</v>
      </c>
      <c r="BC37" s="1">
        <v>142</v>
      </c>
      <c r="BD37" s="1">
        <v>419</v>
      </c>
      <c r="BE37" s="1">
        <v>1531</v>
      </c>
      <c r="BF37" s="1">
        <v>3286</v>
      </c>
    </row>
    <row r="38" spans="1:58">
      <c r="F38" s="1"/>
      <c r="H38" s="1"/>
      <c r="I38" s="1"/>
      <c r="J38" s="1"/>
      <c r="K38" s="1"/>
      <c r="L38" s="1"/>
      <c r="M38" s="1"/>
    </row>
    <row r="39" spans="1:58">
      <c r="F39" s="1"/>
    </row>
    <row r="40" spans="1:58">
      <c r="F40" s="1"/>
    </row>
    <row r="41" spans="1:58">
      <c r="F41" s="1"/>
    </row>
    <row r="42" spans="1:58">
      <c r="F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796-D6C4-41DF-BB85-D95E6EE6B828}">
  <dimension ref="A1:T42"/>
  <sheetViews>
    <sheetView topLeftCell="A37" zoomScale="115" zoomScaleNormal="115" workbookViewId="0">
      <selection activeCell="AW21" sqref="AW21"/>
    </sheetView>
  </sheetViews>
  <sheetFormatPr defaultRowHeight="1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>
      <c r="A2" s="2">
        <v>167</v>
      </c>
      <c r="B2" s="2">
        <v>128</v>
      </c>
      <c r="C2" s="2">
        <v>41</v>
      </c>
      <c r="D2" s="2">
        <v>48</v>
      </c>
      <c r="E2" s="1">
        <v>6.6690427082967907E-2</v>
      </c>
      <c r="F2" s="1">
        <v>2.1101976845681401E-2</v>
      </c>
      <c r="G2" s="1">
        <v>1.4590330903435899E-2</v>
      </c>
      <c r="H2" s="1">
        <v>2</v>
      </c>
      <c r="I2" s="1">
        <v>7</v>
      </c>
      <c r="J2" s="1">
        <v>21</v>
      </c>
      <c r="K2" s="1">
        <v>48</v>
      </c>
      <c r="L2" s="1">
        <v>94</v>
      </c>
      <c r="M2" s="1">
        <v>175</v>
      </c>
      <c r="O2">
        <v>6.6690427082967907E-2</v>
      </c>
      <c r="P2">
        <v>0.133248401300254</v>
      </c>
      <c r="Q2">
        <v>0.38015251653247001</v>
      </c>
      <c r="R2">
        <v>1.52061006612988</v>
      </c>
      <c r="S2">
        <v>5.4021060724944396</v>
      </c>
      <c r="T2">
        <v>21.608424289977702</v>
      </c>
    </row>
    <row r="3" spans="1:20">
      <c r="A3" s="2">
        <v>6</v>
      </c>
      <c r="B3" s="2">
        <v>128</v>
      </c>
      <c r="C3" s="2">
        <v>80</v>
      </c>
      <c r="D3" s="2">
        <v>90</v>
      </c>
      <c r="E3" s="1">
        <v>3.2720894606666599E-2</v>
      </c>
      <c r="F3" s="1">
        <v>9.1227483137938607E-3</v>
      </c>
      <c r="G3" s="1">
        <v>4.6442476105229497E-3</v>
      </c>
      <c r="H3" s="1">
        <v>0</v>
      </c>
      <c r="I3" s="1">
        <v>3</v>
      </c>
      <c r="J3" s="1">
        <v>12</v>
      </c>
      <c r="K3" s="1">
        <v>39</v>
      </c>
      <c r="L3" s="1">
        <v>92</v>
      </c>
      <c r="M3" s="1">
        <v>290</v>
      </c>
      <c r="P3">
        <v>8.9260472545788797E-2</v>
      </c>
      <c r="Q3">
        <v>0.21052531399194699</v>
      </c>
      <c r="R3">
        <v>0.681053141624687</v>
      </c>
      <c r="S3">
        <v>2.3354235683312199</v>
      </c>
      <c r="T3">
        <v>9.3416942733249098</v>
      </c>
    </row>
    <row r="4" spans="1:20">
      <c r="A4" s="2">
        <v>8</v>
      </c>
      <c r="B4" s="2">
        <v>128</v>
      </c>
      <c r="C4" s="2">
        <v>115</v>
      </c>
      <c r="D4" s="2">
        <v>125</v>
      </c>
      <c r="E4" s="1">
        <v>0.102958874138098</v>
      </c>
      <c r="F4" s="1">
        <v>2.0696188599347499E-2</v>
      </c>
      <c r="G4" s="1">
        <v>4.9617817149442403E-3</v>
      </c>
      <c r="H4" s="1">
        <v>2</v>
      </c>
      <c r="I4" s="1">
        <v>9</v>
      </c>
      <c r="J4" s="1">
        <v>27</v>
      </c>
      <c r="K4" s="1">
        <v>51</v>
      </c>
      <c r="L4" s="1">
        <v>88</v>
      </c>
      <c r="M4" s="1">
        <v>226</v>
      </c>
      <c r="O4">
        <v>0.102958874138098</v>
      </c>
      <c r="P4">
        <v>0.20225829301801401</v>
      </c>
      <c r="Q4">
        <v>0.57222123064548502</v>
      </c>
      <c r="R4">
        <v>1.58984377112502</v>
      </c>
      <c r="S4">
        <v>5.2982242814329599</v>
      </c>
      <c r="T4">
        <v>21.1928971257318</v>
      </c>
    </row>
    <row r="5" spans="1:20">
      <c r="A5" s="2">
        <v>168</v>
      </c>
      <c r="B5" s="2">
        <v>128</v>
      </c>
      <c r="C5" s="2">
        <v>150</v>
      </c>
      <c r="D5" s="2">
        <v>160</v>
      </c>
      <c r="E5" s="1">
        <v>5.6916908128634897E-2</v>
      </c>
      <c r="F5" s="1">
        <v>1.3403884254664799E-2</v>
      </c>
      <c r="G5" s="1">
        <v>6.1567854794913101E-3</v>
      </c>
      <c r="H5" s="1">
        <v>1</v>
      </c>
      <c r="I5" s="1">
        <v>4</v>
      </c>
      <c r="J5" s="1">
        <v>25</v>
      </c>
      <c r="K5" s="1">
        <v>57</v>
      </c>
      <c r="L5" s="1">
        <v>80</v>
      </c>
      <c r="M5" s="1">
        <v>190</v>
      </c>
      <c r="O5">
        <v>2.94733386309321E-2</v>
      </c>
      <c r="P5">
        <v>0.14254293552479599</v>
      </c>
      <c r="Q5">
        <v>0.41515799817105098</v>
      </c>
      <c r="R5">
        <v>1.14519242373997</v>
      </c>
      <c r="S5">
        <v>3.4313943691941899</v>
      </c>
      <c r="T5">
        <v>13.725577476776699</v>
      </c>
    </row>
    <row r="6" spans="1:20">
      <c r="A6" s="2">
        <v>150</v>
      </c>
      <c r="B6" s="2">
        <v>90</v>
      </c>
      <c r="C6" s="2">
        <v>194</v>
      </c>
      <c r="D6" s="2">
        <v>199</v>
      </c>
      <c r="E6" s="1">
        <v>2.9839490319102199E-2</v>
      </c>
      <c r="F6" s="1">
        <v>1.25672034538938E-2</v>
      </c>
      <c r="G6" s="1">
        <v>7.1936607435202499E-3</v>
      </c>
      <c r="H6" s="1">
        <v>0</v>
      </c>
      <c r="I6" s="1">
        <v>3</v>
      </c>
      <c r="J6" s="1">
        <v>16</v>
      </c>
      <c r="K6" s="1">
        <v>30</v>
      </c>
      <c r="L6" s="1">
        <v>67</v>
      </c>
      <c r="M6" s="1">
        <v>159</v>
      </c>
      <c r="P6">
        <v>0.11151705373231099</v>
      </c>
      <c r="Q6">
        <v>0.28058339341278499</v>
      </c>
      <c r="R6">
        <v>0.93699641271564704</v>
      </c>
      <c r="S6">
        <v>3.2172040841968199</v>
      </c>
      <c r="T6">
        <v>12.8688163367872</v>
      </c>
    </row>
    <row r="7" spans="1:20">
      <c r="A7" s="2">
        <v>11</v>
      </c>
      <c r="B7" s="2">
        <v>90</v>
      </c>
      <c r="C7" s="2">
        <v>226</v>
      </c>
      <c r="D7" s="2">
        <v>234</v>
      </c>
      <c r="E7" s="1">
        <v>3.2943793471508102E-2</v>
      </c>
      <c r="F7" s="1">
        <v>1.5043728784366901E-2</v>
      </c>
      <c r="G7" s="1">
        <v>1.92055100945711E-2</v>
      </c>
      <c r="H7" s="1">
        <v>0</v>
      </c>
      <c r="I7" s="1">
        <v>4</v>
      </c>
      <c r="J7" s="1">
        <v>25</v>
      </c>
      <c r="K7" s="1">
        <v>60</v>
      </c>
      <c r="L7" s="1">
        <v>82</v>
      </c>
      <c r="M7" s="1">
        <v>231</v>
      </c>
      <c r="P7">
        <v>0.10035153252080301</v>
      </c>
      <c r="Q7">
        <v>0.34152871625689502</v>
      </c>
      <c r="R7">
        <v>1.1950408200604199</v>
      </c>
      <c r="S7">
        <v>3.8511945687979301</v>
      </c>
      <c r="T7">
        <v>15.404778275191701</v>
      </c>
    </row>
    <row r="8" spans="1:20">
      <c r="A8" s="2">
        <v>22</v>
      </c>
      <c r="B8" s="2">
        <v>90</v>
      </c>
      <c r="C8" s="2">
        <v>265</v>
      </c>
      <c r="D8" s="2">
        <v>275</v>
      </c>
      <c r="E8" s="1">
        <v>3.9947365054969201E-2</v>
      </c>
      <c r="F8" s="1">
        <v>1.16888933720877E-2</v>
      </c>
      <c r="G8" s="1">
        <v>3.39792205613351E-3</v>
      </c>
      <c r="H8" s="1">
        <v>0</v>
      </c>
      <c r="I8" s="1">
        <v>5</v>
      </c>
      <c r="J8" s="1">
        <v>23</v>
      </c>
      <c r="K8" s="1">
        <v>60</v>
      </c>
      <c r="L8" s="1">
        <v>113</v>
      </c>
      <c r="M8" s="1">
        <v>285</v>
      </c>
      <c r="P8">
        <v>0.107289682378139</v>
      </c>
      <c r="Q8">
        <v>0.35852737397942602</v>
      </c>
      <c r="R8">
        <v>0.97487437782099795</v>
      </c>
      <c r="S8">
        <v>2.9923567032544698</v>
      </c>
      <c r="T8">
        <v>11.9694268130179</v>
      </c>
    </row>
    <row r="9" spans="1:20">
      <c r="A9" s="2">
        <v>152</v>
      </c>
      <c r="B9" s="2">
        <v>90</v>
      </c>
      <c r="C9" s="2">
        <v>310</v>
      </c>
      <c r="D9" s="2">
        <v>320</v>
      </c>
      <c r="E9" s="1">
        <v>6.5501629557648697E-2</v>
      </c>
      <c r="F9" s="1">
        <v>1.51997739662497E-2</v>
      </c>
      <c r="G9" s="1">
        <v>5.3852609769233202E-3</v>
      </c>
      <c r="H9" s="1">
        <v>2</v>
      </c>
      <c r="I9" s="1">
        <v>8</v>
      </c>
      <c r="J9" s="1">
        <v>26</v>
      </c>
      <c r="K9" s="1">
        <v>44</v>
      </c>
      <c r="L9" s="1">
        <v>110</v>
      </c>
      <c r="M9" s="1">
        <v>293</v>
      </c>
      <c r="O9">
        <v>6.0973715406615503E-2</v>
      </c>
      <c r="P9">
        <v>0.175696805390364</v>
      </c>
      <c r="Q9">
        <v>0.476926097241889</v>
      </c>
      <c r="R9">
        <v>1.6471964412268101</v>
      </c>
      <c r="S9">
        <v>3.8911421353599298</v>
      </c>
      <c r="T9">
        <v>15.5645685414397</v>
      </c>
    </row>
    <row r="10" spans="1:20">
      <c r="A10" s="2">
        <v>12</v>
      </c>
      <c r="B10" s="2">
        <v>64</v>
      </c>
      <c r="C10" s="2">
        <v>357</v>
      </c>
      <c r="D10" s="2">
        <v>360</v>
      </c>
      <c r="E10" s="1">
        <v>2.83696470737833E-2</v>
      </c>
      <c r="F10" s="1">
        <v>1.48717138836689E-2</v>
      </c>
      <c r="G10" s="1">
        <v>1.3854636629593299E-2</v>
      </c>
      <c r="H10" s="1">
        <v>0</v>
      </c>
      <c r="I10" s="1">
        <v>5</v>
      </c>
      <c r="J10" s="1">
        <v>9</v>
      </c>
      <c r="K10" s="1">
        <v>23</v>
      </c>
      <c r="L10" s="1">
        <v>42</v>
      </c>
      <c r="M10" s="1">
        <v>93</v>
      </c>
      <c r="P10">
        <v>9.8286328832509595E-2</v>
      </c>
      <c r="Q10">
        <v>0.299087575109173</v>
      </c>
      <c r="R10">
        <v>0.95178968855481305</v>
      </c>
      <c r="S10">
        <v>3.80715875421925</v>
      </c>
      <c r="T10">
        <v>15.228635016877</v>
      </c>
    </row>
    <row r="11" spans="1:20">
      <c r="A11" s="2">
        <v>96</v>
      </c>
      <c r="B11" s="2">
        <v>64</v>
      </c>
      <c r="C11" s="2">
        <v>392</v>
      </c>
      <c r="D11" s="2">
        <v>400</v>
      </c>
      <c r="E11" s="1">
        <v>6.0918129563253702E-2</v>
      </c>
      <c r="F11" s="1">
        <v>1.2276827648125E-2</v>
      </c>
      <c r="G11" s="1">
        <v>3.2922321007487002E-3</v>
      </c>
      <c r="H11" s="1">
        <v>0</v>
      </c>
      <c r="I11" s="1">
        <v>6</v>
      </c>
      <c r="J11" s="1">
        <v>19</v>
      </c>
      <c r="K11" s="1">
        <v>35</v>
      </c>
      <c r="L11" s="1">
        <v>88</v>
      </c>
      <c r="M11" s="1">
        <v>234</v>
      </c>
      <c r="P11">
        <v>0.165431509232952</v>
      </c>
      <c r="Q11">
        <v>0.385519617534065</v>
      </c>
      <c r="R11">
        <v>1.09197237506292</v>
      </c>
      <c r="S11">
        <v>3.1428678779200201</v>
      </c>
      <c r="T11">
        <v>12.57147151168</v>
      </c>
    </row>
    <row r="12" spans="1:20">
      <c r="A12" s="2">
        <v>101</v>
      </c>
      <c r="B12" s="2">
        <v>64</v>
      </c>
      <c r="C12" s="2">
        <v>432</v>
      </c>
      <c r="D12" s="2">
        <v>438</v>
      </c>
      <c r="E12" s="1">
        <v>1.9146509043753101E-2</v>
      </c>
      <c r="F12" s="1">
        <v>9.5708191698175502E-3</v>
      </c>
      <c r="G12" s="1">
        <v>5.8879008684037896E-3</v>
      </c>
      <c r="H12" s="1">
        <v>0</v>
      </c>
      <c r="I12" s="1">
        <v>3</v>
      </c>
      <c r="J12" s="1">
        <v>11</v>
      </c>
      <c r="K12" s="1">
        <v>33</v>
      </c>
      <c r="L12" s="1">
        <v>83</v>
      </c>
      <c r="M12" s="1">
        <v>193</v>
      </c>
      <c r="P12">
        <v>6.4482186129557001E-2</v>
      </c>
      <c r="Q12">
        <v>0.18720266903365301</v>
      </c>
      <c r="R12">
        <v>0.61253242686832299</v>
      </c>
      <c r="S12">
        <v>2.4501297074732902</v>
      </c>
      <c r="T12">
        <v>9.8005188298931696</v>
      </c>
    </row>
    <row r="13" spans="1:20">
      <c r="A13" s="2">
        <v>24</v>
      </c>
      <c r="B13" s="2">
        <v>64</v>
      </c>
      <c r="C13" s="2">
        <v>468</v>
      </c>
      <c r="D13" s="2">
        <v>478</v>
      </c>
      <c r="E13" s="1">
        <v>6.70933941784113E-2</v>
      </c>
      <c r="F13" s="1">
        <v>1.04602465194444E-2</v>
      </c>
      <c r="G13" s="1">
        <v>3.8270467938784801E-3</v>
      </c>
      <c r="H13" s="1">
        <v>1</v>
      </c>
      <c r="I13" s="1">
        <v>6</v>
      </c>
      <c r="J13" s="1">
        <v>14</v>
      </c>
      <c r="K13" s="1">
        <v>32</v>
      </c>
      <c r="L13" s="1">
        <v>76</v>
      </c>
      <c r="M13" s="1">
        <v>299</v>
      </c>
      <c r="O13">
        <v>6.70933941784113E-2</v>
      </c>
      <c r="P13">
        <v>0.15850583255829701</v>
      </c>
      <c r="Q13">
        <v>0.38342692437070802</v>
      </c>
      <c r="R13">
        <v>0.96856306042927298</v>
      </c>
      <c r="S13">
        <v>2.67782310897777</v>
      </c>
      <c r="T13">
        <v>10.711292435911099</v>
      </c>
    </row>
    <row r="14" spans="1:20">
      <c r="A14" s="2">
        <v>107</v>
      </c>
      <c r="B14" s="2">
        <v>45</v>
      </c>
      <c r="C14" s="2">
        <v>515</v>
      </c>
      <c r="D14" s="2">
        <v>520</v>
      </c>
      <c r="E14" s="1">
        <v>1.7649864163778801E-2</v>
      </c>
      <c r="F14" s="1">
        <v>9.2170786870176599E-3</v>
      </c>
      <c r="G14" s="1">
        <v>9.3140280254785501E-3</v>
      </c>
      <c r="H14" s="1">
        <v>0</v>
      </c>
      <c r="I14" s="1">
        <v>1</v>
      </c>
      <c r="J14" s="1">
        <v>10</v>
      </c>
      <c r="K14" s="1">
        <v>20</v>
      </c>
      <c r="L14" s="1">
        <v>57</v>
      </c>
      <c r="M14" s="1">
        <v>163</v>
      </c>
      <c r="P14">
        <v>7.0599456655115495E-2</v>
      </c>
      <c r="Q14">
        <v>0.20033826045176201</v>
      </c>
      <c r="R14">
        <v>0.67505961873673903</v>
      </c>
      <c r="S14">
        <v>2.35957214387652</v>
      </c>
      <c r="T14">
        <v>9.4382885755060908</v>
      </c>
    </row>
    <row r="15" spans="1:20">
      <c r="A15" s="2">
        <v>162</v>
      </c>
      <c r="B15" s="2">
        <v>45</v>
      </c>
      <c r="C15" s="2">
        <v>550</v>
      </c>
      <c r="D15" s="2">
        <v>560</v>
      </c>
      <c r="E15" s="1">
        <v>1.43127986674233E-2</v>
      </c>
      <c r="F15" s="1">
        <v>5.8483206340073498E-3</v>
      </c>
      <c r="G15" s="1">
        <v>3.3522892183026902E-3</v>
      </c>
      <c r="H15" s="1">
        <v>0</v>
      </c>
      <c r="I15" s="1">
        <v>0</v>
      </c>
      <c r="J15" s="1">
        <v>10</v>
      </c>
      <c r="K15" s="1">
        <v>33</v>
      </c>
      <c r="L15" s="1">
        <v>91</v>
      </c>
      <c r="M15" s="1">
        <v>330</v>
      </c>
      <c r="Q15">
        <v>0.17392306767325499</v>
      </c>
      <c r="R15">
        <v>0.54319403345483996</v>
      </c>
      <c r="S15">
        <v>1.49717008230588</v>
      </c>
      <c r="T15">
        <v>5.98868032922352</v>
      </c>
    </row>
    <row r="16" spans="1:20">
      <c r="A16" s="2">
        <v>159</v>
      </c>
      <c r="B16" s="2">
        <v>45</v>
      </c>
      <c r="C16" s="2">
        <v>595</v>
      </c>
      <c r="D16" s="2">
        <v>610</v>
      </c>
      <c r="E16" s="1">
        <v>6.98029244464741E-3</v>
      </c>
      <c r="F16" s="1">
        <v>3.1768296735807198E-3</v>
      </c>
      <c r="G16" s="1">
        <v>2.91375323254296E-3</v>
      </c>
      <c r="H16" s="1">
        <v>0</v>
      </c>
      <c r="I16" s="1">
        <v>0</v>
      </c>
      <c r="J16" s="1">
        <v>1</v>
      </c>
      <c r="K16" s="1">
        <v>13</v>
      </c>
      <c r="L16" s="1">
        <v>110</v>
      </c>
      <c r="M16" s="1">
        <v>462</v>
      </c>
      <c r="Q16">
        <v>7.8222474176770904E-2</v>
      </c>
      <c r="R16">
        <v>0.26270868021346999</v>
      </c>
      <c r="S16">
        <v>0.81326839643666604</v>
      </c>
      <c r="T16">
        <v>3.2530735857466602</v>
      </c>
    </row>
    <row r="17" spans="1:20">
      <c r="A17" s="2">
        <v>35</v>
      </c>
      <c r="B17" s="2">
        <v>45</v>
      </c>
      <c r="C17" s="2">
        <v>642</v>
      </c>
      <c r="D17" s="2">
        <v>648</v>
      </c>
      <c r="E17" s="1">
        <v>1.41915603937014E-2</v>
      </c>
      <c r="F17" s="1">
        <v>6.0109108820433996E-3</v>
      </c>
      <c r="G17" s="1">
        <v>4.0407697373771598E-3</v>
      </c>
      <c r="H17" s="1">
        <v>0</v>
      </c>
      <c r="I17" s="1">
        <v>1</v>
      </c>
      <c r="J17" s="1">
        <v>5</v>
      </c>
      <c r="K17" s="1">
        <v>20</v>
      </c>
      <c r="L17" s="1">
        <v>66</v>
      </c>
      <c r="M17" s="1">
        <v>198</v>
      </c>
      <c r="P17">
        <v>5.6766241574805601E-2</v>
      </c>
      <c r="Q17">
        <v>0.185199094420121</v>
      </c>
      <c r="R17">
        <v>0.47432226673671202</v>
      </c>
      <c r="S17">
        <v>1.5387931858031101</v>
      </c>
      <c r="T17">
        <v>6.1551727432124403</v>
      </c>
    </row>
    <row r="18" spans="1:20">
      <c r="A18" s="2">
        <v>69</v>
      </c>
      <c r="B18" s="2">
        <v>32</v>
      </c>
      <c r="C18" s="2">
        <v>685</v>
      </c>
      <c r="D18" s="2">
        <v>689</v>
      </c>
      <c r="E18" s="1">
        <v>6.9445741567009597E-3</v>
      </c>
      <c r="F18" s="1">
        <v>4.6291546972474602E-3</v>
      </c>
      <c r="G18" s="1">
        <v>4.3660606068748201E-3</v>
      </c>
      <c r="H18" s="1">
        <v>0</v>
      </c>
      <c r="I18" s="1">
        <v>0</v>
      </c>
      <c r="J18" s="1">
        <v>2</v>
      </c>
      <c r="K18" s="1">
        <v>12</v>
      </c>
      <c r="L18" s="1">
        <v>44</v>
      </c>
      <c r="M18" s="1">
        <v>142</v>
      </c>
      <c r="Q18">
        <v>0.11111318650721499</v>
      </c>
      <c r="R18">
        <v>0.33379571607651398</v>
      </c>
      <c r="S18">
        <v>1.18506360249534</v>
      </c>
      <c r="T18">
        <v>4.7402544099813904</v>
      </c>
    </row>
    <row r="19" spans="1:20">
      <c r="A19" s="2">
        <v>85</v>
      </c>
      <c r="B19" s="2">
        <v>32</v>
      </c>
      <c r="C19" s="2">
        <v>730</v>
      </c>
      <c r="D19" s="2">
        <v>736</v>
      </c>
      <c r="E19" s="1">
        <v>7.2106074248904301E-3</v>
      </c>
      <c r="F19" s="1">
        <v>4.3107025126815799E-3</v>
      </c>
      <c r="G19" s="1">
        <v>3.2147255156120698E-3</v>
      </c>
      <c r="H19" s="1">
        <v>0</v>
      </c>
      <c r="I19" s="1">
        <v>0</v>
      </c>
      <c r="J19" s="1">
        <v>2</v>
      </c>
      <c r="K19" s="1">
        <v>20</v>
      </c>
      <c r="L19" s="1">
        <v>56</v>
      </c>
      <c r="M19" s="1">
        <v>221</v>
      </c>
      <c r="Q19">
        <v>0.10555265781537999</v>
      </c>
      <c r="R19">
        <v>0.29612036348347698</v>
      </c>
      <c r="S19">
        <v>1.10353984324648</v>
      </c>
      <c r="T19">
        <v>4.4141593729859396</v>
      </c>
    </row>
    <row r="20" spans="1:20">
      <c r="A20" s="2">
        <v>61</v>
      </c>
      <c r="B20" s="2">
        <v>32</v>
      </c>
      <c r="C20" s="2">
        <v>782</v>
      </c>
      <c r="D20" s="2">
        <v>788</v>
      </c>
      <c r="E20" s="1">
        <v>1.56214487292647E-2</v>
      </c>
      <c r="F20" s="1">
        <v>5.2662949576556001E-3</v>
      </c>
      <c r="G20" s="1">
        <v>2.72445890625286E-3</v>
      </c>
      <c r="H20" s="1">
        <v>0</v>
      </c>
      <c r="I20" s="1">
        <v>0</v>
      </c>
      <c r="J20" s="1">
        <v>7</v>
      </c>
      <c r="K20" s="1">
        <v>15</v>
      </c>
      <c r="L20" s="1">
        <v>64</v>
      </c>
      <c r="M20" s="1">
        <v>195</v>
      </c>
      <c r="Q20">
        <v>0.16346172879229001</v>
      </c>
      <c r="R20">
        <v>0.58276981574497899</v>
      </c>
      <c r="S20">
        <v>1.3481715091598301</v>
      </c>
      <c r="T20">
        <v>5.3926860366393399</v>
      </c>
    </row>
    <row r="21" spans="1:20">
      <c r="A21" s="2">
        <v>52</v>
      </c>
      <c r="B21" s="2">
        <v>32</v>
      </c>
      <c r="C21" s="2">
        <v>820</v>
      </c>
      <c r="D21" s="2">
        <v>825</v>
      </c>
      <c r="E21" s="1">
        <v>1.0312591811044301E-2</v>
      </c>
      <c r="F21" s="1">
        <v>5.5926120027780602E-3</v>
      </c>
      <c r="G21" s="1">
        <v>4.7824857373505204E-3</v>
      </c>
      <c r="H21" s="1">
        <v>0</v>
      </c>
      <c r="I21" s="1">
        <v>0</v>
      </c>
      <c r="J21" s="1">
        <v>6</v>
      </c>
      <c r="K21" s="1">
        <v>17</v>
      </c>
      <c r="L21" s="1">
        <v>63</v>
      </c>
      <c r="M21" s="1">
        <v>169</v>
      </c>
      <c r="Q21">
        <v>0.12586856113637501</v>
      </c>
      <c r="R21">
        <v>0.39446622668390502</v>
      </c>
      <c r="S21">
        <v>1.4317086727111801</v>
      </c>
      <c r="T21">
        <v>5.7268346908447398</v>
      </c>
    </row>
    <row r="22" spans="1:20">
      <c r="A22" s="2">
        <v>165</v>
      </c>
      <c r="B22" s="2">
        <v>16</v>
      </c>
      <c r="C22" s="2">
        <v>865</v>
      </c>
      <c r="D22" s="2">
        <v>875</v>
      </c>
      <c r="E22" s="1">
        <v>6.7608710788982004E-3</v>
      </c>
      <c r="F22" s="1">
        <v>3.4367614154589199E-3</v>
      </c>
      <c r="G22" s="1">
        <v>3.2222345316923699E-3</v>
      </c>
      <c r="H22" s="1">
        <v>0</v>
      </c>
      <c r="I22" s="1">
        <v>0</v>
      </c>
      <c r="J22" s="1">
        <v>1</v>
      </c>
      <c r="K22" s="1">
        <v>14</v>
      </c>
      <c r="L22" s="1">
        <v>80</v>
      </c>
      <c r="M22" s="1">
        <v>345</v>
      </c>
      <c r="Q22">
        <v>0.108173937262371</v>
      </c>
      <c r="R22">
        <v>0.26302103771144297</v>
      </c>
      <c r="S22">
        <v>0.87981092235748504</v>
      </c>
      <c r="T22">
        <v>3.5192436894299401</v>
      </c>
    </row>
    <row r="23" spans="1:20">
      <c r="A23" s="2">
        <v>166</v>
      </c>
      <c r="B23" s="2">
        <v>16</v>
      </c>
      <c r="C23" s="2">
        <v>920</v>
      </c>
      <c r="D23" s="2">
        <v>930</v>
      </c>
      <c r="E23" s="1">
        <v>3.4465260726030101E-3</v>
      </c>
      <c r="F23" s="1">
        <v>2.6888150842251301E-3</v>
      </c>
      <c r="G23" s="1">
        <v>2.57278566744263E-3</v>
      </c>
      <c r="H23" s="1">
        <v>0</v>
      </c>
      <c r="I23" s="1">
        <v>0</v>
      </c>
      <c r="J23" s="1">
        <v>0</v>
      </c>
      <c r="K23" s="1">
        <v>5</v>
      </c>
      <c r="L23" s="1">
        <v>43</v>
      </c>
      <c r="M23" s="1">
        <v>348</v>
      </c>
      <c r="R23">
        <v>0.18142026432720901</v>
      </c>
      <c r="S23">
        <v>0.68833666156163398</v>
      </c>
      <c r="T23">
        <v>2.7533466462465301</v>
      </c>
    </row>
    <row r="24" spans="1:20">
      <c r="A24" s="2">
        <v>53</v>
      </c>
      <c r="B24" s="2">
        <v>22.6</v>
      </c>
      <c r="C24" s="2">
        <v>970</v>
      </c>
      <c r="D24" s="2">
        <v>985</v>
      </c>
      <c r="E24" s="1">
        <v>3.4421994274184999E-3</v>
      </c>
      <c r="F24" s="1">
        <v>2.4023949183714101E-3</v>
      </c>
      <c r="G24" s="1">
        <v>2.2444220975986898E-3</v>
      </c>
      <c r="H24" s="1">
        <v>0</v>
      </c>
      <c r="I24" s="1">
        <v>0</v>
      </c>
      <c r="J24" s="1">
        <v>0</v>
      </c>
      <c r="K24" s="1">
        <v>1</v>
      </c>
      <c r="L24" s="1">
        <v>60</v>
      </c>
      <c r="M24" s="1">
        <v>510</v>
      </c>
      <c r="R24">
        <v>0.21847975293149599</v>
      </c>
      <c r="S24">
        <v>0.64328487628210496</v>
      </c>
      <c r="T24">
        <v>2.4600523964123302</v>
      </c>
    </row>
    <row r="25" spans="1:20">
      <c r="A25" s="2">
        <v>45</v>
      </c>
      <c r="B25" s="2">
        <v>22.6</v>
      </c>
      <c r="C25" s="2">
        <v>1020</v>
      </c>
      <c r="D25" s="2">
        <v>1030</v>
      </c>
      <c r="E25" s="1">
        <v>4.4351695112676698E-3</v>
      </c>
      <c r="F25" s="1">
        <v>3.0116236434756202E-3</v>
      </c>
      <c r="G25" s="1">
        <v>2.9058089666561498E-3</v>
      </c>
      <c r="H25" s="1">
        <v>0</v>
      </c>
      <c r="I25" s="1">
        <v>0</v>
      </c>
      <c r="J25" s="1">
        <v>1</v>
      </c>
      <c r="K25" s="1">
        <v>9</v>
      </c>
      <c r="L25" s="1">
        <v>64</v>
      </c>
      <c r="M25" s="1">
        <v>340</v>
      </c>
      <c r="Q25">
        <v>7.09627121802828E-2</v>
      </c>
      <c r="R25">
        <v>0.23087973266339301</v>
      </c>
      <c r="S25">
        <v>0.77097565272975999</v>
      </c>
      <c r="T25">
        <v>3.0839026109190399</v>
      </c>
    </row>
    <row r="26" spans="1:20">
      <c r="A26" s="3">
        <v>1.1000000000000001</v>
      </c>
      <c r="B26" s="3">
        <v>32</v>
      </c>
      <c r="C26" s="4">
        <v>50</v>
      </c>
      <c r="D26" s="4">
        <v>70</v>
      </c>
      <c r="E26" s="1">
        <v>8.9091988856975293E-3</v>
      </c>
      <c r="F26" s="1">
        <v>3.6147518972306099E-3</v>
      </c>
      <c r="G26" s="1">
        <v>2.9716374894554099E-3</v>
      </c>
      <c r="H26" s="1">
        <v>0</v>
      </c>
      <c r="I26" s="1">
        <v>0</v>
      </c>
      <c r="J26" s="1">
        <v>5</v>
      </c>
      <c r="K26" s="1">
        <v>25</v>
      </c>
      <c r="L26" s="1">
        <v>163</v>
      </c>
      <c r="M26" s="1">
        <v>619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>
      <c r="A27" s="3">
        <v>1.2</v>
      </c>
      <c r="B27" s="3">
        <v>32</v>
      </c>
      <c r="C27" s="4">
        <v>70</v>
      </c>
      <c r="D27" s="4">
        <v>90</v>
      </c>
      <c r="E27" s="1">
        <v>6.9292715613829001E-3</v>
      </c>
      <c r="F27" s="1">
        <v>3.06887736670908E-3</v>
      </c>
      <c r="G27" s="1">
        <v>2.6196408724870799E-3</v>
      </c>
      <c r="H27" s="1">
        <v>0</v>
      </c>
      <c r="I27" s="1">
        <v>0</v>
      </c>
      <c r="J27" s="1">
        <v>1</v>
      </c>
      <c r="K27" s="1">
        <v>18</v>
      </c>
      <c r="L27" s="1">
        <v>130</v>
      </c>
      <c r="M27" s="1">
        <v>632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>
      <c r="A28" s="3">
        <v>1.3</v>
      </c>
      <c r="B28" s="3">
        <v>32</v>
      </c>
      <c r="C28" s="4">
        <v>90</v>
      </c>
      <c r="D28" s="4">
        <v>100</v>
      </c>
      <c r="E28" s="1">
        <v>1.47385896428894E-2</v>
      </c>
      <c r="F28" s="1">
        <v>5.8173175175506697E-3</v>
      </c>
      <c r="G28" s="1">
        <v>3.9062453901120798E-3</v>
      </c>
      <c r="H28" s="1">
        <v>0</v>
      </c>
      <c r="I28" s="1">
        <v>1</v>
      </c>
      <c r="J28" s="1">
        <v>5</v>
      </c>
      <c r="K28" s="1">
        <v>31</v>
      </c>
      <c r="L28" s="1">
        <v>132</v>
      </c>
      <c r="M28" s="1">
        <v>313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>
      <c r="A29" s="3">
        <v>2.1</v>
      </c>
      <c r="B29" s="3">
        <v>45</v>
      </c>
      <c r="C29" s="4">
        <v>120</v>
      </c>
      <c r="D29" s="4">
        <v>140</v>
      </c>
      <c r="E29" s="1">
        <v>2.25186870565936E-2</v>
      </c>
      <c r="F29" s="1">
        <v>4.9991354160188201E-3</v>
      </c>
      <c r="G29" s="1">
        <v>2.5500654296637401E-3</v>
      </c>
      <c r="H29" s="1">
        <v>0</v>
      </c>
      <c r="I29" s="1">
        <v>2</v>
      </c>
      <c r="J29" s="1">
        <v>10</v>
      </c>
      <c r="K29" s="1">
        <v>46</v>
      </c>
      <c r="L29" s="1">
        <v>151</v>
      </c>
      <c r="M29" s="1">
        <v>608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>
      <c r="A30" s="3">
        <v>2.2000000000000002</v>
      </c>
      <c r="B30" s="3">
        <v>45</v>
      </c>
      <c r="C30" s="4">
        <v>140</v>
      </c>
      <c r="D30" s="4">
        <v>155</v>
      </c>
      <c r="E30" s="1">
        <v>1.5294867364859001E-2</v>
      </c>
      <c r="F30" s="1">
        <v>4.1484743534522797E-3</v>
      </c>
      <c r="G30" s="1">
        <v>2.71426964444654E-3</v>
      </c>
      <c r="H30" s="1">
        <v>0</v>
      </c>
      <c r="I30" s="1">
        <v>1</v>
      </c>
      <c r="J30" s="1">
        <v>5</v>
      </c>
      <c r="K30" s="1">
        <v>18</v>
      </c>
      <c r="L30" s="1">
        <v>102</v>
      </c>
      <c r="M30" s="1">
        <v>452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>
      <c r="A31" s="3">
        <v>2.2999999999999998</v>
      </c>
      <c r="B31" s="3">
        <v>45</v>
      </c>
      <c r="C31" s="4">
        <v>160</v>
      </c>
      <c r="D31" s="4">
        <v>170</v>
      </c>
      <c r="E31" s="1">
        <v>1.2363766214190001E-2</v>
      </c>
      <c r="F31" s="1">
        <v>4.8242966278930601E-3</v>
      </c>
      <c r="G31" s="1">
        <v>3.40743614970838E-3</v>
      </c>
      <c r="H31" s="1">
        <v>0</v>
      </c>
      <c r="I31" s="1">
        <v>0</v>
      </c>
      <c r="J31" s="1">
        <v>5</v>
      </c>
      <c r="K31" s="1">
        <v>25</v>
      </c>
      <c r="L31" s="1">
        <v>106</v>
      </c>
      <c r="M31" s="1">
        <v>304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>
      <c r="A32" s="3">
        <v>3.1</v>
      </c>
      <c r="B32" s="3">
        <v>64</v>
      </c>
      <c r="C32" s="4">
        <v>190</v>
      </c>
      <c r="D32" s="4">
        <v>210</v>
      </c>
      <c r="E32" s="1">
        <v>8.0927843677502997E-2</v>
      </c>
      <c r="F32" s="1">
        <v>9.6924269597843098E-3</v>
      </c>
      <c r="G32" s="1">
        <v>2.8688076768947999E-3</v>
      </c>
      <c r="H32" s="1">
        <v>2</v>
      </c>
      <c r="I32" s="1">
        <v>7</v>
      </c>
      <c r="J32" s="1">
        <v>28</v>
      </c>
      <c r="K32" s="1">
        <v>64</v>
      </c>
      <c r="L32" s="1">
        <v>172</v>
      </c>
      <c r="M32" s="1">
        <v>583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>
      <c r="A33" s="3">
        <v>3.2</v>
      </c>
      <c r="B33" s="3">
        <v>64</v>
      </c>
      <c r="C33" s="4">
        <v>215</v>
      </c>
      <c r="D33" s="4">
        <v>230</v>
      </c>
      <c r="E33" s="1">
        <v>3.2770825255961797E-2</v>
      </c>
      <c r="F33" s="1">
        <v>8.7537882953942596E-3</v>
      </c>
      <c r="G33" s="1">
        <v>2.9094480124794301E-3</v>
      </c>
      <c r="H33" s="1">
        <v>0</v>
      </c>
      <c r="I33" s="1">
        <v>4</v>
      </c>
      <c r="J33" s="1">
        <v>25</v>
      </c>
      <c r="K33" s="1">
        <v>62</v>
      </c>
      <c r="L33" s="1">
        <v>164</v>
      </c>
      <c r="M33" s="1">
        <v>454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>
      <c r="A34" s="3">
        <v>3.3</v>
      </c>
      <c r="B34" s="3">
        <v>64</v>
      </c>
      <c r="C34" s="4">
        <v>230</v>
      </c>
      <c r="D34" s="4">
        <v>250</v>
      </c>
      <c r="E34" s="1">
        <v>3.2088032772466697E-2</v>
      </c>
      <c r="F34" s="1">
        <v>6.2761382895869904E-3</v>
      </c>
      <c r="G34" s="1">
        <v>2.7927222762546698E-3</v>
      </c>
      <c r="H34" s="1">
        <v>0</v>
      </c>
      <c r="I34" s="1">
        <v>3</v>
      </c>
      <c r="J34" s="1">
        <v>17</v>
      </c>
      <c r="K34" s="1">
        <v>48</v>
      </c>
      <c r="L34" s="1">
        <v>181</v>
      </c>
      <c r="M34" s="1">
        <v>623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>
      <c r="A35" s="3">
        <v>4.0999999999999996</v>
      </c>
      <c r="B35" s="3">
        <v>90</v>
      </c>
      <c r="C35" s="4">
        <v>270</v>
      </c>
      <c r="D35" s="4">
        <v>285</v>
      </c>
      <c r="E35" s="1">
        <v>6.1720310731501603E-2</v>
      </c>
      <c r="F35" s="1">
        <v>1.87261826932381E-2</v>
      </c>
      <c r="G35" s="1">
        <v>6.0760171082971503E-3</v>
      </c>
      <c r="H35" s="1">
        <v>1</v>
      </c>
      <c r="I35" s="1">
        <v>14</v>
      </c>
      <c r="J35" s="1">
        <v>55</v>
      </c>
      <c r="K35" s="1">
        <v>111</v>
      </c>
      <c r="L35" s="1">
        <v>177</v>
      </c>
      <c r="M35" s="1">
        <v>396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>
      <c r="A36" s="3">
        <v>4.2</v>
      </c>
      <c r="B36" s="3">
        <v>90</v>
      </c>
      <c r="C36" s="4">
        <v>290</v>
      </c>
      <c r="D36" s="4">
        <v>310</v>
      </c>
      <c r="E36" s="1">
        <v>2.65212075258889E-2</v>
      </c>
      <c r="F36" s="1">
        <v>6.34952484332985E-3</v>
      </c>
      <c r="G36" s="1">
        <v>3.99861834458933E-3</v>
      </c>
      <c r="H36" s="1">
        <v>0</v>
      </c>
      <c r="I36" s="1">
        <v>3</v>
      </c>
      <c r="J36" s="1">
        <v>14</v>
      </c>
      <c r="K36" s="1">
        <v>69</v>
      </c>
      <c r="L36" s="1">
        <v>203</v>
      </c>
      <c r="M36" s="1">
        <v>560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>
      <c r="A37" s="3">
        <v>4.3</v>
      </c>
      <c r="B37" s="3">
        <v>90</v>
      </c>
      <c r="C37" s="4">
        <v>310</v>
      </c>
      <c r="D37" s="4">
        <v>330</v>
      </c>
      <c r="E37" s="1">
        <v>4.1473368558109097E-2</v>
      </c>
      <c r="F37" s="1">
        <v>9.8834123353064001E-3</v>
      </c>
      <c r="G37" s="1">
        <v>5.9211829709309204E-3</v>
      </c>
      <c r="H37" s="1">
        <v>0</v>
      </c>
      <c r="I37" s="1">
        <v>6</v>
      </c>
      <c r="J37" s="1">
        <v>34</v>
      </c>
      <c r="K37" s="1">
        <v>95</v>
      </c>
      <c r="L37" s="1">
        <v>226</v>
      </c>
      <c r="M37" s="1">
        <v>594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>
      <c r="F38" s="1"/>
    </row>
    <row r="39" spans="1:20">
      <c r="F39" s="1"/>
    </row>
    <row r="40" spans="1:20">
      <c r="F40" s="1"/>
    </row>
    <row r="41" spans="1:20">
      <c r="F41" s="1"/>
    </row>
    <row r="42" spans="1:20">
      <c r="F4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51C-0832-4187-ACFD-287EA715E1F0}">
  <dimension ref="A1:CN52"/>
  <sheetViews>
    <sheetView tabSelected="1" zoomScaleNormal="100" workbookViewId="0">
      <selection activeCell="O13" sqref="O13"/>
    </sheetView>
  </sheetViews>
  <sheetFormatPr defaultRowHeight="15"/>
  <cols>
    <col min="1" max="1" width="12.5703125" customWidth="1"/>
    <col min="2" max="2" width="12.7109375" customWidth="1"/>
    <col min="3" max="3" width="13.28515625" customWidth="1"/>
    <col min="4" max="4" width="14.42578125" customWidth="1"/>
    <col min="5" max="5" width="12.7109375" customWidth="1"/>
    <col min="6" max="6" width="13" customWidth="1"/>
    <col min="7" max="7" width="10.5703125" customWidth="1"/>
    <col min="9" max="9" width="13.42578125" customWidth="1"/>
    <col min="10" max="10" width="13.7109375" customWidth="1"/>
    <col min="11" max="11" width="13.42578125" customWidth="1"/>
    <col min="12" max="12" width="12.7109375" customWidth="1"/>
    <col min="13" max="13" width="12.28515625" customWidth="1"/>
    <col min="14" max="14" width="12.140625" customWidth="1"/>
    <col min="15" max="15" width="11.28515625" customWidth="1"/>
    <col min="16" max="16" width="11.7109375" customWidth="1"/>
    <col min="17" max="17" width="11.140625" customWidth="1"/>
    <col min="18" max="18" width="10.42578125" customWidth="1"/>
    <col min="20" max="20" width="12" customWidth="1"/>
    <col min="21" max="21" width="11.7109375" customWidth="1"/>
    <col min="22" max="22" width="12.42578125" customWidth="1"/>
    <col min="23" max="23" width="11.5703125" customWidth="1"/>
    <col min="24" max="24" width="11.85546875" customWidth="1"/>
    <col min="25" max="25" width="12.28515625" customWidth="1"/>
    <col min="27" max="27" width="15.7109375" customWidth="1"/>
    <col min="28" max="28" width="14.140625" customWidth="1"/>
    <col min="29" max="29" width="14.5703125" customWidth="1"/>
    <col min="30" max="30" width="13.7109375" customWidth="1"/>
    <col min="31" max="31" width="12.28515625" customWidth="1"/>
    <col min="32" max="32" width="14.85546875" customWidth="1"/>
    <col min="36" max="36" width="11.5703125" bestFit="1" customWidth="1"/>
    <col min="38" max="38" width="10.140625" customWidth="1"/>
  </cols>
  <sheetData>
    <row r="1" spans="1:50">
      <c r="A1" t="s">
        <v>61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/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/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P1" s="1" t="s">
        <v>130</v>
      </c>
      <c r="AQ1" s="51" t="s">
        <v>131</v>
      </c>
      <c r="AR1" s="51"/>
      <c r="AS1" s="51" t="s">
        <v>47</v>
      </c>
      <c r="AT1" s="51"/>
      <c r="AU1" s="51"/>
      <c r="AV1" s="51"/>
      <c r="AW1" s="51"/>
      <c r="AX1" s="51"/>
    </row>
    <row r="2" spans="1:50">
      <c r="A2" s="1" t="s">
        <v>68</v>
      </c>
      <c r="B2" s="12">
        <v>479.999977324263</v>
      </c>
      <c r="C2" s="13">
        <v>0.21698840087687299</v>
      </c>
      <c r="D2" s="13">
        <v>6.9417065E-2</v>
      </c>
      <c r="E2" s="13">
        <v>5.3667272000000002E-2</v>
      </c>
      <c r="F2" s="13">
        <f t="shared" ref="F2:K6" si="0">AH2/$B2</f>
        <v>0.22083334376574756</v>
      </c>
      <c r="G2" s="13">
        <f t="shared" si="0"/>
        <v>8.7479170799280563</v>
      </c>
      <c r="H2" s="13">
        <f t="shared" si="0"/>
        <v>80.606253807929605</v>
      </c>
      <c r="I2" s="13">
        <f t="shared" si="0"/>
        <v>167.91875793266999</v>
      </c>
      <c r="J2" s="13">
        <f t="shared" si="0"/>
        <v>148.08334032895601</v>
      </c>
      <c r="K2" s="13">
        <f t="shared" si="0"/>
        <v>47.883335595395678</v>
      </c>
      <c r="L2" s="1"/>
      <c r="M2" s="13">
        <v>0.120912157052691</v>
      </c>
      <c r="N2" s="13">
        <v>0.33180424301834099</v>
      </c>
      <c r="O2" s="13">
        <v>1.1106730436618699</v>
      </c>
      <c r="P2" s="13">
        <v>4.4426921746474797</v>
      </c>
      <c r="Q2" s="13">
        <v>17.770768698589901</v>
      </c>
      <c r="R2" s="13">
        <v>71.083074794359803</v>
      </c>
      <c r="S2" s="13"/>
      <c r="T2">
        <v>0.21698840087687299</v>
      </c>
      <c r="U2">
        <v>0.86795360350749196</v>
      </c>
      <c r="V2">
        <v>3.47181441402997</v>
      </c>
      <c r="W2">
        <v>13.8872576561198</v>
      </c>
      <c r="X2">
        <v>55.549030624479499</v>
      </c>
      <c r="Y2">
        <v>222.196122497918</v>
      </c>
      <c r="AA2" s="13">
        <v>0.118359313673794</v>
      </c>
      <c r="AB2" s="13">
        <v>0.30693782510638401</v>
      </c>
      <c r="AC2" s="13">
        <v>0.85867635779576901</v>
      </c>
      <c r="AD2" s="13">
        <v>3.4347054311830698</v>
      </c>
      <c r="AE2" s="13">
        <v>13.738821724732301</v>
      </c>
      <c r="AF2" s="13">
        <v>54.955286898929202</v>
      </c>
      <c r="AH2" s="1">
        <v>106</v>
      </c>
      <c r="AI2" s="1">
        <v>4199</v>
      </c>
      <c r="AJ2" s="1">
        <v>38691</v>
      </c>
      <c r="AK2" s="1">
        <v>80601</v>
      </c>
      <c r="AL2" s="1">
        <v>71080</v>
      </c>
      <c r="AM2" s="1">
        <v>22984</v>
      </c>
      <c r="AP2" s="1"/>
      <c r="AQ2" s="43" t="s">
        <v>132</v>
      </c>
      <c r="AR2" s="1" t="s">
        <v>133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</row>
    <row r="3" spans="1:50">
      <c r="A3" s="1" t="s">
        <v>69</v>
      </c>
      <c r="B3" s="12">
        <v>49.999977324263</v>
      </c>
      <c r="C3" s="13">
        <v>0.103785400341108</v>
      </c>
      <c r="D3" s="13">
        <v>9.3097685505032102E-3</v>
      </c>
      <c r="E3" s="13">
        <v>2.6623638531804101E-3</v>
      </c>
      <c r="F3" s="13">
        <f t="shared" si="0"/>
        <v>0.1400000634920924</v>
      </c>
      <c r="G3" s="13">
        <f t="shared" si="0"/>
        <v>0.64000029024956528</v>
      </c>
      <c r="H3" s="13">
        <f t="shared" si="0"/>
        <v>2.9600013424042393</v>
      </c>
      <c r="I3" s="13">
        <f t="shared" si="0"/>
        <v>9.5000043083919845</v>
      </c>
      <c r="J3" s="13">
        <f t="shared" si="0"/>
        <v>37.660017079372857</v>
      </c>
      <c r="K3" s="13">
        <f t="shared" si="0"/>
        <v>117.32005320637343</v>
      </c>
      <c r="L3" s="1"/>
      <c r="M3" s="13">
        <v>8.7491372398812203E-2</v>
      </c>
      <c r="N3" s="13">
        <v>0.209281252002183</v>
      </c>
      <c r="O3" s="13">
        <v>0.53107420883976697</v>
      </c>
      <c r="P3" s="13">
        <v>1.1427850401592301</v>
      </c>
      <c r="Q3" s="13">
        <v>2.42627671242104</v>
      </c>
      <c r="R3" s="13">
        <v>9.5332029957152908</v>
      </c>
      <c r="S3" s="13"/>
      <c r="T3">
        <v>0.103785400341108</v>
      </c>
      <c r="U3">
        <v>0.41514160136443401</v>
      </c>
      <c r="V3">
        <v>1.66056640545773</v>
      </c>
      <c r="W3">
        <v>6.6422656218309504</v>
      </c>
      <c r="X3">
        <v>26.569062487323801</v>
      </c>
      <c r="Y3">
        <v>106.27624994929501</v>
      </c>
      <c r="AA3" s="13">
        <v>0.103757048244818</v>
      </c>
      <c r="AB3" s="13">
        <v>0.14698858143442201</v>
      </c>
      <c r="AC3" s="13">
        <v>0.24910673933583599</v>
      </c>
      <c r="AD3" s="13">
        <v>0.37211833067852301</v>
      </c>
      <c r="AE3" s="13">
        <v>0.69718753395348498</v>
      </c>
      <c r="AF3" s="13">
        <v>2.7262605856567399</v>
      </c>
      <c r="AH3" s="1">
        <v>7</v>
      </c>
      <c r="AI3" s="1">
        <v>32</v>
      </c>
      <c r="AJ3" s="1">
        <v>148</v>
      </c>
      <c r="AK3" s="1">
        <v>475</v>
      </c>
      <c r="AL3" s="1">
        <v>1883</v>
      </c>
      <c r="AM3" s="1">
        <v>5866</v>
      </c>
      <c r="AP3" s="1" t="s">
        <v>134</v>
      </c>
      <c r="AQ3" s="44">
        <f>E46</f>
        <v>29.175457341110487</v>
      </c>
      <c r="AR3" s="16">
        <f>K46</f>
        <v>46.215463915678441</v>
      </c>
      <c r="AS3" s="16">
        <f>R46</f>
        <v>221.90026591919485</v>
      </c>
      <c r="AT3" s="16">
        <f>Y46</f>
        <v>65.131417703744205</v>
      </c>
      <c r="AU3" s="16">
        <f>AE46</f>
        <v>49.047349941565059</v>
      </c>
      <c r="AV3" s="16">
        <f>AL46</f>
        <v>46.323116535475371</v>
      </c>
      <c r="AW3" s="16">
        <f>AU46</f>
        <v>45.754146714834711</v>
      </c>
      <c r="AX3" s="16">
        <f>BC46</f>
        <v>39.693110517649679</v>
      </c>
    </row>
    <row r="4" spans="1:50">
      <c r="A4" s="1" t="s">
        <v>70</v>
      </c>
      <c r="B4" s="12">
        <v>99.999977324263</v>
      </c>
      <c r="C4" s="13">
        <v>1.7343593585544201E-2</v>
      </c>
      <c r="D4" s="13">
        <v>3.7541223526986601E-3</v>
      </c>
      <c r="E4" s="13">
        <v>3.5652204100954199E-3</v>
      </c>
      <c r="F4" s="13">
        <f t="shared" si="0"/>
        <v>0</v>
      </c>
      <c r="G4" s="13">
        <f t="shared" si="0"/>
        <v>3.0000006802722641E-2</v>
      </c>
      <c r="H4" s="13">
        <f t="shared" si="0"/>
        <v>0.17000003854876164</v>
      </c>
      <c r="I4" s="13">
        <f t="shared" si="0"/>
        <v>2.2100005011339015</v>
      </c>
      <c r="J4" s="13">
        <f t="shared" si="0"/>
        <v>29.650006723357546</v>
      </c>
      <c r="K4" s="13">
        <f t="shared" si="0"/>
        <v>148.97003378005306</v>
      </c>
      <c r="L4" s="1"/>
      <c r="M4" s="13"/>
      <c r="N4" s="13">
        <v>4.8899641067386798E-2</v>
      </c>
      <c r="O4" s="13">
        <v>0.137793372793407</v>
      </c>
      <c r="P4" s="13">
        <v>0.30126664954396598</v>
      </c>
      <c r="Q4" s="13">
        <v>0.96105532229085699</v>
      </c>
      <c r="R4" s="13">
        <v>3.84422128916342</v>
      </c>
      <c r="S4" s="13"/>
      <c r="U4">
        <v>6.9374374342176998E-2</v>
      </c>
      <c r="V4">
        <v>0.27749749736870799</v>
      </c>
      <c r="W4">
        <v>1.10998998947483</v>
      </c>
      <c r="X4">
        <v>4.4399599578993296</v>
      </c>
      <c r="Y4">
        <v>17.759839831597301</v>
      </c>
      <c r="AA4" s="13"/>
      <c r="AB4" s="13">
        <v>4.8899641067386798E-2</v>
      </c>
      <c r="AC4" s="13">
        <v>0.11369963117038601</v>
      </c>
      <c r="AD4" s="13">
        <v>0.28479190741614602</v>
      </c>
      <c r="AE4" s="13">
        <v>0.91269642498442904</v>
      </c>
      <c r="AF4" s="13">
        <v>3.65078569993771</v>
      </c>
      <c r="AH4" s="1">
        <v>0</v>
      </c>
      <c r="AI4" s="1">
        <v>3</v>
      </c>
      <c r="AJ4" s="1">
        <v>17</v>
      </c>
      <c r="AK4" s="1">
        <v>221</v>
      </c>
      <c r="AL4" s="1">
        <v>2965</v>
      </c>
      <c r="AM4" s="1">
        <v>14897</v>
      </c>
      <c r="AP4" s="41" t="s">
        <v>44</v>
      </c>
      <c r="AQ4" s="45">
        <f t="shared" ref="AQ4:AQ6" si="1">E47</f>
        <v>12.928170918535644</v>
      </c>
      <c r="AR4" s="42">
        <f t="shared" ref="AR4:AR6" si="2">K47</f>
        <v>36.55417195211966</v>
      </c>
      <c r="AS4" s="42">
        <f t="shared" ref="AS4:AS6" si="3">R47</f>
        <v>46.686099673170034</v>
      </c>
      <c r="AT4" s="42">
        <f t="shared" ref="AT4:AT6" si="4">Y47</f>
        <v>28.571778249735484</v>
      </c>
      <c r="AU4" s="42">
        <f t="shared" ref="AU4:AU6" si="5">AE47</f>
        <v>43.576551485958873</v>
      </c>
      <c r="AV4" s="42">
        <f t="shared" ref="AV4:AV6" si="6">AL47</f>
        <v>38.604565340151872</v>
      </c>
      <c r="AW4" s="42">
        <f t="shared" ref="AW4" si="7">AU47</f>
        <v>30.672057550046308</v>
      </c>
      <c r="AX4" s="42">
        <f t="shared" ref="AX4" si="8">BC47</f>
        <v>27.615189304368705</v>
      </c>
    </row>
    <row r="5" spans="1:50">
      <c r="A5" s="1" t="s">
        <v>71</v>
      </c>
      <c r="B5" s="12">
        <v>199.999977324263</v>
      </c>
      <c r="C5" s="13">
        <v>7.6130482621443903E-3</v>
      </c>
      <c r="D5" s="13">
        <v>4.6194348205836396E-3</v>
      </c>
      <c r="E5" s="13">
        <v>4.7748825034219702E-3</v>
      </c>
      <c r="F5" s="13">
        <f t="shared" si="0"/>
        <v>0</v>
      </c>
      <c r="G5" s="13">
        <f t="shared" si="0"/>
        <v>0</v>
      </c>
      <c r="H5" s="13">
        <f t="shared" si="0"/>
        <v>4.0000004535147911E-2</v>
      </c>
      <c r="I5" s="13">
        <f t="shared" si="0"/>
        <v>3.0800003492063892</v>
      </c>
      <c r="J5" s="13">
        <f t="shared" si="0"/>
        <v>51.075005790816995</v>
      </c>
      <c r="K5" s="13">
        <f t="shared" si="0"/>
        <v>148.6900168582786</v>
      </c>
      <c r="L5" s="1"/>
      <c r="M5" s="13"/>
      <c r="N5" s="13"/>
      <c r="O5" s="13">
        <v>8.7334190395029695E-2</v>
      </c>
      <c r="P5" s="13">
        <v>0.33191630848951997</v>
      </c>
      <c r="Q5" s="13">
        <v>1.1911345040895001</v>
      </c>
      <c r="R5" s="13">
        <v>4.7303012562776399</v>
      </c>
      <c r="S5" s="13"/>
      <c r="V5">
        <v>0.107860658537048</v>
      </c>
      <c r="W5">
        <v>0.48723508877724098</v>
      </c>
      <c r="X5">
        <v>1.9489403551089599</v>
      </c>
      <c r="Y5">
        <v>7.7957614204358503</v>
      </c>
      <c r="AA5" s="13"/>
      <c r="AB5" s="13"/>
      <c r="AC5" s="13">
        <v>8.4555204603017103E-2</v>
      </c>
      <c r="AD5" s="13">
        <v>0.332343247681325</v>
      </c>
      <c r="AE5" s="13">
        <v>1.22806705924614</v>
      </c>
      <c r="AF5" s="13">
        <v>4.8894796835041001</v>
      </c>
      <c r="AH5" s="1">
        <v>0</v>
      </c>
      <c r="AI5" s="1">
        <v>0</v>
      </c>
      <c r="AJ5" s="1">
        <v>8</v>
      </c>
      <c r="AK5" s="1">
        <v>616</v>
      </c>
      <c r="AL5" s="1">
        <v>10215</v>
      </c>
      <c r="AM5" s="1">
        <v>29738</v>
      </c>
      <c r="AP5" s="1" t="s">
        <v>45</v>
      </c>
      <c r="AQ5" s="44">
        <f t="shared" si="1"/>
        <v>18.714955766413365</v>
      </c>
      <c r="AR5" s="16">
        <f t="shared" si="2"/>
        <v>41.002360985769059</v>
      </c>
      <c r="AS5" s="38">
        <f t="shared" si="3"/>
        <v>124841497437074.22</v>
      </c>
      <c r="AT5" s="16">
        <f t="shared" si="4"/>
        <v>40.103901497053201</v>
      </c>
      <c r="AU5" s="16">
        <f t="shared" si="5"/>
        <v>46.742408326217351</v>
      </c>
      <c r="AV5" s="16">
        <f t="shared" si="6"/>
        <v>45.642551491060068</v>
      </c>
      <c r="AW5" s="16" t="s">
        <v>121</v>
      </c>
      <c r="AX5" s="16" t="s">
        <v>121</v>
      </c>
    </row>
    <row r="6" spans="1:50">
      <c r="A6" s="1" t="s">
        <v>72</v>
      </c>
      <c r="B6" s="12">
        <v>149.999977324263</v>
      </c>
      <c r="C6" s="13">
        <v>9.5590751489404505E-2</v>
      </c>
      <c r="D6" s="13">
        <v>4.1750172724988703E-3</v>
      </c>
      <c r="E6" s="13">
        <v>3.0008966016067001E-3</v>
      </c>
      <c r="F6" s="13">
        <f t="shared" si="0"/>
        <v>2.6666670697909411E-2</v>
      </c>
      <c r="G6" s="13">
        <f t="shared" si="0"/>
        <v>4.6666673721341465E-2</v>
      </c>
      <c r="H6" s="13">
        <f t="shared" si="0"/>
        <v>0.28666671000252614</v>
      </c>
      <c r="I6" s="13">
        <f t="shared" si="0"/>
        <v>2.1666669942051393</v>
      </c>
      <c r="J6" s="13">
        <f t="shared" si="0"/>
        <v>31.580004773999217</v>
      </c>
      <c r="K6" s="13">
        <f t="shared" si="0"/>
        <v>140.93335463845122</v>
      </c>
      <c r="L6" s="1"/>
      <c r="M6" s="13">
        <v>9.5590751489404505E-2</v>
      </c>
      <c r="N6" s="13">
        <v>0.38236300595761802</v>
      </c>
      <c r="O6" s="13">
        <v>0.30150636762101002</v>
      </c>
      <c r="P6" s="13">
        <v>0.40942486346857698</v>
      </c>
      <c r="Q6" s="13">
        <v>1.08441649984316</v>
      </c>
      <c r="R6" s="13">
        <v>4.2752176870388396</v>
      </c>
      <c r="S6" s="13"/>
      <c r="T6">
        <v>9.5590751489404505E-2</v>
      </c>
      <c r="U6">
        <v>0.38236300595761802</v>
      </c>
      <c r="V6">
        <v>1.5294520238304701</v>
      </c>
      <c r="W6">
        <v>6.1178080953218803</v>
      </c>
      <c r="X6">
        <v>24.4712323812875</v>
      </c>
      <c r="Y6">
        <v>97.884929525150199</v>
      </c>
      <c r="AA6" s="13">
        <v>9.5590751489404505E-2</v>
      </c>
      <c r="AB6" s="13">
        <v>0.38236300595761802</v>
      </c>
      <c r="AC6" s="13">
        <v>0.161126362185676</v>
      </c>
      <c r="AD6" s="13">
        <v>0.28514455549158801</v>
      </c>
      <c r="AE6" s="13">
        <v>0.77490970037964602</v>
      </c>
      <c r="AF6" s="13">
        <v>3.07291812004526</v>
      </c>
      <c r="AH6" s="1">
        <v>4</v>
      </c>
      <c r="AI6" s="1">
        <v>7</v>
      </c>
      <c r="AJ6" s="1">
        <v>43</v>
      </c>
      <c r="AK6" s="1">
        <v>325</v>
      </c>
      <c r="AL6" s="1">
        <v>4737</v>
      </c>
      <c r="AM6" s="1">
        <v>21140</v>
      </c>
      <c r="AP6" s="1" t="s">
        <v>135</v>
      </c>
      <c r="AQ6" s="44">
        <f t="shared" si="1"/>
        <v>20.07363987061624</v>
      </c>
      <c r="AR6" s="16">
        <f t="shared" si="2"/>
        <v>43.849084476060163</v>
      </c>
      <c r="AS6" s="16">
        <f t="shared" si="3"/>
        <v>52.697356819929738</v>
      </c>
      <c r="AT6" s="16">
        <f t="shared" si="4"/>
        <v>33.281567358941764</v>
      </c>
      <c r="AU6" s="16">
        <f t="shared" si="5"/>
        <v>56.853987041922856</v>
      </c>
      <c r="AV6" s="16">
        <f t="shared" si="6"/>
        <v>59.388122118072737</v>
      </c>
      <c r="AW6" s="16" t="s">
        <v>121</v>
      </c>
      <c r="AX6" s="16" t="s">
        <v>121</v>
      </c>
    </row>
    <row r="7" spans="1:50">
      <c r="B7" s="12"/>
      <c r="F7" s="13"/>
      <c r="M7" s="13"/>
      <c r="N7" s="13"/>
      <c r="O7" s="13"/>
      <c r="P7" s="13"/>
      <c r="Q7" s="13"/>
      <c r="R7" s="13"/>
      <c r="S7" s="13"/>
      <c r="AA7" s="13"/>
      <c r="AB7" s="13"/>
      <c r="AC7" s="13"/>
      <c r="AD7" s="13"/>
      <c r="AE7" s="13"/>
      <c r="AF7" s="13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 t="s">
        <v>144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100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AQ8" t="s">
        <v>136</v>
      </c>
      <c r="AR8" s="36">
        <f>MIN(AQ3:AX6)</f>
        <v>12.928170918535644</v>
      </c>
    </row>
    <row r="9" spans="1:50">
      <c r="A9" s="1" t="s">
        <v>145</v>
      </c>
      <c r="B9" s="1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/>
      <c r="N9" s="1"/>
      <c r="O9" s="1"/>
      <c r="P9" s="1"/>
      <c r="Q9" s="1"/>
      <c r="R9" s="1"/>
      <c r="S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</row>
    <row r="10" spans="1:50">
      <c r="A10" s="1" t="s">
        <v>146</v>
      </c>
      <c r="B10" s="54">
        <v>44776.625694444447</v>
      </c>
      <c r="C10" s="38">
        <v>1.3765996209076301E-3</v>
      </c>
      <c r="D10" s="38">
        <v>8.8087831608212801E-4</v>
      </c>
      <c r="E10" s="38">
        <v>8.9062456113893503E-4</v>
      </c>
      <c r="F10" s="38">
        <v>0</v>
      </c>
      <c r="G10" s="13">
        <v>0</v>
      </c>
      <c r="H10" s="13">
        <v>0</v>
      </c>
      <c r="I10" s="13">
        <v>7</v>
      </c>
      <c r="J10" s="13">
        <v>125</v>
      </c>
      <c r="K10" s="13">
        <v>1888</v>
      </c>
      <c r="M10" s="1">
        <v>0</v>
      </c>
      <c r="N10" s="12">
        <v>0</v>
      </c>
      <c r="O10" s="12">
        <v>0</v>
      </c>
      <c r="P10" s="13">
        <v>6.4199019688817693E-2</v>
      </c>
      <c r="Q10" s="13">
        <v>0.23564859757487899</v>
      </c>
      <c r="R10" s="13">
        <v>0.90201939566809897</v>
      </c>
      <c r="AA10" s="13"/>
      <c r="AB10" s="13"/>
      <c r="AC10" s="13"/>
      <c r="AD10" s="13"/>
      <c r="AE10" s="13"/>
      <c r="AF10" s="13"/>
      <c r="AH10" s="1"/>
      <c r="AI10" s="1"/>
      <c r="AJ10" s="1"/>
      <c r="AK10" s="1"/>
      <c r="AL10" s="1"/>
      <c r="AM10" s="1"/>
    </row>
    <row r="11" spans="1:50">
      <c r="A11" s="1" t="s">
        <v>147</v>
      </c>
      <c r="B11" s="1" t="s">
        <v>121</v>
      </c>
      <c r="C11" s="1" t="s">
        <v>121</v>
      </c>
      <c r="D11" s="1" t="s">
        <v>121</v>
      </c>
      <c r="E11" s="1" t="s">
        <v>121</v>
      </c>
      <c r="F11" s="1" t="s">
        <v>121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M11" s="13"/>
      <c r="O11" s="13"/>
      <c r="P11" s="13"/>
      <c r="Q11" s="13"/>
      <c r="R11" s="13"/>
      <c r="AA11" s="13"/>
      <c r="AB11" s="13"/>
      <c r="AC11" s="13"/>
      <c r="AD11" s="13"/>
      <c r="AE11" s="13"/>
      <c r="AF11" s="13"/>
      <c r="AH11" s="1"/>
      <c r="AI11" s="1"/>
      <c r="AJ11" s="1"/>
      <c r="AK11" s="1"/>
      <c r="AL11" s="1"/>
      <c r="AM11" s="1"/>
    </row>
    <row r="12" spans="1:50">
      <c r="A12" s="1" t="s">
        <v>148</v>
      </c>
      <c r="B12" s="12"/>
      <c r="C12" s="38"/>
      <c r="D12" s="13"/>
      <c r="E12" s="13"/>
      <c r="F12" s="13"/>
      <c r="G12" s="13"/>
      <c r="H12" s="13"/>
      <c r="J12" s="13"/>
      <c r="K12" s="13"/>
      <c r="M12" s="13"/>
      <c r="N12" s="13"/>
      <c r="O12" s="13"/>
      <c r="P12" s="13"/>
      <c r="Q12" s="13"/>
      <c r="R12" s="13"/>
      <c r="AA12" s="13"/>
      <c r="AB12" s="13"/>
      <c r="AC12" s="13"/>
      <c r="AD12" s="13"/>
      <c r="AE12" s="13"/>
      <c r="AF12" s="13"/>
      <c r="AH12" s="1"/>
      <c r="AI12" s="1"/>
      <c r="AJ12" s="1"/>
      <c r="AK12" s="1"/>
      <c r="AL12" s="1"/>
      <c r="AM12" s="1"/>
    </row>
    <row r="13" spans="1:50">
      <c r="A13" s="1" t="s">
        <v>149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M13" s="13"/>
      <c r="N13" s="13"/>
      <c r="O13" s="13"/>
      <c r="P13" s="13"/>
      <c r="Q13" s="13"/>
      <c r="R13" s="13"/>
      <c r="AA13" s="13"/>
      <c r="AB13" s="13"/>
      <c r="AC13" s="13"/>
      <c r="AD13" s="13"/>
      <c r="AE13" s="13"/>
      <c r="AF13" s="13"/>
      <c r="AH13" s="1"/>
      <c r="AI13" s="1"/>
      <c r="AJ13" s="1"/>
      <c r="AK13" s="1"/>
      <c r="AL13" s="1"/>
      <c r="AM13" s="1"/>
    </row>
    <row r="14" spans="1:50">
      <c r="A14" s="1" t="s">
        <v>150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M14" s="13"/>
      <c r="N14" s="13"/>
      <c r="O14" s="13"/>
      <c r="P14" s="13"/>
      <c r="Q14" s="13"/>
      <c r="R14" s="13"/>
      <c r="AA14" s="13"/>
      <c r="AB14" s="13"/>
      <c r="AC14" s="13"/>
      <c r="AD14" s="13"/>
      <c r="AE14" s="13"/>
      <c r="AF14" s="13"/>
      <c r="AH14" s="1"/>
      <c r="AI14" s="1"/>
      <c r="AJ14" s="1"/>
      <c r="AK14" s="1"/>
      <c r="AL14" s="1"/>
      <c r="AM14" s="1"/>
    </row>
    <row r="15" spans="1:50">
      <c r="A15" s="1" t="s">
        <v>151</v>
      </c>
    </row>
    <row r="16" spans="1:50">
      <c r="A16" s="1" t="s">
        <v>152</v>
      </c>
    </row>
    <row r="17" spans="1:92">
      <c r="A17" s="1" t="s">
        <v>153</v>
      </c>
    </row>
    <row r="18" spans="1:92">
      <c r="A18" s="1" t="s">
        <v>154</v>
      </c>
    </row>
    <row r="19" spans="1:92">
      <c r="A19" s="1" t="s">
        <v>155</v>
      </c>
    </row>
    <row r="21" spans="1:92">
      <c r="C21" s="51" t="s">
        <v>89</v>
      </c>
      <c r="D21" s="51"/>
      <c r="E21" s="51"/>
      <c r="F21" s="51"/>
      <c r="I21" s="51" t="s">
        <v>89</v>
      </c>
      <c r="J21" s="51"/>
      <c r="K21" s="51"/>
      <c r="L21" s="51"/>
      <c r="O21" s="51" t="s">
        <v>118</v>
      </c>
      <c r="P21" s="51"/>
      <c r="Q21" s="51"/>
      <c r="R21" s="51"/>
      <c r="V21" s="51" t="s">
        <v>118</v>
      </c>
      <c r="W21" s="51"/>
      <c r="X21" s="51"/>
      <c r="Y21" s="51"/>
      <c r="AC21" s="51" t="s">
        <v>118</v>
      </c>
      <c r="AD21" s="51"/>
      <c r="AE21" s="51"/>
      <c r="AF21" s="51"/>
      <c r="AJ21" s="51" t="s">
        <v>118</v>
      </c>
      <c r="AK21" s="51"/>
      <c r="AL21" s="51"/>
      <c r="AM21" s="51"/>
      <c r="AQ21" s="51" t="s">
        <v>118</v>
      </c>
      <c r="AR21" s="51"/>
      <c r="AS21" s="51"/>
      <c r="AT21" s="51"/>
      <c r="AY21" s="51" t="s">
        <v>118</v>
      </c>
      <c r="AZ21" s="51"/>
      <c r="BA21" s="51"/>
      <c r="BB21" s="51"/>
      <c r="BG21" s="51" t="s">
        <v>44</v>
      </c>
      <c r="BH21" s="51"/>
      <c r="BI21" s="51"/>
      <c r="BJ21" s="51"/>
      <c r="BP21" s="51" t="s">
        <v>45</v>
      </c>
      <c r="BQ21" s="51"/>
      <c r="BR21" s="51"/>
      <c r="BS21" s="51"/>
      <c r="BZ21" s="51" t="s">
        <v>44</v>
      </c>
      <c r="CA21" s="51"/>
      <c r="CB21" s="51"/>
      <c r="CC21" s="51"/>
    </row>
    <row r="22" spans="1:92" ht="35.25" customHeight="1">
      <c r="A22" s="14" t="s">
        <v>77</v>
      </c>
      <c r="B22" s="15" t="s">
        <v>78</v>
      </c>
      <c r="C22" s="26" t="s">
        <v>83</v>
      </c>
      <c r="D22" s="26" t="s">
        <v>79</v>
      </c>
      <c r="E22" s="26" t="s">
        <v>81</v>
      </c>
      <c r="F22" s="26" t="s">
        <v>82</v>
      </c>
      <c r="H22" s="33"/>
      <c r="I22" s="26" t="s">
        <v>97</v>
      </c>
      <c r="J22" s="26" t="s">
        <v>80</v>
      </c>
      <c r="K22" s="26" t="s">
        <v>96</v>
      </c>
      <c r="L22" s="26" t="s">
        <v>98</v>
      </c>
      <c r="M22" s="17"/>
      <c r="N22" s="40" t="s">
        <v>116</v>
      </c>
      <c r="O22" s="26" t="s">
        <v>112</v>
      </c>
      <c r="P22" s="26" t="s">
        <v>113</v>
      </c>
      <c r="Q22" s="26" t="s">
        <v>114</v>
      </c>
      <c r="R22" s="26" t="s">
        <v>115</v>
      </c>
      <c r="U22" s="40" t="s">
        <v>117</v>
      </c>
      <c r="V22" s="26" t="s">
        <v>112</v>
      </c>
      <c r="W22" s="26" t="s">
        <v>113</v>
      </c>
      <c r="X22" s="26" t="s">
        <v>114</v>
      </c>
      <c r="Y22" s="26" t="s">
        <v>115</v>
      </c>
      <c r="AA22" s="15" t="s">
        <v>78</v>
      </c>
      <c r="AB22" s="40" t="s">
        <v>119</v>
      </c>
      <c r="AC22" s="26" t="s">
        <v>112</v>
      </c>
      <c r="AD22" s="26" t="s">
        <v>113</v>
      </c>
      <c r="AE22" s="26" t="s">
        <v>114</v>
      </c>
      <c r="AF22" s="26" t="s">
        <v>115</v>
      </c>
      <c r="AH22" s="46" t="s">
        <v>78</v>
      </c>
      <c r="AI22" s="40" t="s">
        <v>120</v>
      </c>
      <c r="AJ22" s="26" t="s">
        <v>112</v>
      </c>
      <c r="AK22" s="26" t="s">
        <v>113</v>
      </c>
      <c r="AL22" s="26" t="s">
        <v>114</v>
      </c>
      <c r="AM22" s="26" t="s">
        <v>115</v>
      </c>
      <c r="AO22" s="46" t="s">
        <v>78</v>
      </c>
      <c r="AP22" s="40" t="s">
        <v>122</v>
      </c>
      <c r="AQ22" s="26" t="s">
        <v>112</v>
      </c>
      <c r="AR22" s="26" t="s">
        <v>113</v>
      </c>
      <c r="AS22" s="26" t="s">
        <v>114</v>
      </c>
      <c r="AT22" s="26" t="s">
        <v>115</v>
      </c>
      <c r="AW22" s="46" t="s">
        <v>78</v>
      </c>
      <c r="AX22" s="40" t="s">
        <v>123</v>
      </c>
      <c r="AY22" s="26" t="s">
        <v>112</v>
      </c>
      <c r="AZ22" s="26" t="s">
        <v>113</v>
      </c>
      <c r="BA22" s="26" t="s">
        <v>114</v>
      </c>
      <c r="BB22" s="26" t="s">
        <v>115</v>
      </c>
      <c r="BE22" s="46" t="s">
        <v>78</v>
      </c>
      <c r="BF22" s="49" t="s">
        <v>85</v>
      </c>
      <c r="BG22" s="50" t="s">
        <v>124</v>
      </c>
      <c r="BH22" s="50" t="s">
        <v>125</v>
      </c>
      <c r="BI22" s="50" t="s">
        <v>126</v>
      </c>
      <c r="BJ22" s="50" t="s">
        <v>127</v>
      </c>
      <c r="BK22" s="50" t="s">
        <v>128</v>
      </c>
      <c r="BL22" s="50" t="s">
        <v>129</v>
      </c>
      <c r="BN22" s="46" t="s">
        <v>78</v>
      </c>
      <c r="BO22" s="49" t="s">
        <v>85</v>
      </c>
      <c r="BP22" s="50" t="s">
        <v>124</v>
      </c>
      <c r="BQ22" s="50" t="s">
        <v>125</v>
      </c>
      <c r="BR22" s="50" t="s">
        <v>126</v>
      </c>
      <c r="BS22" s="50" t="s">
        <v>127</v>
      </c>
      <c r="BT22" s="50" t="s">
        <v>128</v>
      </c>
      <c r="BU22" s="50" t="s">
        <v>129</v>
      </c>
      <c r="BX22" s="46" t="s">
        <v>78</v>
      </c>
      <c r="BY22" s="49" t="s">
        <v>85</v>
      </c>
      <c r="BZ22" s="50" t="s">
        <v>124</v>
      </c>
      <c r="CA22" s="50" t="s">
        <v>125</v>
      </c>
      <c r="CB22" s="50" t="s">
        <v>126</v>
      </c>
      <c r="CC22" s="50" t="s">
        <v>127</v>
      </c>
      <c r="CD22" s="50" t="s">
        <v>128</v>
      </c>
      <c r="CE22" s="50" t="s">
        <v>129</v>
      </c>
      <c r="CG22" s="46" t="s">
        <v>78</v>
      </c>
      <c r="CH22" s="49" t="s">
        <v>85</v>
      </c>
      <c r="CI22" s="50" t="s">
        <v>124</v>
      </c>
      <c r="CJ22" s="50" t="s">
        <v>125</v>
      </c>
      <c r="CK22" s="50" t="s">
        <v>126</v>
      </c>
      <c r="CL22" s="50" t="s">
        <v>127</v>
      </c>
      <c r="CM22" s="50" t="s">
        <v>128</v>
      </c>
      <c r="CN22" s="50" t="s">
        <v>129</v>
      </c>
    </row>
    <row r="23" spans="1:92">
      <c r="A23" s="1" t="s">
        <v>68</v>
      </c>
      <c r="B23" s="1"/>
      <c r="C23" s="27"/>
      <c r="D23" s="27"/>
      <c r="E23" s="27"/>
      <c r="F23" s="27"/>
      <c r="H23" s="34" t="s">
        <v>68</v>
      </c>
      <c r="I23" s="27"/>
      <c r="J23" s="35"/>
      <c r="K23" s="35"/>
      <c r="L23" s="35"/>
      <c r="N23" s="34" t="s">
        <v>68</v>
      </c>
      <c r="O23" s="16"/>
      <c r="P23" s="16"/>
      <c r="Q23" s="38"/>
      <c r="R23" s="16"/>
      <c r="U23" s="34" t="s">
        <v>68</v>
      </c>
      <c r="V23" s="16"/>
      <c r="W23" s="16"/>
      <c r="X23" s="16"/>
      <c r="Y23" s="16"/>
      <c r="AA23" s="1"/>
      <c r="AB23" s="34" t="s">
        <v>68</v>
      </c>
      <c r="AC23" s="16"/>
      <c r="AD23" s="13"/>
      <c r="AE23" s="16"/>
      <c r="AF23" s="13"/>
      <c r="AH23" s="1"/>
      <c r="AI23" s="34" t="s">
        <v>68</v>
      </c>
      <c r="AJ23" s="16"/>
      <c r="AK23" s="16"/>
      <c r="AL23" s="16"/>
      <c r="AM23" s="16"/>
      <c r="AO23" s="1"/>
      <c r="AP23" s="34" t="s">
        <v>68</v>
      </c>
      <c r="AQ23" s="16"/>
      <c r="AR23" s="16"/>
      <c r="AS23" s="16" t="s">
        <v>121</v>
      </c>
      <c r="AT23" s="16" t="s">
        <v>121</v>
      </c>
      <c r="AW23" s="1"/>
      <c r="AX23" s="34" t="s">
        <v>68</v>
      </c>
      <c r="AY23" s="16"/>
      <c r="AZ23" s="16"/>
      <c r="BA23" s="16" t="s">
        <v>121</v>
      </c>
      <c r="BB23" s="16" t="s">
        <v>121</v>
      </c>
      <c r="BE23" s="1">
        <v>90</v>
      </c>
      <c r="BF23" s="50" t="s">
        <v>68</v>
      </c>
      <c r="BG23" s="16">
        <f>0.6229*Y2 + 31.496</f>
        <v>169.90196470395313</v>
      </c>
      <c r="BH23" s="16">
        <f>2.4916*X2 + 31.496</f>
        <v>169.90196470395313</v>
      </c>
      <c r="BI23" s="16">
        <f>9.9664*W2 + 31.496</f>
        <v>169.90196470395239</v>
      </c>
      <c r="BJ23" s="16">
        <f xml:space="preserve"> 39.864*V2 + 31.499</f>
        <v>169.89940980089071</v>
      </c>
      <c r="BK23" s="16">
        <f xml:space="preserve"> 153.68*U2 + 33.411</f>
        <v>166.79810978703136</v>
      </c>
      <c r="BL23">
        <f xml:space="preserve"> 341.18*T2 + 59.342</f>
        <v>133.37410261117151</v>
      </c>
      <c r="BN23" s="1">
        <v>90</v>
      </c>
      <c r="BO23" s="50" t="s">
        <v>68</v>
      </c>
      <c r="BP23" s="16">
        <f>7.9979*Y2^0.5407</f>
        <v>148.54443363082297</v>
      </c>
      <c r="BQ23" s="16">
        <f xml:space="preserve"> 16.925*X2^0.5407</f>
        <v>148.55088810395125</v>
      </c>
      <c r="BR23" s="16">
        <f xml:space="preserve"> 35.818*W2^0.5407</f>
        <v>148.56416624831871</v>
      </c>
      <c r="BS23" s="16">
        <f xml:space="preserve"> 75.792*V2^0.5402</f>
        <v>148.46770308891954</v>
      </c>
      <c r="BT23" s="16">
        <f>162.76*U2^0.5531</f>
        <v>150.49778259856092</v>
      </c>
      <c r="BU23" s="16">
        <f>200.69*T2^0.333</f>
        <v>120.65882558744174</v>
      </c>
      <c r="BX23" s="1">
        <v>90</v>
      </c>
      <c r="BY23" s="50" t="s">
        <v>68</v>
      </c>
      <c r="BZ23" s="16">
        <f xml:space="preserve"> 3.2753*Y2 + 16.246</f>
        <v>744.00496001743079</v>
      </c>
      <c r="CA23" s="16">
        <f xml:space="preserve"> 13.101*X2 + 16.246</f>
        <v>743.99385021130593</v>
      </c>
      <c r="CB23" s="16">
        <f xml:space="preserve"> 45.439*W2 + 18.146</f>
        <v>649.16910063642752</v>
      </c>
      <c r="CC23" s="16">
        <f xml:space="preserve"> 129.75*V2 + 19.261</f>
        <v>469.72892022038866</v>
      </c>
      <c r="CD23" s="16">
        <f>408.35*U2 + 18.101</f>
        <v>372.52985399228436</v>
      </c>
      <c r="CE23" s="16">
        <f>268.12*T2 + 67.995</f>
        <v>126.17393004310719</v>
      </c>
      <c r="CG23" s="1">
        <v>90</v>
      </c>
      <c r="CH23" s="50" t="s">
        <v>68</v>
      </c>
      <c r="CI23" s="16">
        <f xml:space="preserve"> 7.3072*Y2^0.8093</f>
        <v>579.38176733330056</v>
      </c>
      <c r="CJ23">
        <f>22.438*X2^0.8093</f>
        <v>579.3630884936</v>
      </c>
      <c r="CK23">
        <f xml:space="preserve"> 63.923*W2^0.7897</f>
        <v>510.48312892350924</v>
      </c>
      <c r="CL23">
        <f>144.46*V2^0.7684</f>
        <v>375.93367183299137</v>
      </c>
      <c r="CM23">
        <f>377.35*U2^0.8162</f>
        <v>336.15935847257839</v>
      </c>
      <c r="CN23">
        <f xml:space="preserve"> 193.76*T2^0.3028</f>
        <v>121.99361584543476</v>
      </c>
    </row>
    <row r="24" spans="1:92">
      <c r="A24" s="1" t="s">
        <v>69</v>
      </c>
      <c r="B24" s="1">
        <v>90</v>
      </c>
      <c r="C24" s="27">
        <f>(C3+0.0087)/0.0009</f>
        <v>124.98377815678667</v>
      </c>
      <c r="D24" s="27">
        <f t="shared" ref="D24:D27" si="9">C3*637.85+31.496</f>
        <v>97.695517607575738</v>
      </c>
      <c r="E24" s="27">
        <f t="shared" ref="E24:E27" si="10">339.46*C3^0.5407</f>
        <v>99.727167764153535</v>
      </c>
      <c r="F24" s="27">
        <f t="shared" ref="F24:F27" si="11">29.097*LN(C3)+161.54</f>
        <v>95.622784164000777</v>
      </c>
      <c r="H24" s="34" t="s">
        <v>69</v>
      </c>
      <c r="I24" s="27">
        <f>(D3/0.0003)^(1/0.9281)</f>
        <v>40.493833299235177</v>
      </c>
      <c r="J24" s="35">
        <f>3353.9*D3+16.246</f>
        <v>47.470032741532719</v>
      </c>
      <c r="K24" s="35">
        <f>1994.7*(D3^0.8093)</f>
        <v>45.304341949768059</v>
      </c>
      <c r="L24" s="35">
        <f>44.935*LN(D3)+263.07</f>
        <v>52.922887744040423</v>
      </c>
      <c r="N24" s="34" t="s">
        <v>69</v>
      </c>
      <c r="O24" s="16">
        <f t="shared" ref="O24:O27" si="12">EXP(-1*(4*(-6959+25*K3))/2555)</f>
        <v>546.17166893812691</v>
      </c>
      <c r="P24" s="16">
        <f t="shared" ref="P24:P27" si="13">-1.6001*K3 + 344.62</f>
        <v>156.89618286448186</v>
      </c>
      <c r="Q24" s="38">
        <f t="shared" ref="Q24:Q27" si="14">1000000000000*K3-4.601</f>
        <v>117320053206368.84</v>
      </c>
      <c r="R24" s="16">
        <f t="shared" ref="R24:R26" si="15">-276.5*LN(K3) + 1491</f>
        <v>173.50357460693817</v>
      </c>
      <c r="U24" s="34" t="s">
        <v>69</v>
      </c>
      <c r="V24" s="16">
        <f>EXP((1000*J3 - 37689)/6959)</f>
        <v>0.9958438496719686</v>
      </c>
      <c r="W24" s="16">
        <f t="shared" ref="W24:W27" si="16">0.5169*J3+27.545</f>
        <v>47.011462828327836</v>
      </c>
      <c r="X24" s="16">
        <f t="shared" ref="X24:X27" si="17">1.1518*J3^0.9191</f>
        <v>32.342147494732167</v>
      </c>
      <c r="Y24" s="16">
        <f t="shared" ref="Y24:Y27" si="18">36.467*LN(J3) - 90.391</f>
        <v>41.933118884917931</v>
      </c>
      <c r="AA24" s="1">
        <v>90</v>
      </c>
      <c r="AB24" s="34" t="s">
        <v>69</v>
      </c>
      <c r="AC24" s="16">
        <f t="shared" ref="AC24:AC27" si="19">EXP((20*(50*I3 + 1617))/12343)</f>
        <v>29.659305775690282</v>
      </c>
      <c r="AD24" s="13">
        <f t="shared" ref="AD24:AD27" si="20">2.8315*I3 + 14.308</f>
        <v>41.207262199211904</v>
      </c>
      <c r="AE24" s="16">
        <f t="shared" ref="AE24:AE27" si="21">8.9277*I3^0.6763</f>
        <v>40.923634346381888</v>
      </c>
      <c r="AF24" s="13">
        <f>35.468*LN(I3) - 31.802</f>
        <v>48.046833598239623</v>
      </c>
      <c r="AH24" s="1">
        <v>90</v>
      </c>
      <c r="AI24" s="34" t="s">
        <v>69</v>
      </c>
      <c r="AJ24" s="16">
        <f t="shared" ref="AJ24:AJ27" si="22">EXP((20*(500*H3 + 7967))/53949)</f>
        <v>33.188278878637824</v>
      </c>
      <c r="AK24" s="16">
        <f t="shared" ref="AK24:AK27" si="23">6.3569*H3+ 26.624</f>
        <v>45.44043253352951</v>
      </c>
      <c r="AL24" s="16">
        <f t="shared" ref="AL24:AL27" si="24" xml:space="preserve"> 32.273*H3^0.3897</f>
        <v>49.260837883196288</v>
      </c>
      <c r="AM24" s="16">
        <f>19.943*LN(H3) + 36.214</f>
        <v>57.855938622870738</v>
      </c>
      <c r="AO24" s="1">
        <v>90</v>
      </c>
      <c r="AP24" s="34" t="s">
        <v>69</v>
      </c>
      <c r="AQ24" s="16">
        <f t="shared" ref="AQ24:AQ27" si="25">EXP((2500*G3 + 11491)/3779)</f>
        <v>31.94910428210375</v>
      </c>
      <c r="AR24" s="16">
        <f t="shared" ref="AR24:AR27" si="26" xml:space="preserve"> 15.463*G3 + 39.702</f>
        <v>49.598324488129023</v>
      </c>
      <c r="AS24" s="16" t="s">
        <v>121</v>
      </c>
      <c r="AT24" s="16" t="s">
        <v>121</v>
      </c>
      <c r="AW24" s="1">
        <v>90</v>
      </c>
      <c r="AX24" s="34" t="s">
        <v>69</v>
      </c>
      <c r="AY24" s="16">
        <f t="shared" ref="AY24:AY27" si="27">EXP((2*(5000*F3 + 6539))/3945)</f>
        <v>39.250419737862266</v>
      </c>
      <c r="AZ24" s="16">
        <f t="shared" ref="AZ24:AZ27" si="28">70.576*F3 + 43.217</f>
        <v>53.097644481017909</v>
      </c>
      <c r="BA24" s="16" t="s">
        <v>121</v>
      </c>
      <c r="BB24" s="16" t="s">
        <v>121</v>
      </c>
      <c r="BE24" s="1">
        <v>90</v>
      </c>
      <c r="BF24" s="50" t="s">
        <v>69</v>
      </c>
      <c r="BG24" s="16">
        <f t="shared" ref="BG24:BG27" si="29">0.6229*Y3 + 31.496</f>
        <v>97.695476093415863</v>
      </c>
      <c r="BH24" s="16">
        <f t="shared" ref="BH24:BH27" si="30">2.4916*X3 + 31.496</f>
        <v>97.695476093415976</v>
      </c>
      <c r="BI24" s="16">
        <f t="shared" ref="BI24:BI27" si="31">9.9664*W3 + 31.496</f>
        <v>97.695476093415976</v>
      </c>
      <c r="BJ24" s="16">
        <f t="shared" ref="BJ24:BJ27" si="32" xml:space="preserve"> 39.864*V3 + 31.499</f>
        <v>97.695819187166947</v>
      </c>
      <c r="BK24" s="16">
        <f t="shared" ref="BK24:BK27" si="33" xml:space="preserve"> 153.68*U3 + 33.411</f>
        <v>97.20996129768622</v>
      </c>
      <c r="BL24">
        <f t="shared" ref="BL24:BL27" si="34" xml:space="preserve"> 341.18*T3 + 59.342</f>
        <v>94.751502888379235</v>
      </c>
      <c r="BN24" s="1">
        <v>90</v>
      </c>
      <c r="BO24" s="50" t="s">
        <v>69</v>
      </c>
      <c r="BP24" s="16">
        <f t="shared" ref="BP24:BP27" si="35">7.9979*Y3^0.5407</f>
        <v>99.694232599765229</v>
      </c>
      <c r="BQ24" s="16">
        <f t="shared" ref="BQ24:BQ27" si="36" xml:space="preserve"> 16.925*X3^0.5407</f>
        <v>99.698564460136211</v>
      </c>
      <c r="BR24" s="16">
        <f t="shared" ref="BR24:BR27" si="37" xml:space="preserve"> 35.818*W3^0.5407</f>
        <v>99.707475964800153</v>
      </c>
      <c r="BS24" s="16">
        <f t="shared" ref="BS24:BS27" si="38" xml:space="preserve"> 75.792*V3^0.5402</f>
        <v>99.679486561846588</v>
      </c>
      <c r="BT24" s="16">
        <f t="shared" ref="BT24:BT27" si="39">162.76*U3^0.5531</f>
        <v>100.08569989084388</v>
      </c>
      <c r="BU24" s="16">
        <f t="shared" ref="BU24:BU27" si="40">200.69*T3^0.333</f>
        <v>94.384158724984758</v>
      </c>
      <c r="BX24" s="1">
        <v>90</v>
      </c>
      <c r="BY24" s="50" t="s">
        <v>69</v>
      </c>
      <c r="BZ24" s="16">
        <f t="shared" ref="BZ24:BZ27" si="41" xml:space="preserve"> 3.2753*Y3 + 16.246</f>
        <v>364.33260145892592</v>
      </c>
      <c r="CA24" s="16">
        <f t="shared" ref="CA24:CA27" si="42" xml:space="preserve"> 13.101*X3 + 16.246</f>
        <v>364.32728764642911</v>
      </c>
      <c r="CB24" s="16">
        <f t="shared" ref="CB24:CB26" si="43" xml:space="preserve"> 45.439*W3 + 18.146</f>
        <v>319.96390759037655</v>
      </c>
      <c r="CC24" s="16">
        <f t="shared" ref="CC24:CC27" si="44" xml:space="preserve"> 129.75*V3 + 19.261</f>
        <v>234.71949110814046</v>
      </c>
      <c r="CD24" s="16">
        <f t="shared" ref="CD24:CD27" si="45">408.35*U3 + 18.101</f>
        <v>187.62407291716664</v>
      </c>
      <c r="CE24" s="16">
        <f t="shared" ref="CE24:CE27" si="46">268.12*T3 + 67.995</f>
        <v>95.821941539457882</v>
      </c>
      <c r="CG24" s="1">
        <v>90</v>
      </c>
      <c r="CH24" s="50" t="s">
        <v>69</v>
      </c>
      <c r="CI24" s="16">
        <f t="shared" ref="CI24:CI27" si="47" xml:space="preserve"> 7.3072*Y3^0.8093</f>
        <v>318.9670548214167</v>
      </c>
      <c r="CJ24">
        <f t="shared" ref="CJ24:CJ27" si="48">22.438*X3^0.8093</f>
        <v>318.95677155946009</v>
      </c>
      <c r="CK24">
        <f t="shared" ref="CK24:CK27" si="49" xml:space="preserve"> 63.923*W3^0.7897</f>
        <v>285.12827241806099</v>
      </c>
      <c r="CL24">
        <f t="shared" ref="CL24:CL27" si="50">144.46*V3^0.7684</f>
        <v>213.30081318545697</v>
      </c>
      <c r="CM24">
        <f t="shared" ref="CM24:CM27" si="51">377.35*U3^0.8162</f>
        <v>184.12643250004979</v>
      </c>
      <c r="CN24">
        <f t="shared" ref="CN24:CN27" si="52" xml:space="preserve"> 193.76*T3^0.3028</f>
        <v>97.577612296617161</v>
      </c>
    </row>
    <row r="25" spans="1:92">
      <c r="A25" s="1" t="s">
        <v>70</v>
      </c>
      <c r="B25" s="1">
        <v>45</v>
      </c>
      <c r="C25" s="27">
        <f>(C4+0.0087)/0.0009</f>
        <v>28.937326206160222</v>
      </c>
      <c r="D25" s="27">
        <f t="shared" si="9"/>
        <v>42.558611168539372</v>
      </c>
      <c r="E25" s="27">
        <f t="shared" si="10"/>
        <v>37.904529640463622</v>
      </c>
      <c r="F25" s="27">
        <f t="shared" si="11"/>
        <v>43.56527987715296</v>
      </c>
      <c r="H25" s="34" t="s">
        <v>70</v>
      </c>
      <c r="I25" s="27">
        <f>(D4/0.0003)^(1/0.9281)</f>
        <v>15.219551761716476</v>
      </c>
      <c r="J25" s="35">
        <f>3353.9*D4+16.246</f>
        <v>28.836950958716034</v>
      </c>
      <c r="K25" s="35">
        <f>1994.7*(D4^0.8093)</f>
        <v>21.723372749373084</v>
      </c>
      <c r="L25" s="35">
        <f>44.935*LN(D4)+263.07</f>
        <v>12.11248485590275</v>
      </c>
      <c r="N25" s="34" t="s">
        <v>70</v>
      </c>
      <c r="O25" s="16">
        <f t="shared" si="12"/>
        <v>158.2516590681046</v>
      </c>
      <c r="P25" s="16">
        <f t="shared" si="13"/>
        <v>106.2530489485371</v>
      </c>
      <c r="Q25" s="38">
        <f t="shared" si="14"/>
        <v>148970033780048.47</v>
      </c>
      <c r="R25" s="16">
        <f t="shared" si="15"/>
        <v>107.46446045383004</v>
      </c>
      <c r="U25" s="34" t="s">
        <v>70</v>
      </c>
      <c r="V25" s="16">
        <f t="shared" ref="V25:V27" si="53">EXP((1000*J4 - 37689)/6959)</f>
        <v>0.31499650175891308</v>
      </c>
      <c r="W25" s="16">
        <f t="shared" si="16"/>
        <v>42.871088475303516</v>
      </c>
      <c r="X25" s="16">
        <f t="shared" si="17"/>
        <v>25.960620247950711</v>
      </c>
      <c r="Y25" s="16">
        <f t="shared" si="18"/>
        <v>33.212523597718601</v>
      </c>
      <c r="AA25" s="1">
        <v>45</v>
      </c>
      <c r="AB25" s="34" t="s">
        <v>70</v>
      </c>
      <c r="AC25" s="16">
        <f t="shared" si="19"/>
        <v>16.430797296776326</v>
      </c>
      <c r="AD25" s="13">
        <f t="shared" si="20"/>
        <v>20.565616418960641</v>
      </c>
      <c r="AE25" s="16">
        <f t="shared" si="21"/>
        <v>15.263430355503798</v>
      </c>
      <c r="AF25" s="13">
        <f>35.468*LN(I4) - 31.802</f>
        <v>-3.6761334165626529</v>
      </c>
      <c r="AH25" s="1">
        <v>45</v>
      </c>
      <c r="AI25" s="34" t="s">
        <v>70</v>
      </c>
      <c r="AJ25" s="16">
        <f t="shared" si="22"/>
        <v>19.787322110256987</v>
      </c>
      <c r="AK25" s="16">
        <f t="shared" si="23"/>
        <v>27.704673245050621</v>
      </c>
      <c r="AL25" s="16">
        <f t="shared" si="24"/>
        <v>16.178763293074105</v>
      </c>
      <c r="AM25" s="16">
        <f>19.943*LN(H4) + 36.214</f>
        <v>0.87586922357535002</v>
      </c>
      <c r="AO25" s="1">
        <v>45</v>
      </c>
      <c r="AP25" s="34" t="s">
        <v>70</v>
      </c>
      <c r="AQ25" s="16">
        <f t="shared" si="25"/>
        <v>21.340315843657365</v>
      </c>
      <c r="AR25" s="16">
        <f t="shared" si="26"/>
        <v>40.165890105190499</v>
      </c>
      <c r="AS25" s="16" t="s">
        <v>121</v>
      </c>
      <c r="AT25" s="16" t="s">
        <v>121</v>
      </c>
      <c r="AW25" s="1">
        <v>45</v>
      </c>
      <c r="AX25" s="34" t="s">
        <v>70</v>
      </c>
      <c r="AY25" s="16">
        <f t="shared" si="27"/>
        <v>27.524661448827725</v>
      </c>
      <c r="AZ25" s="16">
        <f t="shared" si="28"/>
        <v>43.216999999999999</v>
      </c>
      <c r="BA25" s="16" t="s">
        <v>121</v>
      </c>
      <c r="BB25" s="16" t="s">
        <v>121</v>
      </c>
      <c r="BE25" s="1">
        <v>45</v>
      </c>
      <c r="BF25" s="50" t="s">
        <v>70</v>
      </c>
      <c r="BG25" s="16">
        <f t="shared" si="29"/>
        <v>42.55860423110196</v>
      </c>
      <c r="BH25" s="16">
        <f t="shared" si="30"/>
        <v>42.558604231101967</v>
      </c>
      <c r="BI25" s="16">
        <f t="shared" si="31"/>
        <v>42.558604231101945</v>
      </c>
      <c r="BJ25" s="16">
        <f t="shared" si="32"/>
        <v>42.561160235106172</v>
      </c>
      <c r="BK25" s="16">
        <f t="shared" si="33"/>
        <v>44.072453848905766</v>
      </c>
      <c r="BL25">
        <f t="shared" si="34"/>
        <v>59.341999999999999</v>
      </c>
      <c r="BN25" s="1">
        <v>45</v>
      </c>
      <c r="BO25" s="50" t="s">
        <v>70</v>
      </c>
      <c r="BP25" s="16">
        <f t="shared" si="35"/>
        <v>37.892011567978848</v>
      </c>
      <c r="BQ25" s="16">
        <f t="shared" si="36"/>
        <v>37.89365803135999</v>
      </c>
      <c r="BR25" s="16">
        <f t="shared" si="37"/>
        <v>37.897045136401111</v>
      </c>
      <c r="BS25" s="16">
        <f t="shared" si="38"/>
        <v>37.920313348849398</v>
      </c>
      <c r="BT25" s="16">
        <f t="shared" si="39"/>
        <v>37.206163654402346</v>
      </c>
      <c r="BU25" s="16">
        <f>200.69*T4^0.333</f>
        <v>0</v>
      </c>
      <c r="BX25" s="1">
        <v>45</v>
      </c>
      <c r="BY25" s="50" t="s">
        <v>70</v>
      </c>
      <c r="BZ25" s="16">
        <f t="shared" si="41"/>
        <v>74.414803400430642</v>
      </c>
      <c r="CA25" s="16">
        <f t="shared" si="42"/>
        <v>74.413915408439124</v>
      </c>
      <c r="CB25" s="16">
        <f t="shared" si="43"/>
        <v>68.582835131746805</v>
      </c>
      <c r="CC25" s="16">
        <f t="shared" si="44"/>
        <v>55.266300283589857</v>
      </c>
      <c r="CD25" s="16">
        <f t="shared" si="45"/>
        <v>46.430025762627977</v>
      </c>
      <c r="CE25" s="16">
        <f t="shared" si="46"/>
        <v>67.995000000000005</v>
      </c>
      <c r="CG25" s="1">
        <v>45</v>
      </c>
      <c r="CH25" s="50" t="s">
        <v>70</v>
      </c>
      <c r="CI25" s="16">
        <f t="shared" si="47"/>
        <v>74.975956194233888</v>
      </c>
      <c r="CJ25">
        <f t="shared" si="48"/>
        <v>74.973539024854261</v>
      </c>
      <c r="CK25">
        <f t="shared" si="49"/>
        <v>69.413766763516179</v>
      </c>
      <c r="CL25">
        <f t="shared" si="50"/>
        <v>53.94458799502717</v>
      </c>
      <c r="CM25">
        <f t="shared" si="51"/>
        <v>42.749500333993886</v>
      </c>
      <c r="CN25">
        <f t="shared" si="52"/>
        <v>0</v>
      </c>
    </row>
    <row r="26" spans="1:92">
      <c r="A26" s="1" t="s">
        <v>71</v>
      </c>
      <c r="B26" s="1">
        <v>64</v>
      </c>
      <c r="C26" s="27">
        <f>(C5+0.0087)/0.0009</f>
        <v>18.125609180160435</v>
      </c>
      <c r="D26" s="27">
        <f t="shared" si="9"/>
        <v>36.351982834008801</v>
      </c>
      <c r="E26" s="27">
        <f t="shared" si="10"/>
        <v>24.285515845279502</v>
      </c>
      <c r="F26" s="27">
        <f t="shared" si="11"/>
        <v>19.607987322204224</v>
      </c>
      <c r="H26" s="34" t="s">
        <v>71</v>
      </c>
      <c r="I26" s="27">
        <f>(D5/0.0003)^(1/0.9281)</f>
        <v>19.030965504442523</v>
      </c>
      <c r="J26" s="35">
        <f>3353.9*D5+16.246</f>
        <v>31.739122444755466</v>
      </c>
      <c r="K26" s="35">
        <f>1994.7*(D5^0.8093)</f>
        <v>25.693859138130588</v>
      </c>
      <c r="L26" s="35">
        <f>44.935*LN(D5)+263.07</f>
        <v>21.432805233401098</v>
      </c>
      <c r="N26" s="34" t="s">
        <v>71</v>
      </c>
      <c r="O26" s="16">
        <f t="shared" si="12"/>
        <v>159.9955674195038</v>
      </c>
      <c r="P26" s="16">
        <f t="shared" si="13"/>
        <v>106.70110402506842</v>
      </c>
      <c r="Q26" s="38">
        <f t="shared" si="14"/>
        <v>148690016858274</v>
      </c>
      <c r="R26" s="16">
        <f t="shared" si="15"/>
        <v>107.98468277821667</v>
      </c>
      <c r="U26" s="34" t="s">
        <v>71</v>
      </c>
      <c r="V26" s="16">
        <f t="shared" si="53"/>
        <v>6.8452368952399834</v>
      </c>
      <c r="W26" s="16">
        <f t="shared" si="16"/>
        <v>53.945670493273312</v>
      </c>
      <c r="X26" s="16">
        <f t="shared" si="17"/>
        <v>42.794842976188278</v>
      </c>
      <c r="Y26" s="16">
        <f t="shared" si="18"/>
        <v>53.044478030622045</v>
      </c>
      <c r="AA26" s="1">
        <v>64</v>
      </c>
      <c r="AB26" s="34" t="s">
        <v>71</v>
      </c>
      <c r="AC26" s="16">
        <f t="shared" si="19"/>
        <v>17.630718337536553</v>
      </c>
      <c r="AD26" s="13">
        <f t="shared" si="20"/>
        <v>23.029020988777891</v>
      </c>
      <c r="AE26" s="16">
        <f t="shared" si="21"/>
        <v>19.104974879697991</v>
      </c>
      <c r="AF26" s="13">
        <f>35.468*LN(I5) - 31.802</f>
        <v>8.0970069671965419</v>
      </c>
      <c r="AH26" s="1">
        <v>64</v>
      </c>
      <c r="AI26" s="34" t="s">
        <v>71</v>
      </c>
      <c r="AJ26" s="16">
        <f t="shared" si="22"/>
        <v>19.316209167361411</v>
      </c>
      <c r="AK26" s="16">
        <f t="shared" si="23"/>
        <v>26.878276028829479</v>
      </c>
      <c r="AL26" s="16">
        <f t="shared" si="24"/>
        <v>9.2058127259320273</v>
      </c>
      <c r="AM26" s="16">
        <f>19.943*LN(H5) + 36.214</f>
        <v>-27.980038314235287</v>
      </c>
      <c r="AO26" s="1">
        <v>64</v>
      </c>
      <c r="AP26" s="34" t="s">
        <v>71</v>
      </c>
      <c r="AQ26" s="16">
        <f t="shared" si="25"/>
        <v>20.920959881197483</v>
      </c>
      <c r="AR26" s="16">
        <f t="shared" si="26"/>
        <v>39.701999999999998</v>
      </c>
      <c r="AS26" s="16" t="s">
        <v>121</v>
      </c>
      <c r="AT26" s="16" t="s">
        <v>121</v>
      </c>
      <c r="AW26" s="1">
        <v>64</v>
      </c>
      <c r="AX26" s="34" t="s">
        <v>71</v>
      </c>
      <c r="AY26" s="16">
        <f t="shared" si="27"/>
        <v>27.524661448827725</v>
      </c>
      <c r="AZ26" s="16">
        <f t="shared" si="28"/>
        <v>43.216999999999999</v>
      </c>
      <c r="BA26" s="16" t="s">
        <v>121</v>
      </c>
      <c r="BB26" s="16" t="s">
        <v>121</v>
      </c>
      <c r="BE26" s="1">
        <v>64</v>
      </c>
      <c r="BF26" s="50" t="s">
        <v>71</v>
      </c>
      <c r="BG26" s="16">
        <f t="shared" si="29"/>
        <v>36.351979788789492</v>
      </c>
      <c r="BH26" s="16">
        <f t="shared" si="30"/>
        <v>36.351979788789485</v>
      </c>
      <c r="BI26" s="16">
        <f t="shared" si="31"/>
        <v>36.351979788789492</v>
      </c>
      <c r="BJ26" s="16">
        <f t="shared" si="32"/>
        <v>35.798757291920879</v>
      </c>
      <c r="BK26" s="16">
        <f t="shared" si="33"/>
        <v>33.411000000000001</v>
      </c>
      <c r="BL26">
        <f t="shared" si="34"/>
        <v>59.341999999999999</v>
      </c>
      <c r="BN26" s="1">
        <v>64</v>
      </c>
      <c r="BO26" s="50" t="s">
        <v>71</v>
      </c>
      <c r="BP26" s="16">
        <f t="shared" si="35"/>
        <v>24.277495488594788</v>
      </c>
      <c r="BQ26" s="16">
        <f t="shared" si="36"/>
        <v>24.278550381318947</v>
      </c>
      <c r="BR26" s="16">
        <f t="shared" si="37"/>
        <v>24.280720506998595</v>
      </c>
      <c r="BS26" s="16">
        <f t="shared" si="38"/>
        <v>22.760195936132316</v>
      </c>
      <c r="BT26" s="16">
        <f t="shared" si="39"/>
        <v>0</v>
      </c>
      <c r="BU26" s="16">
        <f t="shared" si="40"/>
        <v>0</v>
      </c>
      <c r="BX26" s="1">
        <v>64</v>
      </c>
      <c r="BY26" s="50" t="s">
        <v>71</v>
      </c>
      <c r="BZ26" s="16">
        <f t="shared" si="41"/>
        <v>41.779457380353541</v>
      </c>
      <c r="CA26" s="16">
        <f t="shared" si="42"/>
        <v>41.779067592282487</v>
      </c>
      <c r="CB26" s="16">
        <f t="shared" si="43"/>
        <v>40.285475198949058</v>
      </c>
      <c r="CC26" s="16">
        <f t="shared" si="44"/>
        <v>33.255920445181978</v>
      </c>
      <c r="CD26" s="16">
        <f t="shared" si="45"/>
        <v>18.100999999999999</v>
      </c>
      <c r="CE26" s="16">
        <f t="shared" si="46"/>
        <v>67.995000000000005</v>
      </c>
      <c r="CG26" s="1">
        <v>64</v>
      </c>
      <c r="CH26" s="50" t="s">
        <v>71</v>
      </c>
      <c r="CI26" s="16">
        <f t="shared" si="47"/>
        <v>38.506328399357002</v>
      </c>
      <c r="CJ26">
        <f t="shared" si="48"/>
        <v>38.5050869838065</v>
      </c>
      <c r="CK26">
        <f t="shared" si="49"/>
        <v>36.229662410963577</v>
      </c>
      <c r="CL26">
        <f t="shared" si="50"/>
        <v>26.097541183844328</v>
      </c>
      <c r="CM26">
        <f t="shared" si="51"/>
        <v>0</v>
      </c>
      <c r="CN26">
        <f t="shared" si="52"/>
        <v>0</v>
      </c>
    </row>
    <row r="27" spans="1:92">
      <c r="A27" s="1" t="s">
        <v>72</v>
      </c>
      <c r="B27" s="1">
        <v>90</v>
      </c>
      <c r="C27" s="27">
        <f>(C6+0.0087)/0.0009</f>
        <v>115.87861276600501</v>
      </c>
      <c r="D27" s="27">
        <f t="shared" si="9"/>
        <v>92.468560837516662</v>
      </c>
      <c r="E27" s="27">
        <f t="shared" si="10"/>
        <v>95.389258082839561</v>
      </c>
      <c r="F27" s="27">
        <f t="shared" si="11"/>
        <v>93.229578162012615</v>
      </c>
      <c r="H27" s="34" t="s">
        <v>72</v>
      </c>
      <c r="I27" s="27">
        <f>(D6/0.0003)^(1/0.9281)</f>
        <v>17.065811702828679</v>
      </c>
      <c r="J27" s="35">
        <f>3353.9*D6+16.246</f>
        <v>30.248590430233961</v>
      </c>
      <c r="K27" s="35">
        <f>1994.7*(D6^0.8093)</f>
        <v>23.674255529249351</v>
      </c>
      <c r="L27" s="35">
        <f>44.935*LN(D6)+263.07</f>
        <v>16.887456130623633</v>
      </c>
      <c r="N27" s="34" t="s">
        <v>72</v>
      </c>
      <c r="O27" s="16">
        <f t="shared" si="12"/>
        <v>216.74762833039611</v>
      </c>
      <c r="P27" s="16">
        <f t="shared" si="13"/>
        <v>119.1125392430142</v>
      </c>
      <c r="Q27" s="38">
        <f t="shared" si="14"/>
        <v>140933354638446.63</v>
      </c>
      <c r="R27" s="16">
        <f>-276.5*LN(K6) + 1491</f>
        <v>122.79861228787036</v>
      </c>
      <c r="U27" s="34" t="s">
        <v>72</v>
      </c>
      <c r="V27" s="16">
        <f t="shared" si="53"/>
        <v>0.41567343967478648</v>
      </c>
      <c r="W27" s="16">
        <f t="shared" si="16"/>
        <v>43.868704467680203</v>
      </c>
      <c r="X27" s="16">
        <f t="shared" si="17"/>
        <v>27.509761120953833</v>
      </c>
      <c r="Y27" s="16">
        <f t="shared" si="18"/>
        <v>35.512198542686704</v>
      </c>
      <c r="AA27" s="1">
        <v>90</v>
      </c>
      <c r="AB27" s="34" t="s">
        <v>72</v>
      </c>
      <c r="AC27" s="16">
        <f t="shared" si="19"/>
        <v>16.373213590505561</v>
      </c>
      <c r="AD27" s="13">
        <f t="shared" si="20"/>
        <v>20.442917594091853</v>
      </c>
      <c r="AE27" s="16">
        <f t="shared" si="21"/>
        <v>15.060376567986314</v>
      </c>
      <c r="AF27" s="13">
        <f>35.468*LN(I6) - 31.802</f>
        <v>-4.3784956823808656</v>
      </c>
      <c r="AH27" s="1">
        <v>90</v>
      </c>
      <c r="AI27" s="34" t="s">
        <v>72</v>
      </c>
      <c r="AJ27" s="16">
        <f t="shared" si="22"/>
        <v>20.219890502537915</v>
      </c>
      <c r="AK27" s="16">
        <f t="shared" si="23"/>
        <v>28.446311608815058</v>
      </c>
      <c r="AL27" s="16">
        <f t="shared" si="24"/>
        <v>19.832581929011742</v>
      </c>
      <c r="AM27" s="16">
        <f>19.943*LN(H6) + 36.214</f>
        <v>11.296517251930133</v>
      </c>
      <c r="AO27" s="1">
        <v>90</v>
      </c>
      <c r="AP27" s="34" t="s">
        <v>72</v>
      </c>
      <c r="AQ27" s="16">
        <f t="shared" si="25"/>
        <v>21.576912796719373</v>
      </c>
      <c r="AR27" s="16">
        <f t="shared" si="26"/>
        <v>40.4236067757531</v>
      </c>
      <c r="AS27" s="16" t="s">
        <v>121</v>
      </c>
      <c r="AT27" s="16" t="s">
        <v>121</v>
      </c>
      <c r="AW27" s="1">
        <v>90</v>
      </c>
      <c r="AX27" s="34" t="s">
        <v>72</v>
      </c>
      <c r="AY27" s="16">
        <f t="shared" si="27"/>
        <v>29.449546358859745</v>
      </c>
      <c r="AZ27" s="16">
        <f t="shared" si="28"/>
        <v>45.099026951175652</v>
      </c>
      <c r="BA27" s="16" t="s">
        <v>121</v>
      </c>
      <c r="BB27" s="16" t="s">
        <v>121</v>
      </c>
      <c r="BE27" s="1">
        <v>90</v>
      </c>
      <c r="BF27" s="50" t="s">
        <v>72</v>
      </c>
      <c r="BG27" s="16">
        <f t="shared" si="29"/>
        <v>92.468522601216051</v>
      </c>
      <c r="BH27" s="16">
        <f t="shared" si="30"/>
        <v>92.468522601215938</v>
      </c>
      <c r="BI27" s="16">
        <f t="shared" si="31"/>
        <v>92.468522601215994</v>
      </c>
      <c r="BJ27" s="16">
        <f t="shared" si="32"/>
        <v>92.469075477977853</v>
      </c>
      <c r="BK27" s="16">
        <f t="shared" si="33"/>
        <v>92.172546755566742</v>
      </c>
      <c r="BL27">
        <f t="shared" si="34"/>
        <v>91.955652593155037</v>
      </c>
      <c r="BN27" s="1">
        <v>90</v>
      </c>
      <c r="BO27" s="50" t="s">
        <v>72</v>
      </c>
      <c r="BP27" s="16">
        <f t="shared" si="35"/>
        <v>95.357755524747361</v>
      </c>
      <c r="BQ27" s="16">
        <f t="shared" si="36"/>
        <v>95.361898958840129</v>
      </c>
      <c r="BR27" s="16">
        <f t="shared" si="37"/>
        <v>95.37042283289928</v>
      </c>
      <c r="BS27" s="16">
        <f t="shared" si="38"/>
        <v>95.347571958453543</v>
      </c>
      <c r="BT27" s="16">
        <f t="shared" si="39"/>
        <v>95.634608274952342</v>
      </c>
      <c r="BU27" s="16">
        <f t="shared" si="40"/>
        <v>91.834151906724713</v>
      </c>
      <c r="BX27" s="1">
        <v>90</v>
      </c>
      <c r="BY27" s="50" t="s">
        <v>72</v>
      </c>
      <c r="BZ27" s="16">
        <f t="shared" si="41"/>
        <v>336.84850967372444</v>
      </c>
      <c r="CA27" s="16">
        <f t="shared" si="42"/>
        <v>336.84361542724753</v>
      </c>
      <c r="CB27" s="16">
        <f xml:space="preserve"> 45.439*W6 + 18.146</f>
        <v>296.13308204333094</v>
      </c>
      <c r="CC27" s="16">
        <f t="shared" si="44"/>
        <v>217.7074000920035</v>
      </c>
      <c r="CD27" s="16">
        <f t="shared" si="45"/>
        <v>174.23893348279333</v>
      </c>
      <c r="CE27" s="16">
        <f t="shared" si="46"/>
        <v>93.62479228933914</v>
      </c>
      <c r="CG27" s="1">
        <v>90</v>
      </c>
      <c r="CH27" s="50" t="s">
        <v>72</v>
      </c>
      <c r="CI27" s="16">
        <f t="shared" si="47"/>
        <v>298.42645328901642</v>
      </c>
      <c r="CJ27">
        <f t="shared" si="48"/>
        <v>298.41683224086142</v>
      </c>
      <c r="CK27">
        <f t="shared" si="49"/>
        <v>267.19719303270881</v>
      </c>
      <c r="CL27">
        <f t="shared" si="50"/>
        <v>200.23729242898125</v>
      </c>
      <c r="CM27">
        <f t="shared" si="51"/>
        <v>172.17145795622451</v>
      </c>
      <c r="CN27">
        <f t="shared" si="52"/>
        <v>95.177447376366999</v>
      </c>
    </row>
    <row r="28" spans="1:92">
      <c r="Q28" s="37"/>
    </row>
    <row r="39" spans="2:88">
      <c r="B39">
        <v>0</v>
      </c>
      <c r="C39">
        <v>0</v>
      </c>
    </row>
    <row r="40" spans="2:88">
      <c r="B40">
        <v>100</v>
      </c>
      <c r="C40">
        <v>100</v>
      </c>
    </row>
    <row r="45" spans="2:88">
      <c r="D45" s="1" t="s">
        <v>84</v>
      </c>
      <c r="E45" s="1" t="s">
        <v>85</v>
      </c>
      <c r="J45" s="28" t="s">
        <v>84</v>
      </c>
      <c r="K45" s="1" t="s">
        <v>99</v>
      </c>
      <c r="Q45" s="28" t="s">
        <v>84</v>
      </c>
      <c r="R45" s="1" t="s">
        <v>124</v>
      </c>
      <c r="X45" s="28" t="s">
        <v>84</v>
      </c>
      <c r="Y45" s="1" t="s">
        <v>125</v>
      </c>
      <c r="AD45" s="28" t="s">
        <v>84</v>
      </c>
      <c r="AE45" s="1" t="s">
        <v>126</v>
      </c>
      <c r="AK45" s="28" t="s">
        <v>84</v>
      </c>
      <c r="AL45" s="1" t="s">
        <v>127</v>
      </c>
      <c r="AT45" s="28" t="s">
        <v>84</v>
      </c>
      <c r="AU45" s="1" t="s">
        <v>128</v>
      </c>
      <c r="BB45" s="28" t="s">
        <v>84</v>
      </c>
      <c r="BC45" s="1" t="s">
        <v>129</v>
      </c>
      <c r="BG45" s="51" t="s">
        <v>135</v>
      </c>
      <c r="BH45" s="51"/>
      <c r="BI45" s="51"/>
      <c r="BJ45" s="51"/>
      <c r="BK45" s="51"/>
      <c r="BL45" s="51"/>
      <c r="BN45" t="s">
        <v>143</v>
      </c>
      <c r="BY45" s="51" t="s">
        <v>135</v>
      </c>
      <c r="BZ45" s="51"/>
      <c r="CA45" s="51"/>
      <c r="CB45" s="51"/>
      <c r="CC45" s="51"/>
      <c r="CD45" s="51"/>
    </row>
    <row r="46" spans="2:88">
      <c r="D46" s="19">
        <v>1</v>
      </c>
      <c r="E46" s="20" cm="1">
        <f t="array" ref="E46">SQRT(SUMSQ(B23:B27-C23:C27)/COUNTA(B23:B27-C23:C27))</f>
        <v>29.175457341110487</v>
      </c>
      <c r="J46" s="29">
        <v>1</v>
      </c>
      <c r="K46" s="20" cm="1">
        <f t="array" ref="K46">SQRT(SUMSQ($B23:$B27-I23:I27)/COUNTA($B23:$B27-I23:I27))</f>
        <v>46.215463915678441</v>
      </c>
      <c r="Q46" s="29">
        <v>1</v>
      </c>
      <c r="R46" s="20" cm="1">
        <f t="array" ref="R46">SQRT(SUMSQ($B23:$B27-O23:O27)/COUNTA($B23:$B27-O23:O27))</f>
        <v>221.90026591919485</v>
      </c>
      <c r="X46" s="29">
        <v>1</v>
      </c>
      <c r="Y46" s="20" cm="1">
        <f t="array" ref="Y46">SQRT(SUMSQ($B23:$B27-V23:V27)/COUNTA($B23:$B27-V23:V27))</f>
        <v>65.131417703744205</v>
      </c>
      <c r="AD46" s="29">
        <v>1</v>
      </c>
      <c r="AE46" s="20" cm="1">
        <f t="array" ref="AE46">SQRT(SUMSQ($B23:$B27-AC23:AC27)/COUNTA($B23:$B27-AC23:AC27))</f>
        <v>49.047349941565059</v>
      </c>
      <c r="AK46" s="29">
        <v>1</v>
      </c>
      <c r="AL46" s="20" cm="1">
        <f t="array" ref="AL46">SQRT(SUMSQ($B23:$B27-AJ23:AJ27)/COUNTA($B23:$B27-AJ23:AJ27))</f>
        <v>46.323116535475371</v>
      </c>
      <c r="AT46" s="29">
        <v>1</v>
      </c>
      <c r="AU46" s="20" cm="1">
        <f t="array" ref="AU46">SQRT(SUMSQ($B23:$B27-AQ23:AQ27)/COUNTA($B23:$B27-AQ23:AQ27))</f>
        <v>45.754146714834711</v>
      </c>
      <c r="BB46" s="29">
        <v>1</v>
      </c>
      <c r="BC46" s="20" cm="1">
        <f t="array" ref="BC46">SQRT(SUMSQ($B23:$B27-AY23:AY27)/COUNTA($B23:$B27-AY23:AY27))</f>
        <v>39.693110517649679</v>
      </c>
      <c r="BF46" s="50" t="s">
        <v>85</v>
      </c>
      <c r="BG46" s="50" t="s">
        <v>124</v>
      </c>
      <c r="BH46" s="50" t="s">
        <v>125</v>
      </c>
      <c r="BI46" s="50" t="s">
        <v>126</v>
      </c>
      <c r="BJ46" s="50" t="s">
        <v>127</v>
      </c>
      <c r="BK46" s="50" t="s">
        <v>128</v>
      </c>
      <c r="BL46" s="50" t="s">
        <v>129</v>
      </c>
      <c r="BN46" s="28" t="s">
        <v>84</v>
      </c>
      <c r="BO46" s="1" t="s">
        <v>44</v>
      </c>
      <c r="BP46" s="1" t="s">
        <v>45</v>
      </c>
      <c r="BQ46" s="1" t="s">
        <v>135</v>
      </c>
      <c r="BX46" s="50" t="s">
        <v>85</v>
      </c>
      <c r="BY46" s="50" t="s">
        <v>124</v>
      </c>
      <c r="BZ46" s="50" t="s">
        <v>125</v>
      </c>
      <c r="CA46" s="50" t="s">
        <v>126</v>
      </c>
      <c r="CB46" s="50" t="s">
        <v>127</v>
      </c>
      <c r="CC46" s="50" t="s">
        <v>128</v>
      </c>
      <c r="CD46" s="50" t="s">
        <v>129</v>
      </c>
      <c r="CG46" s="28" t="s">
        <v>84</v>
      </c>
      <c r="CH46" s="1" t="s">
        <v>44</v>
      </c>
      <c r="CI46" s="1" t="s">
        <v>45</v>
      </c>
      <c r="CJ46" s="1" t="s">
        <v>135</v>
      </c>
    </row>
    <row r="47" spans="2:88">
      <c r="D47" s="21">
        <v>2</v>
      </c>
      <c r="E47" s="22" cm="1">
        <f t="array" ref="E47">SQRT(SUMSQ(B23:B27-D23:D27)/COUNTA(B23:B27-D23:D27))</f>
        <v>12.928170918535644</v>
      </c>
      <c r="F47" t="s">
        <v>86</v>
      </c>
      <c r="J47" s="30">
        <v>2</v>
      </c>
      <c r="K47" s="22" cm="1">
        <f t="array" ref="K47">SQRT(SUMSQ($B23:$B27-J23:J27)/COUNTA($B23:$B27-J23:J27))</f>
        <v>36.55417195211966</v>
      </c>
      <c r="L47" t="s">
        <v>86</v>
      </c>
      <c r="Q47" s="30">
        <v>2</v>
      </c>
      <c r="R47" s="22" cm="1">
        <f t="array" ref="R47">SQRT(SUMSQ($B23:$B27-P23:P27)/COUNTA($B23:$B27-P23:P27))</f>
        <v>46.686099673170034</v>
      </c>
      <c r="S47" t="s">
        <v>86</v>
      </c>
      <c r="X47" s="30">
        <v>2</v>
      </c>
      <c r="Y47" s="22" cm="1">
        <f t="array" ref="Y47">SQRT(SUMSQ($B23:$B27-W23:W27)/COUNTA($B23:$B27-W23:W27))</f>
        <v>28.571778249735484</v>
      </c>
      <c r="Z47" t="s">
        <v>86</v>
      </c>
      <c r="AD47" s="30">
        <v>2</v>
      </c>
      <c r="AE47" s="22" cm="1">
        <f t="array" ref="AE47">SQRT(SUMSQ($B23:$B27-AD23:AD27)/COUNTA($B23:$B27-AD23:AD27))</f>
        <v>43.576551485958873</v>
      </c>
      <c r="AF47" t="s">
        <v>86</v>
      </c>
      <c r="AK47" s="30">
        <v>2</v>
      </c>
      <c r="AL47" s="22" cm="1">
        <f t="array" ref="AL47">SQRT(SUMSQ($B23:$B27-AK23:AK27)/COUNTA($B23:$B27-AK23:AK27))</f>
        <v>38.604565340151872</v>
      </c>
      <c r="AM47" t="s">
        <v>86</v>
      </c>
      <c r="AT47" s="30">
        <v>2</v>
      </c>
      <c r="AU47" s="22" cm="1">
        <f t="array" ref="AU47">SQRT(SUMSQ($B23:$B27-AR23:AR27)/COUNTA($B23:$B27-AR23:AR27))</f>
        <v>30.672057550046308</v>
      </c>
      <c r="AV47" t="s">
        <v>86</v>
      </c>
      <c r="BB47" s="30">
        <v>2</v>
      </c>
      <c r="BC47" s="22" cm="1">
        <f t="array" ref="BC47">SQRT(SUMSQ($B23:$B27-AZ23:AZ27)/COUNTA($B23:$B27-AZ23:AZ27))</f>
        <v>27.615189304368705</v>
      </c>
      <c r="BD47" t="s">
        <v>86</v>
      </c>
      <c r="BF47" s="50" t="s">
        <v>68</v>
      </c>
      <c r="BG47" s="47">
        <f xml:space="preserve"> 29.097*LN(Y2) - 40.141</f>
        <v>117.08639773129187</v>
      </c>
      <c r="BH47" s="47">
        <f xml:space="preserve"> 29.097*LN(X2) + 0.1962</f>
        <v>117.08659070578639</v>
      </c>
      <c r="BI47" s="47">
        <f xml:space="preserve"> 29.097*LN(W2) + 40.533</f>
        <v>117.08638368028078</v>
      </c>
      <c r="BJ47" s="47">
        <f>29.057*LN(V2) + 80.859</f>
        <v>117.02558956104791</v>
      </c>
      <c r="BK47" s="47">
        <f xml:space="preserve"> 31.515*LN(U2) + 124.82</f>
        <v>120.35693967991352</v>
      </c>
      <c r="BL47" s="47">
        <f xml:space="preserve"> 26.264*LN(T2) + 156.74</f>
        <v>116.61093554061492</v>
      </c>
      <c r="BN47" s="29" t="s">
        <v>124</v>
      </c>
      <c r="BO47" s="20" cm="1">
        <f t="array" ref="BO47">SQRT(SUMSQ($BE23:$BE27-BG23:BG27)/COUNTA($BE23:$BE27-BG23:BG27))</f>
        <v>38.000029880484881</v>
      </c>
      <c r="BP47" s="20" cm="1">
        <f t="array" ref="BP47">SQRT(SUMSQ($BN23:$BN27-BP23:BP27)/COUNTA($BN23:$BN27-BP23:BP27))</f>
        <v>32.182402841688187</v>
      </c>
      <c r="BQ47" s="20" cm="1">
        <f t="array" ref="BQ47">SQRT(SUMSQ($BN23:$BN27-BG47:BG51)/COUNTA($BN23:$BN27-BG47:BG51))</f>
        <v>23.444102468904656</v>
      </c>
      <c r="BX47" s="50" t="s">
        <v>68</v>
      </c>
      <c r="BY47" s="47">
        <f xml:space="preserve"> 44.935*LN(Y2) - 48.391</f>
        <v>194.41798776697252</v>
      </c>
      <c r="BZ47" s="47">
        <f xml:space="preserve"> 44.935*LN(X2) +13.901</f>
        <v>194.41685065005024</v>
      </c>
      <c r="CA47" s="47">
        <f xml:space="preserve"> 43.781*LN(W2) + 72.016</f>
        <v>187.20257218635504</v>
      </c>
      <c r="CB47" s="47">
        <f xml:space="preserve"> 40.557*LN(V2) + 114.54</f>
        <v>165.02037900772345</v>
      </c>
      <c r="CC47" s="47">
        <f>46.898*LN(U2) + 173.64</f>
        <v>166.99844509308534</v>
      </c>
      <c r="CD47" s="47">
        <f xml:space="preserve"> 22.582*LN(T2) + 150.14</f>
        <v>115.63670523827923</v>
      </c>
      <c r="CG47" s="29" t="s">
        <v>124</v>
      </c>
      <c r="CH47" s="20" cm="1">
        <f t="array" ref="CH47">SQRT(SUMSQ($BX23:$BX27-BZ23:BZ27)/COUNTA($BX23:$BX27-BZ23:BZ27))</f>
        <v>336.23623655167194</v>
      </c>
      <c r="CI47" s="20" cm="1">
        <f t="array" ref="CI47">SQRT(SUMSQ($CG23:$CG27-CI23:CI27)/COUNTA($CG23:$CG27-CI23:CI27))</f>
        <v>259.58062256799406</v>
      </c>
      <c r="CJ47" s="20" cm="1">
        <f t="array" ref="CJ47">SQRT(SUMSQ($BN23:$BN27-BY47:BY51)/COUNTA($BN23:$BN27-BY47:BY51))</f>
        <v>66.698020624917973</v>
      </c>
    </row>
    <row r="48" spans="2:88">
      <c r="D48" s="23">
        <v>3</v>
      </c>
      <c r="E48" s="18" cm="1">
        <f t="array" ref="E48">SQRT(SUMSQ(B23:B27-E23:E27)/COUNTA(B23:B27-E23:E27))</f>
        <v>18.714955766413365</v>
      </c>
      <c r="F48" t="s">
        <v>87</v>
      </c>
      <c r="J48" s="31">
        <v>3</v>
      </c>
      <c r="K48" s="18" cm="1">
        <f t="array" ref="K48">SQRT(SUMSQ($B23:$B27-K23:K27)/COUNTA($B23:$B27-K23:K27))</f>
        <v>41.002360985769059</v>
      </c>
      <c r="L48" t="s">
        <v>87</v>
      </c>
      <c r="Q48" s="31">
        <v>3</v>
      </c>
      <c r="R48" s="39" cm="1">
        <f t="array" ref="R48">SQRT(SUMSQ($B23:$B27-Q23:Q27)/COUNTA($B23:$B27-Q23:Q27))</f>
        <v>124841497437074.22</v>
      </c>
      <c r="S48" t="s">
        <v>87</v>
      </c>
      <c r="X48" s="31">
        <v>3</v>
      </c>
      <c r="Y48" s="18" cm="1">
        <f t="array" ref="Y48">SQRT(SUMSQ($B23:$B27-X23:X27)/COUNTA($B23:$B27-X23:X27))</f>
        <v>40.103901497053201</v>
      </c>
      <c r="Z48" t="s">
        <v>87</v>
      </c>
      <c r="AD48" s="31">
        <v>3</v>
      </c>
      <c r="AE48" s="18" cm="1">
        <f t="array" ref="AE48">SQRT(SUMSQ($B23:$B27-AE23:AE27)/COUNTA($B23:$B27-AE23:AE27))</f>
        <v>46.742408326217351</v>
      </c>
      <c r="AF48" t="s">
        <v>87</v>
      </c>
      <c r="AK48" s="31">
        <v>3</v>
      </c>
      <c r="AL48" s="18" cm="1">
        <f t="array" ref="AL48">SQRT(SUMSQ($B23:$B27-AL23:AL27)/COUNTA($B23:$B27-AL23:AL27))</f>
        <v>45.642551491060068</v>
      </c>
      <c r="AM48" t="s">
        <v>87</v>
      </c>
      <c r="AT48" s="31">
        <v>3</v>
      </c>
      <c r="AU48" s="18" t="e" cm="1">
        <f t="array" ref="AU48">SQRT(SUMSQ($B23:$B27-AS23:AS27)/COUNTA($B23:$B27-AS23:AS27))</f>
        <v>#VALUE!</v>
      </c>
      <c r="AV48" t="s">
        <v>87</v>
      </c>
      <c r="BB48" s="31">
        <v>3</v>
      </c>
      <c r="BC48" s="18" t="e" cm="1">
        <f t="array" ref="BC48">SQRT(SUMSQ($B23:$B27-BA23:BA27)/COUNTA($B23:$B27-BA23:BA27))</f>
        <v>#VALUE!</v>
      </c>
      <c r="BD48" t="s">
        <v>87</v>
      </c>
      <c r="BF48" s="50" t="s">
        <v>69</v>
      </c>
      <c r="BG48" s="47">
        <f t="shared" ref="BG48:BG51" si="54" xml:space="preserve"> 29.097*LN(Y3) - 40.141</f>
        <v>95.626819291528193</v>
      </c>
      <c r="BH48" s="47">
        <f t="shared" ref="BH48:BH51" si="55" xml:space="preserve"> 29.097*LN(X3) + 0.1962</f>
        <v>95.627012266022788</v>
      </c>
      <c r="BI48" s="47">
        <f t="shared" ref="BI48:BI51" si="56" xml:space="preserve"> 29.097*LN(W3) + 40.533</f>
        <v>95.626805240517314</v>
      </c>
      <c r="BJ48" s="47">
        <f t="shared" ref="BJ48:BJ51" si="57">29.057*LN(V3) + 80.859</f>
        <v>95.595511864920638</v>
      </c>
      <c r="BK48" s="47">
        <f t="shared" ref="BK48:BK51" si="58" xml:space="preserve"> 31.515*LN(U3) + 124.82</f>
        <v>97.114041287324923</v>
      </c>
      <c r="BL48" s="47">
        <f t="shared" ref="BL48:BL51" si="59" xml:space="preserve"> 26.264*LN(T3) + 156.74</f>
        <v>97.240747268904585</v>
      </c>
      <c r="BN48" s="30" t="s">
        <v>125</v>
      </c>
      <c r="BO48" s="20" cm="1">
        <f t="array" ref="BO48">SQRT(SUMSQ($BE23:$BE27-BH23:BH27)/COUNTA($BE23:$BE27-BH23:BH27))</f>
        <v>38.000029880484888</v>
      </c>
      <c r="BP48" s="20" cm="1">
        <f t="array" ref="BP48">SQRT(SUMSQ($BN23:$BN27-BQ23:BQ27)/COUNTA($BN23:$BN27-BQ23:BQ27))</f>
        <v>32.18481712478205</v>
      </c>
      <c r="BQ48" s="20" cm="1">
        <f t="array" ref="BQ48">SQRT(SUMSQ($BN23:$BN27-BH47:BH51)/COUNTA($BN23:$BN27-BH47:BH51))</f>
        <v>23.444086218170391</v>
      </c>
      <c r="BX48" s="50" t="s">
        <v>69</v>
      </c>
      <c r="BY48" s="47">
        <f t="shared" ref="BY48:BY50" si="60" xml:space="preserve"> 44.935*LN(Y3) - 48.391</f>
        <v>161.27758988434613</v>
      </c>
      <c r="BZ48" s="47">
        <f t="shared" ref="BZ48:BZ51" si="61" xml:space="preserve"> 44.935*LN(X3) +13.901</f>
        <v>161.27645276742393</v>
      </c>
      <c r="CA48" s="47">
        <f t="shared" ref="CA48:CA51" si="62" xml:space="preserve"> 43.781*LN(W3) + 72.016</f>
        <v>154.9132707576413</v>
      </c>
      <c r="CB48" s="47">
        <f t="shared" ref="CB48:CB51" si="63" xml:space="preserve"> 40.557*LN(V3) + 114.54</f>
        <v>135.10883751610925</v>
      </c>
      <c r="CC48" s="47">
        <f t="shared" ref="CC48:CC51" si="64">46.898*LN(U3) + 173.64</f>
        <v>132.41029821649894</v>
      </c>
      <c r="CD48" s="47">
        <f t="shared" ref="CD48" si="65" xml:space="preserve"> 22.582*LN(T3) + 150.14</f>
        <v>98.982060418306531</v>
      </c>
      <c r="CG48" s="30" t="s">
        <v>125</v>
      </c>
      <c r="CH48" s="20" cm="1">
        <f t="array" ref="CH48">SQRT(SUMSQ($BX23:$BX27-CA23:CA27)/COUNTA($BX23:$BX27-CA23:CA27))</f>
        <v>336.23031856023118</v>
      </c>
      <c r="CI48" s="20" cm="1">
        <f t="array" ref="CI48">SQRT(SUMSQ($BN23:$BN27-CJ23:CJ27)/COUNTA($BN23:$BN27-CJ23:CJ27))</f>
        <v>259.57018904936632</v>
      </c>
      <c r="CJ48" s="20" cm="1">
        <f t="array" ref="CJ48">SQRT(SUMSQ($BN23:$BN27-BZ47:BZ51)/COUNTA($BN23:$BN27-BZ47:BZ51))</f>
        <v>66.697137339872597</v>
      </c>
    </row>
    <row r="49" spans="4:88">
      <c r="D49" s="24">
        <v>4</v>
      </c>
      <c r="E49" s="25" cm="1">
        <f t="array" ref="E49">SQRT(SUMSQ(B23:B27-F23:F27)/COUNTA(B23:B27-F23:F27))</f>
        <v>20.07363987061624</v>
      </c>
      <c r="F49" t="s">
        <v>88</v>
      </c>
      <c r="J49" s="32">
        <v>4</v>
      </c>
      <c r="K49" s="25" cm="1">
        <f t="array" ref="K49">SQRT(SUMSQ($B23:$B27-L23:L27)/COUNTA($B23:$B27-L23:L27))</f>
        <v>43.849084476060163</v>
      </c>
      <c r="L49" t="s">
        <v>88</v>
      </c>
      <c r="Q49" s="32">
        <v>4</v>
      </c>
      <c r="R49" s="25" cm="1">
        <f t="array" ref="R49">SQRT(SUMSQ($B23:$B27-R23:R27)/COUNTA($B23:$B27-R23:R27))</f>
        <v>52.697356819929738</v>
      </c>
      <c r="S49" t="s">
        <v>88</v>
      </c>
      <c r="X49" s="32">
        <v>4</v>
      </c>
      <c r="Y49" s="25" cm="1">
        <f t="array" ref="Y49">SQRT(SUMSQ($B23:$B27-Y23:Y27)/COUNTA($B23:$B27-Y23:Y27))</f>
        <v>33.281567358941764</v>
      </c>
      <c r="Z49" t="s">
        <v>88</v>
      </c>
      <c r="AD49" s="32">
        <v>4</v>
      </c>
      <c r="AE49" s="25" cm="1">
        <f t="array" ref="AE49">SQRT(SUMSQ($B23:$B27-AF23:AF27)/COUNTA($B23:$B27-AF23:AF27))</f>
        <v>56.853987041922856</v>
      </c>
      <c r="AF49" t="s">
        <v>88</v>
      </c>
      <c r="AK49" s="32">
        <v>4</v>
      </c>
      <c r="AL49" s="25" cm="1">
        <f t="array" ref="AL49">SQRT(SUMSQ($B23:$B27-AM23:AM27)/COUNTA($B23:$B27-AM23:AM27))</f>
        <v>59.388122118072737</v>
      </c>
      <c r="AM49" t="s">
        <v>88</v>
      </c>
      <c r="AT49" s="32">
        <v>4</v>
      </c>
      <c r="AU49" s="25" t="e" cm="1">
        <f t="array" ref="AU49">SQRT(SUMSQ($B23:$B27-AT23:AT27)/COUNTA($B23:$B27-AT23:AT27))</f>
        <v>#VALUE!</v>
      </c>
      <c r="AV49" t="s">
        <v>88</v>
      </c>
      <c r="BB49" s="32">
        <v>4</v>
      </c>
      <c r="BC49" s="25" t="e" cm="1">
        <f t="array" ref="BC49">SQRT(SUMSQ($B23:$B27-BB23:BB27)/COUNTA($B23:$B27-BB23:BB27))</f>
        <v>#VALUE!</v>
      </c>
      <c r="BD49" t="s">
        <v>88</v>
      </c>
      <c r="BF49" s="50" t="s">
        <v>70</v>
      </c>
      <c r="BG49" s="47">
        <f t="shared" si="54"/>
        <v>43.569315004680341</v>
      </c>
      <c r="BH49" s="47">
        <f t="shared" si="55"/>
        <v>43.569507979174908</v>
      </c>
      <c r="BI49" s="47">
        <f t="shared" si="56"/>
        <v>43.569300953669391</v>
      </c>
      <c r="BJ49" s="47">
        <f t="shared" si="57"/>
        <v>43.609571662737075</v>
      </c>
      <c r="BK49" s="47">
        <f t="shared" si="58"/>
        <v>40.730488082526833</v>
      </c>
      <c r="BL49" s="47">
        <v>0</v>
      </c>
      <c r="BN49" s="31" t="s">
        <v>126</v>
      </c>
      <c r="BO49" s="20" cm="1">
        <f t="array" ref="BO49">SQRT(SUMSQ($BE23:$BE27-BI23:BI27)/COUNTA($BE23:$BE27-BI23:BI27))</f>
        <v>38.000029880484576</v>
      </c>
      <c r="BP49" s="20" cm="1">
        <f t="array" ref="BP49">SQRT(SUMSQ($BN23:$BN27-BR23:BR27)/COUNTA($BN23:$BN27-BR23:BR27))</f>
        <v>32.18978481012104</v>
      </c>
      <c r="BQ49" s="20" cm="1">
        <f t="array" ref="BQ49">SQRT(SUMSQ($BN23:$BN27-BI47:BI51)/COUNTA($BN23:$BN27-BI47:BI51))</f>
        <v>23.444103652227472</v>
      </c>
      <c r="BX49" s="50" t="s">
        <v>70</v>
      </c>
      <c r="BY49" s="47">
        <f t="shared" si="60"/>
        <v>80.884286274712565</v>
      </c>
      <c r="BZ49" s="47">
        <f t="shared" si="61"/>
        <v>80.883149157790314</v>
      </c>
      <c r="CA49" s="47">
        <f t="shared" si="62"/>
        <v>76.584590990569467</v>
      </c>
      <c r="CB49" s="47">
        <f t="shared" si="63"/>
        <v>62.548222972971324</v>
      </c>
      <c r="CC49" s="47">
        <f t="shared" si="64"/>
        <v>48.504987151970269</v>
      </c>
      <c r="CD49" s="47">
        <v>0</v>
      </c>
      <c r="CG49" s="31" t="s">
        <v>126</v>
      </c>
      <c r="CH49" s="20" cm="1">
        <f t="array" ref="CH49">SQRT(SUMSQ($BX23:$BX27-CB23:CB27)/COUNTA($BX23:$BX27-CB23:CB27))</f>
        <v>286.06392929303752</v>
      </c>
      <c r="CI49" s="20" cm="1">
        <f t="array" ref="CI49">SQRT(SUMSQ($BN23:$BN27-CK23:CK27)/COUNTA($BN23:$BN27-CK23:CK27))</f>
        <v>222.55209425310963</v>
      </c>
      <c r="CJ49" s="20" cm="1">
        <f t="array" ref="CJ49">SQRT(SUMSQ($BN23:$BN27-CA47:CA51)/COUNTA($BN23:$BN27-CA47:CA51))</f>
        <v>61.59442775322988</v>
      </c>
    </row>
    <row r="50" spans="4:88">
      <c r="BF50" s="50" t="s">
        <v>71</v>
      </c>
      <c r="BG50" s="47">
        <f t="shared" si="54"/>
        <v>19.612022449731526</v>
      </c>
      <c r="BH50" s="47">
        <f t="shared" si="55"/>
        <v>19.612215424226033</v>
      </c>
      <c r="BI50" s="47">
        <f t="shared" si="56"/>
        <v>19.612008398720633</v>
      </c>
      <c r="BJ50" s="47">
        <f t="shared" si="57"/>
        <v>16.151528415488315</v>
      </c>
      <c r="BK50" s="47">
        <v>0</v>
      </c>
      <c r="BL50" s="47">
        <v>0</v>
      </c>
      <c r="BN50" s="32" t="s">
        <v>127</v>
      </c>
      <c r="BO50" s="20" cm="1">
        <f t="array" ref="BO50">SQRT(SUMSQ($BE23:$BE27-BJ23:BJ27)/COUNTA($BE23:$BE27-BJ23:BJ27))</f>
        <v>38.080167234104955</v>
      </c>
      <c r="BP50" s="20" cm="1">
        <f t="array" ref="BP50">SQRT(SUMSQ($BN23:$BN27-BS23:BS27)/COUNTA($BN23:$BN27-BS23:BS27))</f>
        <v>32.53184499148653</v>
      </c>
      <c r="BQ50" s="20" cm="1">
        <f t="array" ref="BQ50">SQRT(SUMSQ($BN23:$BN27-BJ47:BJ51)/COUNTA($BN23:$BN27-BJ47:BJ51))</f>
        <v>24.75228317843807</v>
      </c>
      <c r="BX50" s="50" t="s">
        <v>71</v>
      </c>
      <c r="BY50" s="47">
        <f t="shared" si="60"/>
        <v>43.886625314592088</v>
      </c>
      <c r="BZ50" s="47">
        <f t="shared" si="61"/>
        <v>43.885488197669744</v>
      </c>
      <c r="CA50" s="47">
        <f t="shared" si="62"/>
        <v>40.537086940385201</v>
      </c>
      <c r="CB50" s="47">
        <f t="shared" si="63"/>
        <v>24.223004953951175</v>
      </c>
      <c r="CC50" s="47">
        <v>0</v>
      </c>
      <c r="CD50" s="47">
        <v>0</v>
      </c>
      <c r="CG50" s="32" t="s">
        <v>127</v>
      </c>
      <c r="CH50" s="20" cm="1">
        <f t="array" ref="CH50">SQRT(SUMSQ($BX23:$BX27-CC23:CC27)/COUNTA($BX23:$BX27-CC23:CC27))</f>
        <v>191.04845424435464</v>
      </c>
      <c r="CI50" s="20" cm="1">
        <f t="array" ref="CI50">SQRT(SUMSQ($BN23:$BN27-CL23:CL27)/COUNTA($BN23:$BN27-CL23:CL27))</f>
        <v>148.74812126603524</v>
      </c>
      <c r="CJ50" s="20" cm="1">
        <f t="array" ref="CJ50">SQRT(SUMSQ($BN23:$BN27-CB47:CB51)/COUNTA($BN23:$BN27-CB47:CB51))</f>
        <v>47.535254496137185</v>
      </c>
    </row>
    <row r="51" spans="4:88">
      <c r="BF51" s="50" t="s">
        <v>72</v>
      </c>
      <c r="BG51" s="47">
        <f t="shared" si="54"/>
        <v>93.233613289539932</v>
      </c>
      <c r="BH51" s="47">
        <f t="shared" si="55"/>
        <v>93.233806264034413</v>
      </c>
      <c r="BI51" s="47">
        <f t="shared" si="56"/>
        <v>93.233599238528967</v>
      </c>
      <c r="BJ51" s="47">
        <f t="shared" si="57"/>
        <v>93.205595832347797</v>
      </c>
      <c r="BK51" s="47">
        <f t="shared" si="58"/>
        <v>94.521956634176448</v>
      </c>
      <c r="BL51" s="47">
        <f t="shared" si="59"/>
        <v>95.080553350761249</v>
      </c>
      <c r="BN51" s="28" t="s">
        <v>128</v>
      </c>
      <c r="BO51" s="20" cm="1">
        <f t="array" ref="BO51">SQRT(SUMSQ($BE23:$BE27-BK23:BK27)/COUNTA($BE23:$BE27-BK23:BK27))</f>
        <v>37.124656041618991</v>
      </c>
      <c r="BP51" s="20" cm="1">
        <f t="array" ref="BP51">SQRT(SUMSQ($BN23:$BN27-BT23:BT27)/COUNTA($BN23:$BN27-BT23:BT27))</f>
        <v>39.875294950696045</v>
      </c>
      <c r="BQ51" s="20" cm="1">
        <f t="array" ref="BQ51">SQRT(SUMSQ($BN23:$BN27-BK47:BK51)/COUNTA($BN23:$BN27-BK47:BK51))</f>
        <v>31.958817856680774</v>
      </c>
      <c r="BX51" s="50" t="s">
        <v>72</v>
      </c>
      <c r="BY51" s="47">
        <f xml:space="preserve"> 44.935*LN(Y6) - 48.391</f>
        <v>157.58172049233517</v>
      </c>
      <c r="BZ51" s="47">
        <f t="shared" si="61"/>
        <v>157.5805833754128</v>
      </c>
      <c r="CA51" s="47">
        <f t="shared" si="62"/>
        <v>151.31231698326414</v>
      </c>
      <c r="CB51" s="47">
        <f t="shared" si="63"/>
        <v>131.77305527661252</v>
      </c>
      <c r="CC51" s="47">
        <f t="shared" si="64"/>
        <v>128.55297357542781</v>
      </c>
      <c r="CD51" s="47">
        <f xml:space="preserve"> 22.582*LN(T6) + 150.14</f>
        <v>97.124708184849595</v>
      </c>
      <c r="CG51" s="28" t="s">
        <v>128</v>
      </c>
      <c r="CH51" s="20" cm="1">
        <f t="array" ref="CH51">SQRT(SUMSQ($BX23:$BX27-CD23:CD27)/COUNTA($BX23:$BX27-CD23:CD27))</f>
        <v>140.39838966230207</v>
      </c>
      <c r="CI51" s="20" cm="1">
        <f t="array" ref="CI51">SQRT(SUMSQ($BN23:$BN27-CM23:CM27)/COUNTA($BN23:$BN27-CM23:CM27))</f>
        <v>126.73391677859249</v>
      </c>
      <c r="CJ51" s="20" cm="1">
        <f t="array" ref="CJ51">SQRT(SUMSQ($BN23:$BN27-CC47:CC51)/COUNTA($BN23:$BN27-CC47:CC51))</f>
        <v>51.617847006647544</v>
      </c>
    </row>
    <row r="52" spans="4:88">
      <c r="BN52" s="28" t="s">
        <v>129</v>
      </c>
      <c r="BO52" s="48" cm="1">
        <f t="array" ref="BO52">SQRT(SUMSQ($BE23:$BE27-BL23:BL27)/COUNTA($BE23:$BE27-BL23:BL27))</f>
        <v>20.664481905374863</v>
      </c>
      <c r="BP52" s="20" cm="1">
        <f t="array" ref="BP52">SQRT(SUMSQ($BN23:$BN27-BU23:BU27)/COUNTA($BN23:$BN27-BU23:BU27))</f>
        <v>37.639204421305124</v>
      </c>
      <c r="BQ52" s="20" cm="1">
        <f t="array" ref="BQ52">SQRT(SUMSQ($BN23:$BN27-BL47:BL51)/COUNTA($BN23:$BN27-BL47:BL51))</f>
        <v>37.168218503740107</v>
      </c>
      <c r="BY52" t="s">
        <v>137</v>
      </c>
      <c r="BZ52" t="s">
        <v>142</v>
      </c>
      <c r="CA52" t="s">
        <v>141</v>
      </c>
      <c r="CB52" t="s">
        <v>140</v>
      </c>
      <c r="CC52" t="s">
        <v>139</v>
      </c>
      <c r="CD52" t="s">
        <v>138</v>
      </c>
      <c r="CG52" s="28" t="s">
        <v>129</v>
      </c>
      <c r="CH52" s="48" cm="1">
        <f t="array" ref="CH52">SQRT(SUMSQ($BX23:$BX27-CE23:CE27)/COUNTA($BX23:$BX27-CE23:CE27))</f>
        <v>19.495216783577099</v>
      </c>
      <c r="CI52" s="20" cm="1">
        <f t="array" ref="CI52">SQRT(SUMSQ($BN23:$BN27-CN23:CN27)/COUNTA($BN23:$BN27-CN23:CN27))</f>
        <v>38.023197194129132</v>
      </c>
      <c r="CJ52" s="20" cm="1">
        <f t="array" ref="CJ52">SQRT(SUMSQ($BN23:$BN27-CD47:CD51)/COUNTA($BN23:$BN27-CD47:CD51))</f>
        <v>37.174398533269603</v>
      </c>
    </row>
  </sheetData>
  <mergeCells count="15">
    <mergeCell ref="BZ21:CC21"/>
    <mergeCell ref="BY45:CD45"/>
    <mergeCell ref="BG21:BJ21"/>
    <mergeCell ref="BP21:BS21"/>
    <mergeCell ref="BG45:BL45"/>
    <mergeCell ref="AJ21:AM21"/>
    <mergeCell ref="AQ21:AT21"/>
    <mergeCell ref="AY21:BB21"/>
    <mergeCell ref="AS1:AX1"/>
    <mergeCell ref="AQ1:AR1"/>
    <mergeCell ref="C21:F21"/>
    <mergeCell ref="I21:L21"/>
    <mergeCell ref="O21:R21"/>
    <mergeCell ref="V21:Y21"/>
    <mergeCell ref="AC21:AF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053-825F-44F8-8B32-58C511E38E44}">
  <dimension ref="A1:K14"/>
  <sheetViews>
    <sheetView workbookViewId="0">
      <selection activeCell="F30" sqref="F30"/>
    </sheetView>
  </sheetViews>
  <sheetFormatPr defaultRowHeight="15"/>
  <cols>
    <col min="2" max="2" width="16.7109375" customWidth="1"/>
    <col min="3" max="3" width="20.5703125" customWidth="1"/>
    <col min="4" max="4" width="16.140625" customWidth="1"/>
    <col min="5" max="5" width="16.28515625" customWidth="1"/>
    <col min="6" max="6" width="15.5703125" customWidth="1"/>
    <col min="7" max="7" width="18.7109375" customWidth="1"/>
    <col min="8" max="8" width="15.28515625" customWidth="1"/>
    <col min="9" max="9" width="15.42578125" customWidth="1"/>
    <col min="10" max="10" width="13" customWidth="1"/>
    <col min="11" max="11" width="14.28515625" customWidth="1"/>
  </cols>
  <sheetData>
    <row r="1" spans="1:11">
      <c r="A1" s="1"/>
      <c r="B1" s="51" t="s">
        <v>37</v>
      </c>
      <c r="C1" s="51"/>
      <c r="D1" s="51"/>
      <c r="E1" s="51"/>
      <c r="F1" s="51"/>
      <c r="G1" s="51"/>
    </row>
    <row r="2" spans="1:11">
      <c r="A2" s="1"/>
      <c r="B2" s="1" t="s">
        <v>38</v>
      </c>
      <c r="C2" s="1" t="s">
        <v>39</v>
      </c>
      <c r="D2" s="3" t="s">
        <v>40</v>
      </c>
      <c r="E2" s="3" t="s">
        <v>41</v>
      </c>
      <c r="F2" s="1" t="s">
        <v>42</v>
      </c>
      <c r="G2" s="1" t="s">
        <v>43</v>
      </c>
    </row>
    <row r="3" spans="1:11">
      <c r="A3" s="1" t="s">
        <v>44</v>
      </c>
      <c r="B3" s="1">
        <v>0.57699999999999996</v>
      </c>
      <c r="C3" s="1">
        <v>0.57599999999999996</v>
      </c>
      <c r="D3" s="3">
        <v>0.68300000000000005</v>
      </c>
      <c r="E3" s="3">
        <v>0.68289999999999995</v>
      </c>
      <c r="F3" s="1">
        <v>0.2034</v>
      </c>
      <c r="G3" s="1">
        <v>0.20330000000000001</v>
      </c>
    </row>
    <row r="4" spans="1:11">
      <c r="A4" s="1" t="s">
        <v>45</v>
      </c>
      <c r="B4" s="1">
        <v>0.55300000000000005</v>
      </c>
      <c r="C4" s="1">
        <v>0.55200000000000005</v>
      </c>
      <c r="D4" s="10">
        <v>0.68540000000000001</v>
      </c>
      <c r="E4" s="11">
        <v>0.68520000000000003</v>
      </c>
      <c r="F4" s="1">
        <v>0.20580000000000001</v>
      </c>
      <c r="G4" s="1">
        <v>0.20569999999999999</v>
      </c>
    </row>
    <row r="5" spans="1:11">
      <c r="A5" s="1" t="s">
        <v>46</v>
      </c>
      <c r="B5" s="1">
        <v>0.56720000000000004</v>
      </c>
      <c r="C5" s="1">
        <v>0.56669999999999998</v>
      </c>
      <c r="D5" s="3">
        <v>0.65639999999999998</v>
      </c>
      <c r="E5" s="3">
        <v>0.65639999999999998</v>
      </c>
      <c r="F5" s="1">
        <v>0.1973</v>
      </c>
      <c r="G5" s="1">
        <v>0.1973</v>
      </c>
    </row>
    <row r="6" spans="1:11">
      <c r="A6" s="1"/>
      <c r="B6" s="1"/>
      <c r="C6" s="1"/>
      <c r="D6" s="1"/>
      <c r="E6" s="1"/>
      <c r="F6" s="1"/>
      <c r="G6" s="1"/>
    </row>
    <row r="7" spans="1:11">
      <c r="B7" s="52" t="s">
        <v>47</v>
      </c>
      <c r="C7" s="51"/>
      <c r="D7" s="51"/>
      <c r="E7" s="53"/>
      <c r="F7" s="52" t="s">
        <v>48</v>
      </c>
      <c r="G7" s="51"/>
      <c r="H7" s="51"/>
      <c r="I7" s="51"/>
      <c r="J7" s="51"/>
      <c r="K7" s="53"/>
    </row>
    <row r="8" spans="1:11">
      <c r="A8" s="1"/>
      <c r="B8" s="6" t="s">
        <v>49</v>
      </c>
      <c r="C8" s="1" t="s">
        <v>50</v>
      </c>
      <c r="D8" s="1" t="s">
        <v>51</v>
      </c>
      <c r="E8" s="7" t="s">
        <v>52</v>
      </c>
      <c r="F8" s="6" t="s">
        <v>49</v>
      </c>
      <c r="G8" s="1" t="s">
        <v>50</v>
      </c>
      <c r="H8" s="1" t="s">
        <v>53</v>
      </c>
      <c r="I8" s="1" t="s">
        <v>54</v>
      </c>
      <c r="J8" s="1" t="s">
        <v>51</v>
      </c>
      <c r="K8" s="7" t="s">
        <v>52</v>
      </c>
    </row>
    <row r="9" spans="1:11">
      <c r="A9" s="1" t="s">
        <v>55</v>
      </c>
      <c r="B9" s="6">
        <v>2.7E-2</v>
      </c>
      <c r="C9" s="1">
        <v>3.3000000000000002E-2</v>
      </c>
      <c r="D9" s="1">
        <v>1.7500000000000002E-2</v>
      </c>
      <c r="E9" s="7">
        <v>2.0400000000000001E-2</v>
      </c>
      <c r="F9" s="6">
        <v>0.68300000000000005</v>
      </c>
      <c r="G9" s="1">
        <v>0.57879999999999998</v>
      </c>
      <c r="H9" s="1">
        <v>0.68540000000000001</v>
      </c>
      <c r="I9" s="1">
        <v>0.58389999999999997</v>
      </c>
      <c r="J9" s="1">
        <v>0.65639999999999998</v>
      </c>
      <c r="K9" s="7">
        <v>0.60699999999999998</v>
      </c>
    </row>
    <row r="10" spans="1:11">
      <c r="A10" s="1" t="s">
        <v>56</v>
      </c>
      <c r="B10" s="6">
        <v>1.21E-2</v>
      </c>
      <c r="C10" s="1">
        <v>5.7000000000000002E-2</v>
      </c>
      <c r="D10" s="1">
        <v>3.0700000000000002E-2</v>
      </c>
      <c r="E10" s="7">
        <v>0.1037</v>
      </c>
      <c r="F10" s="9">
        <v>0.68300000000000005</v>
      </c>
      <c r="G10" s="3">
        <v>0.57869999999999999</v>
      </c>
      <c r="H10" s="3">
        <v>0.68540000000000001</v>
      </c>
      <c r="I10" s="3">
        <v>0.58399999999999996</v>
      </c>
      <c r="J10" s="3">
        <v>0.65639999999999998</v>
      </c>
      <c r="K10" s="8">
        <v>0.60660000000000003</v>
      </c>
    </row>
    <row r="11" spans="1:11">
      <c r="A11" s="3" t="s">
        <v>57</v>
      </c>
      <c r="B11" s="9">
        <v>0.45610000000000001</v>
      </c>
      <c r="C11" s="1">
        <v>0.44900000000000001</v>
      </c>
      <c r="D11" s="3">
        <v>0.51060000000000005</v>
      </c>
      <c r="E11" s="7">
        <v>0.51239999999999997</v>
      </c>
      <c r="F11" s="6">
        <v>0.67349999999999999</v>
      </c>
      <c r="G11" s="1">
        <v>0.53559999999999997</v>
      </c>
      <c r="H11" s="1">
        <v>0.67500000000000004</v>
      </c>
      <c r="I11" s="1">
        <v>0.53790000000000004</v>
      </c>
      <c r="J11" s="1">
        <v>0.65439999999999998</v>
      </c>
      <c r="K11" s="7">
        <v>0.56930000000000003</v>
      </c>
    </row>
    <row r="12" spans="1:11">
      <c r="A12" s="3" t="s">
        <v>58</v>
      </c>
      <c r="B12" s="9">
        <v>0.54339999999999999</v>
      </c>
      <c r="C12" s="3">
        <v>0.50139999999999996</v>
      </c>
      <c r="D12" s="3">
        <v>0.58479999999999999</v>
      </c>
      <c r="E12" s="8">
        <v>0.54890000000000005</v>
      </c>
      <c r="F12" s="6">
        <v>0.56969999999999998</v>
      </c>
      <c r="G12" s="1">
        <v>0.44779999999999998</v>
      </c>
      <c r="H12" s="1">
        <v>0.57520000000000004</v>
      </c>
      <c r="I12" s="1">
        <v>0.46210000000000001</v>
      </c>
      <c r="J12" s="1">
        <v>0.61250000000000004</v>
      </c>
      <c r="K12" s="7">
        <v>0.50790000000000002</v>
      </c>
    </row>
    <row r="13" spans="1:11">
      <c r="A13" s="1" t="s">
        <v>59</v>
      </c>
      <c r="B13" s="6">
        <v>0.36980000000000002</v>
      </c>
      <c r="C13" s="3">
        <v>0.50829999999999997</v>
      </c>
      <c r="D13" s="1">
        <v>0.44440000000000002</v>
      </c>
      <c r="E13" s="8">
        <v>0.53139999999999998</v>
      </c>
      <c r="F13" s="6">
        <v>0.62539999999999996</v>
      </c>
      <c r="G13" s="1">
        <v>0.28749999999999998</v>
      </c>
      <c r="H13" s="1">
        <v>0.62919999999999998</v>
      </c>
      <c r="I13" s="1">
        <v>0.30859999999999999</v>
      </c>
      <c r="J13" s="1">
        <v>0.62819999999999998</v>
      </c>
      <c r="K13" s="7">
        <v>0.34050000000000002</v>
      </c>
    </row>
    <row r="14" spans="1:11">
      <c r="A14" s="1" t="s">
        <v>60</v>
      </c>
      <c r="B14" s="6">
        <v>0.43440000000000001</v>
      </c>
      <c r="C14" s="1">
        <v>0.3034</v>
      </c>
      <c r="D14" s="1">
        <v>0.435</v>
      </c>
      <c r="E14" s="7">
        <v>0.2422</v>
      </c>
      <c r="F14" s="6">
        <v>6.8500000000000005E-2</v>
      </c>
      <c r="G14" s="1">
        <v>0.1012</v>
      </c>
      <c r="H14" s="1">
        <v>7.5700000000000003E-2</v>
      </c>
      <c r="I14" s="1">
        <v>0.1135</v>
      </c>
      <c r="J14" s="1">
        <v>8.9499999999999996E-2</v>
      </c>
      <c r="K14" s="7">
        <v>0.12989999999999999</v>
      </c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157-6BBB-47F7-AC96-7DF3592F224F}">
  <dimension ref="A1:G14"/>
  <sheetViews>
    <sheetView topLeftCell="A2" workbookViewId="0">
      <selection activeCell="P12" sqref="P12"/>
    </sheetView>
  </sheetViews>
  <sheetFormatPr defaultRowHeight="15"/>
  <cols>
    <col min="2" max="2" width="15.7109375" customWidth="1"/>
    <col min="3" max="3" width="16.7109375" customWidth="1"/>
    <col min="4" max="4" width="15.28515625" customWidth="1"/>
    <col min="5" max="5" width="15.7109375" customWidth="1"/>
    <col min="6" max="6" width="13.28515625" customWidth="1"/>
    <col min="7" max="7" width="12" customWidth="1"/>
  </cols>
  <sheetData>
    <row r="1" spans="1:7">
      <c r="A1" s="1"/>
      <c r="B1" s="51" t="s">
        <v>21</v>
      </c>
      <c r="C1" s="51"/>
      <c r="D1" s="51" t="s">
        <v>20</v>
      </c>
      <c r="E1" s="51"/>
      <c r="F1" s="51" t="s">
        <v>11</v>
      </c>
      <c r="G1" s="51"/>
    </row>
    <row r="2" spans="1:7">
      <c r="A2" s="1" t="s">
        <v>14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>
      <c r="A3" s="1" t="s">
        <v>4</v>
      </c>
      <c r="B3" s="1">
        <v>7.0800000000000002E-2</v>
      </c>
      <c r="C3" s="1">
        <v>0.63100000000000001</v>
      </c>
      <c r="D3" s="1">
        <v>0.17879999999999999</v>
      </c>
      <c r="E3" s="1">
        <v>1.6488</v>
      </c>
      <c r="F3" s="1">
        <v>90</v>
      </c>
    </row>
    <row r="4" spans="1:7">
      <c r="A4" s="1" t="s">
        <v>5</v>
      </c>
      <c r="B4" s="1">
        <v>4.87E-2</v>
      </c>
      <c r="C4" s="1">
        <v>0.63100000000000001</v>
      </c>
      <c r="D4" s="1">
        <v>4.87E-2</v>
      </c>
      <c r="E4" s="1">
        <v>2.6674000000000002</v>
      </c>
      <c r="F4" s="1">
        <v>90</v>
      </c>
    </row>
    <row r="5" spans="1:7">
      <c r="A5" s="1" t="s">
        <v>6</v>
      </c>
      <c r="B5" s="1">
        <v>6.7999999999999996E-3</v>
      </c>
      <c r="C5" s="1">
        <v>0.63100000000000001</v>
      </c>
      <c r="D5" s="1">
        <v>7.6E-3</v>
      </c>
      <c r="E5" s="1">
        <v>2.2389999999999999</v>
      </c>
      <c r="F5" s="1">
        <v>45</v>
      </c>
    </row>
    <row r="6" spans="1:7">
      <c r="A6" s="1" t="s">
        <v>7</v>
      </c>
      <c r="B6" s="1">
        <v>1.5E-3</v>
      </c>
      <c r="C6" s="1">
        <v>0.63100000000000001</v>
      </c>
      <c r="D6" s="1">
        <v>1.5E-3</v>
      </c>
      <c r="E6" s="1">
        <v>1.9089</v>
      </c>
      <c r="F6" s="1">
        <v>64</v>
      </c>
    </row>
    <row r="7" spans="1:7">
      <c r="A7" s="1" t="s">
        <v>8</v>
      </c>
      <c r="B7" s="1">
        <v>4.9599999999999998E-2</v>
      </c>
      <c r="C7" s="1">
        <v>0.63100000000000001</v>
      </c>
      <c r="D7" s="1">
        <v>5.0099999999999999E-2</v>
      </c>
      <c r="E7" s="1">
        <v>1.5485</v>
      </c>
      <c r="F7" s="1">
        <v>90</v>
      </c>
    </row>
    <row r="9" spans="1:7">
      <c r="A9" s="1"/>
      <c r="B9" s="51" t="s">
        <v>21</v>
      </c>
      <c r="C9" s="51"/>
      <c r="D9" s="51" t="s">
        <v>20</v>
      </c>
      <c r="E9" s="51"/>
      <c r="F9" s="51" t="s">
        <v>11</v>
      </c>
      <c r="G9" s="51"/>
    </row>
    <row r="10" spans="1:7">
      <c r="A10" s="1" t="s">
        <v>15</v>
      </c>
      <c r="B10" s="1" t="s">
        <v>9</v>
      </c>
      <c r="C10" s="1" t="s">
        <v>10</v>
      </c>
      <c r="D10" s="1" t="s">
        <v>9</v>
      </c>
      <c r="E10" s="1" t="s">
        <v>10</v>
      </c>
      <c r="F10" s="1" t="s">
        <v>12</v>
      </c>
      <c r="G10" s="1" t="s">
        <v>13</v>
      </c>
    </row>
    <row r="11" spans="1:7">
      <c r="A11" s="1" t="s">
        <v>16</v>
      </c>
      <c r="B11" s="1">
        <v>3.1600000000000003E-2</v>
      </c>
      <c r="C11" s="1">
        <v>0.79430000000000001</v>
      </c>
      <c r="D11" s="1">
        <v>4.4400000000000002E-2</v>
      </c>
      <c r="E11" s="1">
        <v>2.4293999999999998</v>
      </c>
      <c r="F11" s="1"/>
      <c r="G11" s="1"/>
    </row>
    <row r="12" spans="1:7">
      <c r="A12" s="1" t="s">
        <v>17</v>
      </c>
      <c r="B12" s="1"/>
      <c r="C12" s="1"/>
      <c r="D12" s="1"/>
      <c r="E12" s="1"/>
      <c r="F12" s="1"/>
      <c r="G12" s="1"/>
    </row>
    <row r="13" spans="1:7">
      <c r="A13" s="1" t="s">
        <v>18</v>
      </c>
      <c r="B13" s="1">
        <v>3.1600000000000003E-2</v>
      </c>
      <c r="C13" s="1">
        <v>0.79430000000000001</v>
      </c>
      <c r="D13" s="1">
        <v>3.61E-2</v>
      </c>
      <c r="E13" s="1">
        <v>2.1450999999999998</v>
      </c>
      <c r="G13" s="1"/>
    </row>
    <row r="14" spans="1:7">
      <c r="A14" s="1" t="s">
        <v>19</v>
      </c>
      <c r="B14" s="1">
        <v>8.0000000000000004E-4</v>
      </c>
      <c r="C14" s="1">
        <v>0.10780000000000001</v>
      </c>
      <c r="D14" s="1">
        <v>8.0000000000000004E-4</v>
      </c>
      <c r="E14" s="1">
        <v>0.1079</v>
      </c>
      <c r="F14" s="1"/>
      <c r="G14" s="1"/>
    </row>
  </sheetData>
  <mergeCells count="6">
    <mergeCell ref="B1:C1"/>
    <mergeCell ref="F1:G1"/>
    <mergeCell ref="B9:C9"/>
    <mergeCell ref="F9:G9"/>
    <mergeCell ref="D1:E1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hilbert envelope</vt:lpstr>
      <vt:lpstr>rectified envelope</vt:lpstr>
      <vt:lpstr>validation</vt:lpstr>
      <vt:lpstr>r2</vt:lpstr>
      <vt:lpstr>floods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2025-10-23T22:31:02Z</dcterms:modified>
</cp:coreProperties>
</file>