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Calibration\"/>
    </mc:Choice>
  </mc:AlternateContent>
  <xr:revisionPtr revIDLastSave="0" documentId="13_ncr:1_{5FEA694F-F7D2-447D-8461-9F9A7786B2A4}" xr6:coauthVersionLast="47" xr6:coauthVersionMax="47" xr10:uidLastSave="{00000000-0000-0000-0000-000000000000}"/>
  <bookViews>
    <workbookView xWindow="-108" yWindow="-108" windowWidth="23256" windowHeight="12456" xr2:uid="{B073A66E-6BB5-492B-8275-ACCE89EFB9F4}"/>
  </bookViews>
  <sheets>
    <sheet name="Floo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R42" i="1"/>
  <c r="R43" i="1"/>
  <c r="R44" i="1"/>
  <c r="R45" i="1"/>
  <c r="R40" i="1"/>
  <c r="Q45" i="1"/>
  <c r="Q44" i="1"/>
  <c r="Q43" i="1"/>
  <c r="Q42" i="1"/>
  <c r="Q41" i="1"/>
  <c r="P45" i="1"/>
  <c r="P44" i="1"/>
  <c r="P43" i="1"/>
  <c r="P42" i="1"/>
  <c r="P41" i="1"/>
  <c r="R32" i="1"/>
  <c r="R33" i="1"/>
  <c r="R34" i="1"/>
  <c r="R35" i="1"/>
  <c r="R36" i="1"/>
  <c r="R31" i="1"/>
  <c r="Q36" i="1"/>
  <c r="Q35" i="1"/>
  <c r="Q34" i="1"/>
  <c r="Q33" i="1"/>
  <c r="P36" i="1"/>
  <c r="P35" i="1"/>
  <c r="P34" i="1"/>
  <c r="P33" i="1"/>
  <c r="R23" i="1"/>
  <c r="R24" i="1"/>
  <c r="R25" i="1"/>
  <c r="R26" i="1"/>
  <c r="R27" i="1"/>
  <c r="R22" i="1"/>
  <c r="Q27" i="1"/>
  <c r="Q26" i="1"/>
  <c r="Q25" i="1"/>
  <c r="P27" i="1"/>
  <c r="P26" i="1"/>
  <c r="P25" i="1"/>
  <c r="R14" i="1"/>
  <c r="R15" i="1"/>
  <c r="R16" i="1"/>
  <c r="R17" i="1"/>
  <c r="R18" i="1"/>
  <c r="R13" i="1"/>
  <c r="M45" i="1"/>
  <c r="M44" i="1"/>
  <c r="M43" i="1"/>
  <c r="M42" i="1"/>
  <c r="M41" i="1"/>
  <c r="M40" i="1"/>
  <c r="M36" i="1"/>
  <c r="M35" i="1"/>
  <c r="M34" i="1"/>
  <c r="M33" i="1"/>
  <c r="M32" i="1"/>
  <c r="M31" i="1"/>
  <c r="M27" i="1"/>
  <c r="M26" i="1"/>
  <c r="M25" i="1"/>
  <c r="M24" i="1"/>
  <c r="M23" i="1"/>
  <c r="M22" i="1"/>
  <c r="M18" i="1"/>
  <c r="M17" i="1"/>
  <c r="M16" i="1"/>
  <c r="M15" i="1"/>
  <c r="M14" i="1"/>
  <c r="M13" i="1"/>
  <c r="M9" i="1"/>
  <c r="R9" i="1" s="1"/>
  <c r="M8" i="1"/>
  <c r="R8" i="1" s="1"/>
  <c r="M7" i="1"/>
  <c r="M6" i="1"/>
  <c r="R6" i="1" s="1"/>
  <c r="M5" i="1"/>
  <c r="R5" i="1" s="1"/>
  <c r="M4" i="1"/>
  <c r="R4" i="1" s="1"/>
  <c r="Q18" i="1"/>
  <c r="Q17" i="1"/>
  <c r="Q16" i="1"/>
  <c r="Q15" i="1"/>
  <c r="Q14" i="1"/>
  <c r="P18" i="1"/>
  <c r="P17" i="1"/>
  <c r="P16" i="1"/>
  <c r="P15" i="1"/>
  <c r="P14" i="1"/>
  <c r="R7" i="1"/>
  <c r="Q9" i="1"/>
  <c r="Q8" i="1"/>
  <c r="Q7" i="1"/>
  <c r="Q6" i="1"/>
  <c r="Q5" i="1"/>
  <c r="P9" i="1"/>
  <c r="P8" i="1"/>
  <c r="P7" i="1"/>
  <c r="P6" i="1"/>
  <c r="P5" i="1"/>
  <c r="O41" i="1"/>
  <c r="O42" i="1"/>
  <c r="O45" i="1"/>
  <c r="O44" i="1"/>
  <c r="O43" i="1"/>
  <c r="O36" i="1"/>
  <c r="O35" i="1"/>
  <c r="O34" i="1"/>
  <c r="O33" i="1"/>
  <c r="O27" i="1"/>
  <c r="O26" i="1"/>
  <c r="O25" i="1"/>
  <c r="O15" i="1"/>
  <c r="O14" i="1"/>
  <c r="O18" i="1"/>
  <c r="O17" i="1"/>
  <c r="O16" i="1"/>
  <c r="O9" i="1"/>
  <c r="O8" i="1"/>
  <c r="O6" i="1"/>
  <c r="O7" i="1"/>
  <c r="O5" i="1"/>
  <c r="N45" i="1"/>
  <c r="N44" i="1"/>
  <c r="N43" i="1"/>
  <c r="N42" i="1"/>
  <c r="N41" i="1"/>
  <c r="N40" i="1"/>
  <c r="N36" i="1"/>
  <c r="N35" i="1"/>
  <c r="N34" i="1"/>
  <c r="N33" i="1"/>
  <c r="N32" i="1"/>
  <c r="N31" i="1"/>
  <c r="N27" i="1"/>
  <c r="N26" i="1"/>
  <c r="N25" i="1"/>
  <c r="N24" i="1"/>
  <c r="N23" i="1"/>
  <c r="N22" i="1"/>
  <c r="N18" i="1"/>
  <c r="N17" i="1"/>
  <c r="N16" i="1"/>
  <c r="N15" i="1"/>
  <c r="N14" i="1"/>
  <c r="N13" i="1"/>
  <c r="N7" i="1"/>
  <c r="N6" i="1"/>
  <c r="N5" i="1"/>
  <c r="N4" i="1"/>
  <c r="N9" i="1"/>
  <c r="N8" i="1"/>
</calcChain>
</file>

<file path=xl/sharedStrings.xml><?xml version="1.0" encoding="utf-8"?>
<sst xmlns="http://schemas.openxmlformats.org/spreadsheetml/2006/main" count="159" uniqueCount="30">
  <si>
    <t>Tracer ID</t>
  </si>
  <si>
    <t>Group</t>
  </si>
  <si>
    <t>o</t>
  </si>
  <si>
    <t>w</t>
  </si>
  <si>
    <t>g</t>
  </si>
  <si>
    <t>y</t>
  </si>
  <si>
    <t>p</t>
  </si>
  <si>
    <t>r</t>
  </si>
  <si>
    <t>Flood 1 (cm)</t>
  </si>
  <si>
    <t>Flood 2 (cm)</t>
  </si>
  <si>
    <t>Flood 3 (cm)</t>
  </si>
  <si>
    <t>Flood 4 (cm)</t>
  </si>
  <si>
    <t>Color</t>
  </si>
  <si>
    <t>Size (mm)</t>
  </si>
  <si>
    <t>yr</t>
  </si>
  <si>
    <t>yb</t>
  </si>
  <si>
    <t>added</t>
  </si>
  <si>
    <t>Flood 5 (cm)</t>
  </si>
  <si>
    <t>-</t>
  </si>
  <si>
    <t xml:space="preserve">Total </t>
  </si>
  <si>
    <t>Moved</t>
  </si>
  <si>
    <t>Avg Mov (cm)</t>
  </si>
  <si>
    <t>Min Mov (cm)</t>
  </si>
  <si>
    <t>Max Mov (cm)</t>
  </si>
  <si>
    <t>% Tracers Moved</t>
  </si>
  <si>
    <t>Flood 1</t>
  </si>
  <si>
    <t>Flood 2</t>
  </si>
  <si>
    <t>Flood 3</t>
  </si>
  <si>
    <t>Flood 4</t>
  </si>
  <si>
    <t>Flood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</si>
</sst>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8F8F8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ED87-307D-4916-B61D-7A986C44CDD6}">
  <dimension ref="A1:S69"/>
  <sheetViews>
    <sheetView tabSelected="1" topLeftCell="E22" workbookViewId="0">
      <selection activeCell="S36" sqref="S36"/>
    </sheetView>
  </sheetViews>
  <sheetFormatPr defaultRowHeight="14.4" x14ac:dyDescent="0.3"/>
  <cols>
    <col min="1" max="2" width="9.109375" style="1"/>
    <col min="3" max="3" width="10.109375" style="1" customWidth="1"/>
    <col min="4" max="4" width="9.109375" style="1"/>
    <col min="5" max="5" width="16.33203125" style="1" customWidth="1"/>
    <col min="6" max="6" width="18.88671875" style="1" customWidth="1"/>
    <col min="7" max="7" width="17" customWidth="1"/>
    <col min="8" max="8" width="18.33203125" style="1" customWidth="1"/>
    <col min="9" max="9" width="18.5546875" style="1" customWidth="1"/>
    <col min="11" max="11" width="8.88671875" style="1"/>
    <col min="12" max="12" width="11" style="1" customWidth="1"/>
    <col min="13" max="14" width="8.88671875" style="1"/>
    <col min="15" max="15" width="13.109375" style="1" customWidth="1"/>
    <col min="16" max="16" width="14" style="1" customWidth="1"/>
    <col min="17" max="17" width="14.33203125" style="1" customWidth="1"/>
    <col min="18" max="18" width="15.33203125" style="1" customWidth="1"/>
  </cols>
  <sheetData>
    <row r="1" spans="1:19" x14ac:dyDescent="0.3">
      <c r="A1" s="3" t="s">
        <v>0</v>
      </c>
      <c r="B1" s="3" t="s">
        <v>12</v>
      </c>
      <c r="C1" s="3" t="s">
        <v>13</v>
      </c>
      <c r="D1" s="3" t="s">
        <v>1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17</v>
      </c>
    </row>
    <row r="2" spans="1:19" x14ac:dyDescent="0.3">
      <c r="A2" s="8">
        <v>7</v>
      </c>
      <c r="B2" s="8" t="s">
        <v>2</v>
      </c>
      <c r="C2" s="8">
        <v>128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K2" s="13" t="s">
        <v>25</v>
      </c>
      <c r="L2" s="13"/>
      <c r="M2" s="13"/>
      <c r="N2" s="13"/>
      <c r="O2" s="13"/>
      <c r="P2" s="13"/>
      <c r="Q2" s="13"/>
      <c r="R2" s="13"/>
    </row>
    <row r="3" spans="1:19" x14ac:dyDescent="0.3">
      <c r="A3" s="11">
        <v>151</v>
      </c>
      <c r="B3" s="11" t="s">
        <v>3</v>
      </c>
      <c r="C3" s="11">
        <v>90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94</v>
      </c>
      <c r="K3" s="1" t="s">
        <v>12</v>
      </c>
      <c r="L3" s="1" t="s">
        <v>13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</row>
    <row r="4" spans="1:19" x14ac:dyDescent="0.3">
      <c r="A4" s="2">
        <v>89</v>
      </c>
      <c r="B4" s="2" t="s">
        <v>4</v>
      </c>
      <c r="C4" s="2">
        <v>45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4</v>
      </c>
      <c r="K4" s="8" t="s">
        <v>2</v>
      </c>
      <c r="L4" s="1">
        <v>128</v>
      </c>
      <c r="M4" s="1">
        <f>COUNTIF($B$2:$B$68,"o")</f>
        <v>5</v>
      </c>
      <c r="N4" s="1">
        <f>COUNTIFS($B$2:$B$66,"o", $E$2:$E$66,"&lt;&gt;0")</f>
        <v>0</v>
      </c>
      <c r="O4" s="1">
        <v>0</v>
      </c>
      <c r="P4" s="1">
        <v>0</v>
      </c>
      <c r="Q4" s="1">
        <v>0</v>
      </c>
      <c r="R4" s="14">
        <f>N4/M4*100</f>
        <v>0</v>
      </c>
    </row>
    <row r="5" spans="1:19" x14ac:dyDescent="0.3">
      <c r="A5" s="7">
        <v>149</v>
      </c>
      <c r="B5" s="7" t="s">
        <v>5</v>
      </c>
      <c r="C5" s="7">
        <v>32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56</v>
      </c>
      <c r="K5" s="11" t="s">
        <v>3</v>
      </c>
      <c r="L5" s="1">
        <v>90</v>
      </c>
      <c r="M5" s="1">
        <f>COUNTIF($B$2:$B$68,"w")</f>
        <v>8</v>
      </c>
      <c r="N5" s="1">
        <f>COUNTIFS($B$2:$B$66,"w", $E$2:$E$66,"&lt;&gt;0")</f>
        <v>1</v>
      </c>
      <c r="O5" s="1">
        <f>AVERAGEIFS($E$2:$E$66, $B$2:$B$66, "w", $E$2:$E$66, "&lt;&gt;0")</f>
        <v>102</v>
      </c>
      <c r="P5" s="1">
        <f>_xlfn.MINIFS($E$2:$E$66, $B$2:$B$66, "w", $E$2:$E$66, "&lt;&gt;0")</f>
        <v>102</v>
      </c>
      <c r="Q5" s="1">
        <f>_xlfn.MAXIFS($E$2:$E$66, $B$2:$B$66, "w", $E$2:$E$66, "&lt;&gt;0")</f>
        <v>102</v>
      </c>
      <c r="R5" s="14">
        <f t="shared" ref="R5:R9" si="0">N5/M5*100</f>
        <v>12.5</v>
      </c>
      <c r="S5" s="1"/>
    </row>
    <row r="6" spans="1:19" x14ac:dyDescent="0.3">
      <c r="A6" s="5">
        <v>23</v>
      </c>
      <c r="B6" s="5" t="s">
        <v>6</v>
      </c>
      <c r="C6" s="5">
        <v>64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K6" s="5" t="s">
        <v>6</v>
      </c>
      <c r="L6" s="1">
        <v>64</v>
      </c>
      <c r="M6" s="1">
        <f>COUNTIF($B$2:$B$68,"p")</f>
        <v>14</v>
      </c>
      <c r="N6" s="1">
        <f>COUNTIFS($B$2:$B$66,"p", $E$2:$E$66,"&lt;&gt;0")</f>
        <v>2</v>
      </c>
      <c r="O6" s="1">
        <f>AVERAGEIFS($E$2:$E$66, $B$2:$B$66, "p", $E$2:$E$66, "&lt;&gt;0")</f>
        <v>18</v>
      </c>
      <c r="P6" s="1">
        <f>_xlfn.MINIFS($E$2:$E$66, $B$2:$B$66, "p", $E$2:$E$66, "&lt;&gt;0")</f>
        <v>12</v>
      </c>
      <c r="Q6" s="1">
        <f>_xlfn.MAXIFS($E$2:$E$66, $B$2:$B$66, "p", $E$2:$E$66, "&lt;&gt;0")</f>
        <v>24</v>
      </c>
      <c r="R6" s="14">
        <f t="shared" si="0"/>
        <v>14.285714285714285</v>
      </c>
      <c r="S6" s="1"/>
    </row>
    <row r="7" spans="1:19" x14ac:dyDescent="0.3">
      <c r="A7" s="2">
        <v>158</v>
      </c>
      <c r="B7" s="2" t="s">
        <v>4</v>
      </c>
      <c r="C7" s="2">
        <v>45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23</v>
      </c>
      <c r="K7" s="2" t="s">
        <v>4</v>
      </c>
      <c r="L7" s="1">
        <v>45</v>
      </c>
      <c r="M7" s="1">
        <f>COUNTIF($B$2:$B$68,"g")</f>
        <v>16</v>
      </c>
      <c r="N7" s="1">
        <f>COUNTIFS($B$2:$B$66,"g", $E$2:$E$66,"&lt;&gt;0")</f>
        <v>2</v>
      </c>
      <c r="O7" s="1">
        <f>AVERAGEIFS($E$2:$E$66, $B$2:$B$66, "g", $E$2:$E$66, "&lt;&gt;0")</f>
        <v>15</v>
      </c>
      <c r="P7" s="1">
        <f>_xlfn.MINIFS($E$2:$E$66, $B$2:$B$66, "g", $E$2:$E$66, "&lt;&gt;0")</f>
        <v>3</v>
      </c>
      <c r="Q7" s="1">
        <f>_xlfn.MAXIFS($E$2:$E$66, $B$2:$B$66, "g", $E$2:$E$66, "&lt;&gt;0")</f>
        <v>27</v>
      </c>
      <c r="R7" s="14">
        <f t="shared" si="0"/>
        <v>12.5</v>
      </c>
      <c r="S7" s="1"/>
    </row>
    <row r="8" spans="1:19" x14ac:dyDescent="0.3">
      <c r="A8" s="11">
        <v>157</v>
      </c>
      <c r="B8" s="11" t="s">
        <v>3</v>
      </c>
      <c r="C8" s="11">
        <v>90</v>
      </c>
      <c r="D8" s="11">
        <v>1</v>
      </c>
      <c r="E8" s="11">
        <v>0</v>
      </c>
      <c r="F8" s="11">
        <v>7</v>
      </c>
      <c r="G8" s="11">
        <v>0</v>
      </c>
      <c r="H8" s="11">
        <v>0</v>
      </c>
      <c r="I8" s="11">
        <v>0</v>
      </c>
      <c r="K8" s="7" t="s">
        <v>5</v>
      </c>
      <c r="L8" s="1">
        <v>32</v>
      </c>
      <c r="M8" s="1">
        <f>COUNTIF($B$2:$B$68,"y")</f>
        <v>20</v>
      </c>
      <c r="N8" s="1">
        <f>COUNTIFS($B$2:$B$66,"y", $E$2:$E$66,"&lt;&gt;0")</f>
        <v>5</v>
      </c>
      <c r="O8" s="1">
        <f>AVERAGEIFS($E$2:$E$66, $B$2:$B$66, "y", $E$2:$E$66, "&lt;&gt;0")</f>
        <v>19.3</v>
      </c>
      <c r="P8" s="1">
        <f>_xlfn.MINIFS($E$2:$E$66, $B$2:$B$66, "y", $E$2:$E$66, "&lt;&gt;0")</f>
        <v>4</v>
      </c>
      <c r="Q8" s="1">
        <f>_xlfn.MAXIFS($E$2:$E$66, $B$2:$B$66, "y", $E$2:$E$66, "&lt;&gt;0")</f>
        <v>36.5</v>
      </c>
      <c r="R8" s="14">
        <f t="shared" si="0"/>
        <v>25</v>
      </c>
      <c r="S8" s="1"/>
    </row>
    <row r="9" spans="1:19" x14ac:dyDescent="0.3">
      <c r="A9" s="7">
        <v>141</v>
      </c>
      <c r="B9" s="7" t="s">
        <v>5</v>
      </c>
      <c r="C9" s="7">
        <v>32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40</v>
      </c>
      <c r="K9" s="12" t="s">
        <v>7</v>
      </c>
      <c r="L9" s="1">
        <v>16</v>
      </c>
      <c r="M9" s="1">
        <f>COUNTIF($B$2:$B$68,"r")</f>
        <v>2</v>
      </c>
      <c r="N9" s="1">
        <f>COUNTIFS($B$2:$B$66,"r", $E$2:$E$66,"&lt;&gt;0")</f>
        <v>1</v>
      </c>
      <c r="O9" s="1">
        <f>AVERAGEIFS($E$2:$E$66, $B$2:$B$66, "r", $E$2:$E$66, "&lt;&gt;0")</f>
        <v>16</v>
      </c>
      <c r="P9" s="1">
        <f>_xlfn.MINIFS($E$2:$E$66, $B$2:$B$66, "r", $E$2:$E$66, "&lt;&gt;0")</f>
        <v>16</v>
      </c>
      <c r="Q9" s="1">
        <f>_xlfn.MAXIFS($E$2:$E$66, $B$2:$B$66, "r", $E$2:$E$66, "&lt;&gt;0")</f>
        <v>16</v>
      </c>
      <c r="R9" s="14">
        <f t="shared" si="0"/>
        <v>50</v>
      </c>
      <c r="S9" s="1"/>
    </row>
    <row r="10" spans="1:19" x14ac:dyDescent="0.3">
      <c r="A10" s="2">
        <v>163</v>
      </c>
      <c r="B10" s="2" t="s">
        <v>4</v>
      </c>
      <c r="C10" s="2">
        <v>45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30</v>
      </c>
    </row>
    <row r="11" spans="1:19" x14ac:dyDescent="0.3">
      <c r="A11" s="6">
        <v>170</v>
      </c>
      <c r="B11" s="6" t="s">
        <v>6</v>
      </c>
      <c r="C11" s="5">
        <v>64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K11" s="13" t="s">
        <v>26</v>
      </c>
      <c r="L11" s="13"/>
      <c r="M11" s="13"/>
      <c r="N11" s="13"/>
      <c r="O11" s="13"/>
      <c r="P11" s="13"/>
      <c r="Q11" s="13"/>
      <c r="R11" s="13"/>
    </row>
    <row r="12" spans="1:19" x14ac:dyDescent="0.3">
      <c r="A12" s="9">
        <v>167</v>
      </c>
      <c r="B12" s="9" t="s">
        <v>2</v>
      </c>
      <c r="C12" s="9">
        <v>128</v>
      </c>
      <c r="D12" s="9">
        <v>2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K12" s="1" t="s">
        <v>12</v>
      </c>
      <c r="L12" s="1" t="s">
        <v>13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23</v>
      </c>
      <c r="R12" s="1" t="s">
        <v>24</v>
      </c>
    </row>
    <row r="13" spans="1:19" x14ac:dyDescent="0.3">
      <c r="A13" s="5">
        <v>101</v>
      </c>
      <c r="B13" s="5" t="s">
        <v>6</v>
      </c>
      <c r="C13" s="5">
        <v>64</v>
      </c>
      <c r="D13" s="5">
        <v>2</v>
      </c>
      <c r="E13" s="5">
        <v>12</v>
      </c>
      <c r="F13" s="5">
        <v>43</v>
      </c>
      <c r="G13" s="5">
        <v>0</v>
      </c>
      <c r="H13" s="5">
        <v>0</v>
      </c>
      <c r="I13" s="5">
        <v>0</v>
      </c>
      <c r="K13" s="8" t="s">
        <v>2</v>
      </c>
      <c r="L13" s="1">
        <v>128</v>
      </c>
      <c r="M13" s="1">
        <f>COUNTIF($B$2:$B$68,"o")</f>
        <v>5</v>
      </c>
      <c r="N13" s="1">
        <f>COUNTIFS($B$2:$B$66,"o", $F$2:$F$66,"&lt;&gt;0")</f>
        <v>0</v>
      </c>
      <c r="O13" s="1">
        <v>0</v>
      </c>
      <c r="P13" s="1">
        <v>0</v>
      </c>
      <c r="Q13" s="1">
        <v>0</v>
      </c>
      <c r="R13" s="14">
        <f>N13/M13*100</f>
        <v>0</v>
      </c>
    </row>
    <row r="14" spans="1:19" x14ac:dyDescent="0.3">
      <c r="A14" s="2">
        <v>35</v>
      </c>
      <c r="B14" s="2" t="s">
        <v>4</v>
      </c>
      <c r="C14" s="2">
        <v>45</v>
      </c>
      <c r="D14" s="2">
        <v>2</v>
      </c>
      <c r="E14" s="2">
        <v>27</v>
      </c>
      <c r="F14" s="2">
        <v>5</v>
      </c>
      <c r="G14" s="2">
        <v>43</v>
      </c>
      <c r="H14" s="2">
        <v>67</v>
      </c>
      <c r="I14" s="2">
        <v>21</v>
      </c>
      <c r="K14" s="11" t="s">
        <v>3</v>
      </c>
      <c r="L14" s="1">
        <v>90</v>
      </c>
      <c r="M14" s="1">
        <f>COUNTIF($B$2:$B$68,"w")</f>
        <v>8</v>
      </c>
      <c r="N14" s="1">
        <f>COUNTIFS($B$2:$B$66,"w", $F$2:$F$66,"&lt;&gt;0")</f>
        <v>2</v>
      </c>
      <c r="O14" s="1">
        <f>AVERAGEIFS($F2:$F66, $B$2:$B$66, "w", $F2:$F66, "&lt;&gt;0")</f>
        <v>13</v>
      </c>
      <c r="P14" s="1">
        <f>_xlfn.MINIFS($F2:$F66, $B$2:$B$66, "w", $F2:$F66, "&lt;&gt;0")</f>
        <v>7</v>
      </c>
      <c r="Q14" s="1">
        <f>_xlfn.MAXIFS($F2:$F66, $B$2:$B$66, "w", $F2:$F66, "&lt;&gt;0")</f>
        <v>19</v>
      </c>
      <c r="R14" s="14">
        <f t="shared" ref="R14:R18" si="1">N14/M14*100</f>
        <v>25</v>
      </c>
    </row>
    <row r="15" spans="1:19" x14ac:dyDescent="0.3">
      <c r="A15" s="7">
        <v>52</v>
      </c>
      <c r="B15" s="7" t="s">
        <v>5</v>
      </c>
      <c r="C15" s="7">
        <v>32</v>
      </c>
      <c r="D15" s="7">
        <v>2</v>
      </c>
      <c r="E15" s="7">
        <v>36.5</v>
      </c>
      <c r="F15" s="7">
        <v>5</v>
      </c>
      <c r="G15" s="7">
        <v>25</v>
      </c>
      <c r="H15" s="7">
        <v>37</v>
      </c>
      <c r="I15" s="7">
        <v>0</v>
      </c>
      <c r="K15" s="5" t="s">
        <v>6</v>
      </c>
      <c r="L15" s="1">
        <v>64</v>
      </c>
      <c r="M15" s="1">
        <f>COUNTIF($B$2:$B$68,"p")</f>
        <v>14</v>
      </c>
      <c r="N15" s="1">
        <f>COUNTIFS($B$2:$B$66,"p", $F$2:$F$66,"&lt;&gt;0")</f>
        <v>4</v>
      </c>
      <c r="O15" s="1">
        <f>AVERAGEIFS($F$2:$F$66, $B$2:$B$66, "p", $F$2:$F$66, "&lt;&gt;0")</f>
        <v>23.75</v>
      </c>
      <c r="P15" s="1">
        <f>_xlfn.MINIFS($F$2:$F$66, $B$2:$B$66, "p", $F$2:$F$66, "&lt;&gt;0")</f>
        <v>13</v>
      </c>
      <c r="Q15" s="1">
        <f>_xlfn.MAXIFS($F$2:$F$66, $B$2:$B$66, "p", $F$2:$F$66, "&lt;&gt;0")</f>
        <v>43</v>
      </c>
      <c r="R15" s="14">
        <f t="shared" si="1"/>
        <v>28.571428571428569</v>
      </c>
    </row>
    <row r="16" spans="1:19" x14ac:dyDescent="0.3">
      <c r="A16" s="7">
        <v>146</v>
      </c>
      <c r="B16" s="7" t="s">
        <v>5</v>
      </c>
      <c r="C16" s="7">
        <v>32</v>
      </c>
      <c r="D16" s="7">
        <v>2</v>
      </c>
      <c r="E16" s="7">
        <v>0</v>
      </c>
      <c r="F16" s="7">
        <v>0</v>
      </c>
      <c r="G16" s="7">
        <v>0</v>
      </c>
      <c r="H16" s="7">
        <v>32</v>
      </c>
      <c r="I16" s="7">
        <v>2</v>
      </c>
      <c r="K16" s="2" t="s">
        <v>4</v>
      </c>
      <c r="L16" s="1">
        <v>45</v>
      </c>
      <c r="M16" s="1">
        <f>COUNTIF($B$2:$B$68,"g")</f>
        <v>16</v>
      </c>
      <c r="N16" s="1">
        <f>COUNTIFS($B$2:$B$66,"g", $F$2:$F$66,"&lt;&gt;0")</f>
        <v>5</v>
      </c>
      <c r="O16" s="1">
        <f>AVERAGEIFS($F$2:$F$66, $B$2:$B$66, "g", $F$2:$F$66, "&lt;&gt;0")</f>
        <v>24.8</v>
      </c>
      <c r="P16" s="1">
        <f>_xlfn.MINIFS($F$2:$F$66, $B$2:$B$66, "g", $F$2:$F$66, "&lt;&gt;0")</f>
        <v>5</v>
      </c>
      <c r="Q16" s="1">
        <f>_xlfn.MAXIFS($F$2:$F$66, $B$2:$B$66, "g", $F$2:$F$66, "&lt;&gt;0")</f>
        <v>50</v>
      </c>
      <c r="R16" s="14">
        <f t="shared" si="1"/>
        <v>31.25</v>
      </c>
    </row>
    <row r="17" spans="1:18" x14ac:dyDescent="0.3">
      <c r="A17" s="11">
        <v>156</v>
      </c>
      <c r="B17" s="11" t="s">
        <v>3</v>
      </c>
      <c r="C17" s="11">
        <v>90</v>
      </c>
      <c r="D17" s="11">
        <v>2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K17" s="7" t="s">
        <v>5</v>
      </c>
      <c r="L17" s="1">
        <v>32</v>
      </c>
      <c r="M17" s="1">
        <f>COUNTIF($B$2:$B$68,"y")</f>
        <v>20</v>
      </c>
      <c r="N17" s="1">
        <f>COUNTIFS($B$2:$B$66,"y", $F$2:$F$66,"&lt;&gt;0")</f>
        <v>8</v>
      </c>
      <c r="O17" s="1">
        <f>AVERAGEIFS($F$2:$F$66, $B$2:$B$66, "y", $F$2:$F$66, "&lt;&gt;0")</f>
        <v>55</v>
      </c>
      <c r="P17" s="1">
        <f>_xlfn.MINIFS($F$2:$F$66, $B$2:$B$66, "y", $F$2:$F$66, "&lt;&gt;0")</f>
        <v>5</v>
      </c>
      <c r="Q17" s="1">
        <f>_xlfn.MAXIFS($F$2:$F$66, $B$2:$B$66, "y", $F$2:$F$66, "&lt;&gt;0")</f>
        <v>140</v>
      </c>
      <c r="R17" s="14">
        <f t="shared" si="1"/>
        <v>40</v>
      </c>
    </row>
    <row r="18" spans="1:18" x14ac:dyDescent="0.3">
      <c r="A18" s="5">
        <v>97</v>
      </c>
      <c r="B18" s="5" t="s">
        <v>6</v>
      </c>
      <c r="C18" s="5">
        <v>64</v>
      </c>
      <c r="D18" s="5">
        <v>2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K18" s="12" t="s">
        <v>7</v>
      </c>
      <c r="L18" s="1">
        <v>16</v>
      </c>
      <c r="M18" s="1">
        <f>COUNTIF($B$2:$B$68,"r")</f>
        <v>2</v>
      </c>
      <c r="N18" s="1">
        <f>COUNTIFS($B$2:$B$66,"r", $F$2:$F$66,"&lt;&gt;0")</f>
        <v>1</v>
      </c>
      <c r="O18" s="1">
        <f>AVERAGEIFS($F$2:$F$66, $B$2:$B$66, "r", $F$2:$F$66, "&lt;&gt;0")</f>
        <v>41</v>
      </c>
      <c r="P18" s="1">
        <f>_xlfn.MINIFS($F$2:$F$66, $B$2:$B$66, "r", $F$2:$F$66, "&lt;&gt;0")</f>
        <v>41</v>
      </c>
      <c r="Q18" s="1">
        <f>_xlfn.MAXIFS($F$2:$F$66, $B$2:$B$66, "r", $F$2:$F$66, "&lt;&gt;0")</f>
        <v>41</v>
      </c>
      <c r="R18" s="14">
        <f t="shared" si="1"/>
        <v>50</v>
      </c>
    </row>
    <row r="19" spans="1:18" x14ac:dyDescent="0.3">
      <c r="A19" s="2">
        <v>162</v>
      </c>
      <c r="B19" s="2" t="s">
        <v>4</v>
      </c>
      <c r="C19" s="2">
        <v>45</v>
      </c>
      <c r="D19" s="2">
        <v>2</v>
      </c>
      <c r="E19" s="2">
        <v>3</v>
      </c>
      <c r="F19" s="2">
        <v>50</v>
      </c>
      <c r="G19" s="2">
        <v>12</v>
      </c>
      <c r="H19" s="2">
        <v>0</v>
      </c>
      <c r="I19" s="2">
        <v>0</v>
      </c>
    </row>
    <row r="20" spans="1:18" x14ac:dyDescent="0.3">
      <c r="A20" s="7">
        <v>65</v>
      </c>
      <c r="B20" s="7" t="s">
        <v>5</v>
      </c>
      <c r="C20" s="7">
        <v>32</v>
      </c>
      <c r="D20" s="7">
        <v>2</v>
      </c>
      <c r="E20" s="7">
        <v>0</v>
      </c>
      <c r="F20" s="7">
        <v>0</v>
      </c>
      <c r="G20" s="7">
        <v>11</v>
      </c>
      <c r="H20" s="7">
        <v>0</v>
      </c>
      <c r="I20" s="7">
        <v>0</v>
      </c>
      <c r="K20" s="13" t="s">
        <v>27</v>
      </c>
      <c r="L20" s="13"/>
      <c r="M20" s="13"/>
      <c r="N20" s="13"/>
      <c r="O20" s="13"/>
      <c r="P20" s="13"/>
      <c r="Q20" s="13"/>
      <c r="R20" s="13"/>
    </row>
    <row r="21" spans="1:18" x14ac:dyDescent="0.3">
      <c r="A21" s="7">
        <v>133</v>
      </c>
      <c r="B21" s="7" t="s">
        <v>5</v>
      </c>
      <c r="C21" s="7">
        <v>32</v>
      </c>
      <c r="D21" s="7">
        <v>2</v>
      </c>
      <c r="E21" s="7">
        <v>25</v>
      </c>
      <c r="F21" s="7">
        <v>133</v>
      </c>
      <c r="G21" s="7">
        <v>96</v>
      </c>
      <c r="H21" s="7">
        <v>29</v>
      </c>
      <c r="I21" s="7">
        <v>7</v>
      </c>
      <c r="K21" s="1" t="s">
        <v>12</v>
      </c>
      <c r="L21" s="1" t="s">
        <v>13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23</v>
      </c>
      <c r="R21" s="1" t="s">
        <v>24</v>
      </c>
    </row>
    <row r="22" spans="1:18" x14ac:dyDescent="0.3">
      <c r="A22" s="6">
        <v>111</v>
      </c>
      <c r="B22" s="6" t="s">
        <v>6</v>
      </c>
      <c r="C22" s="5">
        <v>64</v>
      </c>
      <c r="D22" s="6">
        <v>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 s="8" t="s">
        <v>2</v>
      </c>
      <c r="L22" s="1">
        <v>128</v>
      </c>
      <c r="M22" s="1">
        <f>COUNTIF($B$2:$B$68,"o")</f>
        <v>5</v>
      </c>
      <c r="N22" s="1">
        <f>COUNTIFS($B$2:$B$66,"o", $G$2:$G$66,"&lt;&gt;0")</f>
        <v>0</v>
      </c>
      <c r="O22" s="1">
        <v>0</v>
      </c>
      <c r="P22" s="1">
        <v>0</v>
      </c>
      <c r="Q22" s="1">
        <v>0</v>
      </c>
      <c r="R22" s="14">
        <f>N22/M22*100</f>
        <v>0</v>
      </c>
    </row>
    <row r="23" spans="1:18" x14ac:dyDescent="0.3">
      <c r="A23" s="9">
        <v>6</v>
      </c>
      <c r="B23" s="9" t="s">
        <v>2</v>
      </c>
      <c r="C23" s="9">
        <v>128</v>
      </c>
      <c r="D23" s="9">
        <v>3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K23" s="11" t="s">
        <v>3</v>
      </c>
      <c r="L23" s="1">
        <v>90</v>
      </c>
      <c r="M23" s="1">
        <f>COUNTIF($B$2:$B$68,"w")</f>
        <v>8</v>
      </c>
      <c r="N23" s="1">
        <f>COUNTIFS($B$2:$B$66,"w", $G$2:$G$66,"&lt;&gt;0")</f>
        <v>0</v>
      </c>
      <c r="O23" s="1">
        <v>0</v>
      </c>
      <c r="P23" s="1">
        <v>0</v>
      </c>
      <c r="Q23" s="1">
        <v>0</v>
      </c>
      <c r="R23" s="14">
        <f t="shared" ref="R23:R27" si="2">N23/M23*100</f>
        <v>0</v>
      </c>
    </row>
    <row r="24" spans="1:18" x14ac:dyDescent="0.3">
      <c r="A24" s="2">
        <v>100</v>
      </c>
      <c r="B24" s="2" t="s">
        <v>4</v>
      </c>
      <c r="C24" s="2">
        <v>45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K24" s="5" t="s">
        <v>6</v>
      </c>
      <c r="L24" s="1">
        <v>64</v>
      </c>
      <c r="M24" s="1">
        <f>COUNTIF($B$2:$B$68,"p")</f>
        <v>14</v>
      </c>
      <c r="N24" s="1">
        <f>COUNTIFS($B$2:$B$66,"p", $G$2:$G$66,"&lt;&gt;0")</f>
        <v>0</v>
      </c>
      <c r="O24" s="1">
        <v>0</v>
      </c>
      <c r="P24" s="1">
        <v>0</v>
      </c>
      <c r="Q24" s="1">
        <v>0</v>
      </c>
      <c r="R24" s="14">
        <f t="shared" si="2"/>
        <v>0</v>
      </c>
    </row>
    <row r="25" spans="1:18" x14ac:dyDescent="0.3">
      <c r="A25" s="7">
        <v>127</v>
      </c>
      <c r="B25" s="7" t="s">
        <v>5</v>
      </c>
      <c r="C25" s="7">
        <v>32</v>
      </c>
      <c r="D25" s="7">
        <v>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K25" s="2" t="s">
        <v>4</v>
      </c>
      <c r="L25" s="1">
        <v>45</v>
      </c>
      <c r="M25" s="1">
        <f>COUNTIF($B$2:$B$68,"g")</f>
        <v>16</v>
      </c>
      <c r="N25" s="1">
        <f>COUNTIFS($B$2:$B$66,"g", $G$2:$G$66,"&lt;&gt;0")</f>
        <v>3</v>
      </c>
      <c r="O25" s="1">
        <f>AVERAGEIFS($G$2:$G$66, $B$2:$B$66, "g", $G$2:$G$66, "&lt;&gt;0")</f>
        <v>38</v>
      </c>
      <c r="P25" s="1">
        <f>_xlfn.MINIFS($G$2:$G$66, $B$2:$B$66, "g", $G$2:$G$66, "&lt;&gt;0")</f>
        <v>12</v>
      </c>
      <c r="Q25" s="1">
        <f>_xlfn.MAXIFS($G$2:$G$66, $B$2:$B$66, "g", $G$2:$G$66, "&lt;&gt;0")</f>
        <v>59</v>
      </c>
      <c r="R25" s="14">
        <f t="shared" si="2"/>
        <v>18.75</v>
      </c>
    </row>
    <row r="26" spans="1:18" x14ac:dyDescent="0.3">
      <c r="A26" s="7">
        <v>53</v>
      </c>
      <c r="B26" s="7" t="s">
        <v>5</v>
      </c>
      <c r="C26" s="7">
        <v>32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K26" s="7" t="s">
        <v>5</v>
      </c>
      <c r="L26" s="1">
        <v>32</v>
      </c>
      <c r="M26" s="1">
        <f>COUNTIF($B$2:$B$68,"y")</f>
        <v>20</v>
      </c>
      <c r="N26" s="1">
        <f>COUNTIFS($B$2:$B$66,"y", $G$2:$G$66,"&lt;&gt;0")</f>
        <v>4</v>
      </c>
      <c r="O26" s="1">
        <f>AVERAGEIFS($G$2:$G$66, $B$2:$B$66, "y", $G$2:$G$66, "&lt;&gt;0")</f>
        <v>35.5</v>
      </c>
      <c r="P26" s="1">
        <f>_xlfn.MINIFS($G$2:$G$66, $B$2:$B$66, "y", $G$2:$G$66, "&lt;&gt;0")</f>
        <v>10</v>
      </c>
      <c r="Q26" s="1">
        <f>_xlfn.MAXIFS($G$2:$G$66, $B$2:$B$66, "y", $G$2:$G$66, "&lt;&gt;0")</f>
        <v>96</v>
      </c>
      <c r="R26" s="14">
        <f t="shared" si="2"/>
        <v>20</v>
      </c>
    </row>
    <row r="27" spans="1:18" x14ac:dyDescent="0.3">
      <c r="A27" s="11">
        <v>22</v>
      </c>
      <c r="B27" s="11" t="s">
        <v>3</v>
      </c>
      <c r="C27" s="11">
        <v>90</v>
      </c>
      <c r="D27" s="11">
        <v>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K27" s="12" t="s">
        <v>7</v>
      </c>
      <c r="L27" s="1">
        <v>16</v>
      </c>
      <c r="M27" s="1">
        <f>COUNTIF($B$2:$B$68,"r")</f>
        <v>2</v>
      </c>
      <c r="N27" s="1">
        <f>COUNTIFS($B$2:$B$66,"r", $G$2:$G$66,"&lt;&gt;0")</f>
        <v>1</v>
      </c>
      <c r="O27" s="1">
        <f>AVERAGEIFS($G$2:$G$66, $B$2:$B$66, "r", $G$2:$G$66, "&lt;&gt;0")</f>
        <v>101</v>
      </c>
      <c r="P27" s="1">
        <f>_xlfn.MINIFS($G$2:$G$66, $B$2:$B$66, "r", $G$2:$G$66, "&lt;&gt;0")</f>
        <v>101</v>
      </c>
      <c r="Q27" s="1">
        <f>_xlfn.MAXIFS($G$2:$G$66, $B$2:$B$66, "r", $G$2:$G$66, "&lt;&gt;0")</f>
        <v>101</v>
      </c>
      <c r="R27" s="14">
        <f t="shared" si="2"/>
        <v>50</v>
      </c>
    </row>
    <row r="28" spans="1:18" x14ac:dyDescent="0.3">
      <c r="A28" s="5">
        <v>99</v>
      </c>
      <c r="B28" s="5" t="s">
        <v>6</v>
      </c>
      <c r="C28" s="5">
        <v>64</v>
      </c>
      <c r="D28" s="5">
        <v>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18" x14ac:dyDescent="0.3">
      <c r="A29" s="2">
        <v>38</v>
      </c>
      <c r="B29" s="2" t="s">
        <v>4</v>
      </c>
      <c r="C29" s="2">
        <v>45</v>
      </c>
      <c r="D29" s="2">
        <v>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K29" s="13" t="s">
        <v>28</v>
      </c>
      <c r="L29" s="13"/>
      <c r="M29" s="13"/>
      <c r="N29" s="13"/>
      <c r="O29" s="13"/>
      <c r="P29" s="13"/>
      <c r="Q29" s="13"/>
      <c r="R29" s="13"/>
    </row>
    <row r="30" spans="1:18" x14ac:dyDescent="0.3">
      <c r="A30" s="7">
        <v>135</v>
      </c>
      <c r="B30" s="7" t="s">
        <v>5</v>
      </c>
      <c r="C30" s="7">
        <v>32</v>
      </c>
      <c r="D30" s="7">
        <v>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K30" s="1" t="s">
        <v>12</v>
      </c>
      <c r="L30" s="1" t="s">
        <v>13</v>
      </c>
      <c r="M30" s="1" t="s">
        <v>19</v>
      </c>
      <c r="N30" s="1" t="s">
        <v>20</v>
      </c>
      <c r="O30" s="1" t="s">
        <v>21</v>
      </c>
      <c r="P30" s="1" t="s">
        <v>22</v>
      </c>
      <c r="Q30" s="1" t="s">
        <v>23</v>
      </c>
      <c r="R30" s="1" t="s">
        <v>24</v>
      </c>
    </row>
    <row r="31" spans="1:18" x14ac:dyDescent="0.3">
      <c r="A31" s="12">
        <v>166</v>
      </c>
      <c r="B31" s="12" t="s">
        <v>7</v>
      </c>
      <c r="C31" s="12">
        <v>16</v>
      </c>
      <c r="D31" s="12">
        <v>3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K31" s="8" t="s">
        <v>2</v>
      </c>
      <c r="L31" s="1">
        <v>128</v>
      </c>
      <c r="M31" s="1">
        <f>COUNTIF($B$2:$B$68,"o")</f>
        <v>5</v>
      </c>
      <c r="N31" s="1">
        <f>COUNTIFS($B$2:$B$66,"o", $H$2:$H$66,"&lt;&gt;0")</f>
        <v>0</v>
      </c>
      <c r="O31" s="1">
        <v>0</v>
      </c>
      <c r="P31" s="1">
        <v>0</v>
      </c>
      <c r="Q31" s="1">
        <v>0</v>
      </c>
      <c r="R31" s="14">
        <f>N31/M31*100</f>
        <v>0</v>
      </c>
    </row>
    <row r="32" spans="1:18" x14ac:dyDescent="0.3">
      <c r="A32" s="5">
        <v>29</v>
      </c>
      <c r="B32" s="5" t="s">
        <v>6</v>
      </c>
      <c r="C32" s="5">
        <v>64</v>
      </c>
      <c r="D32" s="5">
        <v>3</v>
      </c>
      <c r="E32" s="5">
        <v>0</v>
      </c>
      <c r="F32" s="5">
        <v>13</v>
      </c>
      <c r="G32" s="5">
        <v>0</v>
      </c>
      <c r="H32" s="5">
        <v>0</v>
      </c>
      <c r="I32" s="5">
        <v>0</v>
      </c>
      <c r="K32" s="11" t="s">
        <v>3</v>
      </c>
      <c r="L32" s="1">
        <v>90</v>
      </c>
      <c r="M32" s="1">
        <f>COUNTIF($B$2:$B$68,"w")</f>
        <v>8</v>
      </c>
      <c r="N32" s="1">
        <f>COUNTIFS($B$2:$B$66,"w", $H$2:$H$66,"&lt;&gt;0")</f>
        <v>0</v>
      </c>
      <c r="O32" s="1">
        <v>0</v>
      </c>
      <c r="P32" s="1">
        <v>0</v>
      </c>
      <c r="Q32" s="1">
        <v>0</v>
      </c>
      <c r="R32" s="14">
        <f t="shared" ref="R32:R36" si="3">N32/M32*100</f>
        <v>0</v>
      </c>
    </row>
    <row r="33" spans="1:18" x14ac:dyDescent="0.3">
      <c r="A33" s="2">
        <v>160</v>
      </c>
      <c r="B33" s="2" t="s">
        <v>4</v>
      </c>
      <c r="C33" s="2">
        <v>45</v>
      </c>
      <c r="D33" s="2">
        <v>3</v>
      </c>
      <c r="E33" s="2">
        <v>0</v>
      </c>
      <c r="F33" s="2">
        <v>6</v>
      </c>
      <c r="G33" s="2">
        <v>0</v>
      </c>
      <c r="H33" s="2">
        <v>0</v>
      </c>
      <c r="I33" s="2">
        <v>0</v>
      </c>
      <c r="K33" s="5" t="s">
        <v>6</v>
      </c>
      <c r="L33" s="1">
        <v>64</v>
      </c>
      <c r="M33" s="1">
        <f>COUNTIF($B$2:$B$68,"p")</f>
        <v>14</v>
      </c>
      <c r="N33" s="1">
        <f>COUNTIFS($B$2:$B$66,"p", $H$2:$H$66,"&lt;&gt;0")</f>
        <v>1</v>
      </c>
      <c r="O33" s="1">
        <f>AVERAGEIFS($H$2:$H$66, $B$2:$B$66, "p", $H$2:$H$66, "&lt;&gt;0")</f>
        <v>30</v>
      </c>
      <c r="P33" s="1">
        <f>_xlfn.MINIFS($H$2:$H$66, $B$2:$B$66, "p", $H$2:$H$66, "&lt;&gt;0")</f>
        <v>30</v>
      </c>
      <c r="Q33" s="1">
        <f>_xlfn.MAXIFS($H$2:$H$66, $B$2:$B$66, "p", $H$2:$H$66, "&lt;&gt;0")</f>
        <v>30</v>
      </c>
      <c r="R33" s="14">
        <f t="shared" si="3"/>
        <v>7.1428571428571423</v>
      </c>
    </row>
    <row r="34" spans="1:18" x14ac:dyDescent="0.3">
      <c r="A34" s="11">
        <v>155</v>
      </c>
      <c r="B34" s="11" t="s">
        <v>3</v>
      </c>
      <c r="C34" s="11">
        <v>90</v>
      </c>
      <c r="D34" s="11">
        <v>3</v>
      </c>
      <c r="E34" s="11">
        <v>102</v>
      </c>
      <c r="F34" s="11">
        <v>0</v>
      </c>
      <c r="G34" s="11">
        <v>0</v>
      </c>
      <c r="H34" s="11">
        <v>0</v>
      </c>
      <c r="I34" s="11">
        <v>0</v>
      </c>
      <c r="K34" s="2" t="s">
        <v>4</v>
      </c>
      <c r="L34" s="1">
        <v>45</v>
      </c>
      <c r="M34" s="1">
        <f>COUNTIF($B$2:$B$68,"g")</f>
        <v>16</v>
      </c>
      <c r="N34" s="1">
        <f>COUNTIFS($B$2:$B$66,"g", $H$2:$H$66,"&lt;&gt;0")</f>
        <v>4</v>
      </c>
      <c r="O34" s="1">
        <f>AVERAGEIFS($H$2:$H$66, $B$2:$B$66, "g", $H$2:$H$66, "&lt;&gt;0")</f>
        <v>55.25</v>
      </c>
      <c r="P34" s="1">
        <f>_xlfn.MINIFS($H$2:$H$66, $B$2:$B$66, "g", $H$2:$H$66, "&lt;&gt;0")</f>
        <v>10</v>
      </c>
      <c r="Q34" s="1">
        <f>_xlfn.MAXIFS($H$2:$H$66, $B$2:$B$66, "g", $H$2:$H$66, "&lt;&gt;0")</f>
        <v>116</v>
      </c>
      <c r="R34" s="14">
        <f t="shared" si="3"/>
        <v>25</v>
      </c>
    </row>
    <row r="35" spans="1:18" x14ac:dyDescent="0.3">
      <c r="A35" s="7">
        <v>137</v>
      </c>
      <c r="B35" s="7" t="s">
        <v>5</v>
      </c>
      <c r="C35" s="7">
        <v>32</v>
      </c>
      <c r="D35" s="7">
        <v>3</v>
      </c>
      <c r="E35" s="7">
        <v>0</v>
      </c>
      <c r="F35" s="7">
        <v>60</v>
      </c>
      <c r="G35" s="7">
        <v>10</v>
      </c>
      <c r="H35" s="7">
        <v>0</v>
      </c>
      <c r="I35" s="7">
        <v>8</v>
      </c>
      <c r="K35" s="7" t="s">
        <v>5</v>
      </c>
      <c r="L35" s="1">
        <v>32</v>
      </c>
      <c r="M35" s="1">
        <f>COUNTIF($B$2:$B$68,"y")</f>
        <v>20</v>
      </c>
      <c r="N35" s="1">
        <f>COUNTIFS($B$2:$B$66,"y", $H$2:$H$66,"&lt;&gt;0")</f>
        <v>4</v>
      </c>
      <c r="O35" s="1">
        <f>AVERAGEIFS($H$2:$H$66, $B$2:$B$66, "y", $H$2:$H$66, "&lt;&gt;0")</f>
        <v>26.75</v>
      </c>
      <c r="P35" s="1">
        <f>_xlfn.MINIFS($H$2:$H$66, $B$2:$B$66, "y", $H$2:$H$66, "&lt;&gt;0")</f>
        <v>9</v>
      </c>
      <c r="Q35" s="1">
        <f>_xlfn.MAXIFS($H$2:$H$66, $B$2:$B$66, "y", $H$2:$H$66, "&lt;&gt;0")</f>
        <v>37</v>
      </c>
      <c r="R35" s="14">
        <f t="shared" si="3"/>
        <v>20</v>
      </c>
    </row>
    <row r="36" spans="1:18" x14ac:dyDescent="0.3">
      <c r="A36" s="7">
        <v>141</v>
      </c>
      <c r="B36" s="7" t="s">
        <v>5</v>
      </c>
      <c r="C36" s="7">
        <v>32</v>
      </c>
      <c r="D36" s="7">
        <v>3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K36" s="12" t="s">
        <v>7</v>
      </c>
      <c r="L36" s="1">
        <v>16</v>
      </c>
      <c r="M36" s="1">
        <f>COUNTIF($B$2:$B$68,"r")</f>
        <v>2</v>
      </c>
      <c r="N36" s="1">
        <f>COUNTIFS($B$2:$B$66,"r", $H$2:$H$66,"&lt;&gt;0")</f>
        <v>1</v>
      </c>
      <c r="O36" s="1">
        <f>AVERAGEIFS($H$2:$H$66, $B$2:$B$66, "r", $H$2:$H$66, "&lt;&gt;0")</f>
        <v>86</v>
      </c>
      <c r="P36" s="1">
        <f>_xlfn.MINIFS($H$2:$H$66, $B$2:$B$66, "r", $H$2:$H$66, "&lt;&gt;0")</f>
        <v>86</v>
      </c>
      <c r="Q36" s="1">
        <f>_xlfn.MAXIFS($H$2:$H$66, $B$2:$B$66, "r", $H$2:$H$66, "&lt;&gt;0")</f>
        <v>86</v>
      </c>
      <c r="R36" s="14">
        <f t="shared" si="3"/>
        <v>50</v>
      </c>
    </row>
    <row r="37" spans="1:18" x14ac:dyDescent="0.3">
      <c r="A37" s="6">
        <v>94</v>
      </c>
      <c r="B37" s="6" t="s">
        <v>6</v>
      </c>
      <c r="C37" s="5">
        <v>64</v>
      </c>
      <c r="D37" s="6">
        <v>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</row>
    <row r="38" spans="1:18" x14ac:dyDescent="0.3">
      <c r="A38" s="9">
        <v>8</v>
      </c>
      <c r="B38" s="9" t="s">
        <v>2</v>
      </c>
      <c r="C38" s="9">
        <v>128</v>
      </c>
      <c r="D38" s="9">
        <v>4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K38" s="13" t="s">
        <v>29</v>
      </c>
      <c r="L38" s="13"/>
      <c r="M38" s="13"/>
      <c r="N38" s="13"/>
      <c r="O38" s="13"/>
      <c r="P38" s="13"/>
      <c r="Q38" s="13"/>
      <c r="R38" s="13"/>
    </row>
    <row r="39" spans="1:18" x14ac:dyDescent="0.3">
      <c r="A39" s="2">
        <v>98</v>
      </c>
      <c r="B39" s="2" t="s">
        <v>4</v>
      </c>
      <c r="C39" s="2">
        <v>45</v>
      </c>
      <c r="D39" s="2">
        <v>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K39" s="1" t="s">
        <v>12</v>
      </c>
      <c r="L39" s="1" t="s">
        <v>13</v>
      </c>
      <c r="M39" s="1" t="s">
        <v>19</v>
      </c>
      <c r="N39" s="1" t="s">
        <v>20</v>
      </c>
      <c r="O39" s="1" t="s">
        <v>21</v>
      </c>
      <c r="P39" s="1" t="s">
        <v>22</v>
      </c>
      <c r="Q39" s="1" t="s">
        <v>23</v>
      </c>
      <c r="R39" s="1" t="s">
        <v>24</v>
      </c>
    </row>
    <row r="40" spans="1:18" x14ac:dyDescent="0.3">
      <c r="A40" s="11">
        <v>11</v>
      </c>
      <c r="B40" s="11" t="s">
        <v>3</v>
      </c>
      <c r="C40" s="11">
        <v>90</v>
      </c>
      <c r="D40" s="11">
        <v>4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K40" s="8" t="s">
        <v>2</v>
      </c>
      <c r="L40" s="1">
        <v>128</v>
      </c>
      <c r="M40" s="1">
        <f>COUNTIF($B$2:$B$68,"o")</f>
        <v>5</v>
      </c>
      <c r="N40" s="1">
        <f>COUNTIFS($B$2:$B$66,"o", $I$2:$I$66,"&lt;&gt;0")</f>
        <v>0</v>
      </c>
      <c r="O40" s="1">
        <v>0</v>
      </c>
      <c r="P40" s="1">
        <v>0</v>
      </c>
      <c r="Q40" s="1">
        <v>0</v>
      </c>
      <c r="R40" s="14">
        <f>N40/M40*100</f>
        <v>0</v>
      </c>
    </row>
    <row r="41" spans="1:18" x14ac:dyDescent="0.3">
      <c r="A41" s="7">
        <v>82</v>
      </c>
      <c r="B41" s="7" t="s">
        <v>5</v>
      </c>
      <c r="C41" s="7">
        <v>32</v>
      </c>
      <c r="D41" s="7">
        <v>4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K41" s="11" t="s">
        <v>3</v>
      </c>
      <c r="L41" s="1">
        <v>90</v>
      </c>
      <c r="M41" s="1">
        <f>COUNTIF($B$2:$B$68,"w")</f>
        <v>8</v>
      </c>
      <c r="N41" s="1">
        <f>COUNTIFS($B$2:$B$66,"w", $I$2:$I$66,"&lt;&gt;0")</f>
        <v>1</v>
      </c>
      <c r="O41" s="15">
        <f>AVERAGEIFS($I$2:$I$66, $B$2:$B$66, "w", $I$2:$I$66, "&lt;&gt;0")</f>
        <v>94</v>
      </c>
      <c r="P41" s="15">
        <f>_xlfn.MINIFS($I$2:$I$66, $B$2:$B$66, "w", $I$2:$I$66, "&lt;&gt;0")</f>
        <v>94</v>
      </c>
      <c r="Q41" s="15">
        <f>_xlfn.MAXIFS($I$2:$I$66, $B$2:$B$66, "w", $I$2:$I$66, "&lt;&gt;0")</f>
        <v>94</v>
      </c>
      <c r="R41" s="14">
        <f t="shared" ref="R41:R45" si="4">N41/M41*100</f>
        <v>12.5</v>
      </c>
    </row>
    <row r="42" spans="1:18" x14ac:dyDescent="0.3">
      <c r="A42" s="5">
        <v>18</v>
      </c>
      <c r="B42" s="5" t="s">
        <v>6</v>
      </c>
      <c r="C42" s="5">
        <v>64</v>
      </c>
      <c r="D42" s="5">
        <v>4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K42" s="5" t="s">
        <v>6</v>
      </c>
      <c r="L42" s="1">
        <v>64</v>
      </c>
      <c r="M42" s="1">
        <f>COUNTIF($B$2:$B$68,"p")</f>
        <v>14</v>
      </c>
      <c r="N42" s="1">
        <f>COUNTIFS($B$2:$B$66,"p", $I$2:$I$66,"&lt;&gt;0")</f>
        <v>1</v>
      </c>
      <c r="O42" s="15">
        <f>AVERAGEIFS($I$2:$I$66, $B$2:$B$66, "p", $I$2:$I$66, "&lt;&gt;0")</f>
        <v>4</v>
      </c>
      <c r="P42" s="15">
        <f>_xlfn.MINIFS($I$2:$I$66, $B$2:$B$66, "p", $I$2:$I$66, "&lt;&gt;0")</f>
        <v>4</v>
      </c>
      <c r="Q42" s="15">
        <f>_xlfn.MAXIFS($I$2:$I$66, $B$2:$B$66, "p", $I$2:$I$66, "&lt;&gt;0")</f>
        <v>4</v>
      </c>
      <c r="R42" s="14">
        <f t="shared" si="4"/>
        <v>7.1428571428571423</v>
      </c>
    </row>
    <row r="43" spans="1:18" x14ac:dyDescent="0.3">
      <c r="A43" s="7">
        <v>85</v>
      </c>
      <c r="B43" s="7" t="s">
        <v>5</v>
      </c>
      <c r="C43" s="7">
        <v>32</v>
      </c>
      <c r="D43" s="7">
        <v>4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K43" s="2" t="s">
        <v>4</v>
      </c>
      <c r="L43" s="1">
        <v>45</v>
      </c>
      <c r="M43" s="1">
        <f>COUNTIF($B$2:$B$68,"g")</f>
        <v>16</v>
      </c>
      <c r="N43" s="1">
        <f>COUNTIFS($B$2:$B$66,"g", $I$2:$I$66,"&lt;&gt;0")</f>
        <v>7</v>
      </c>
      <c r="O43" s="14">
        <f>AVERAGEIFS($I$2:$I$66, $B$2:$B$66, "g", $I$2:$I$66, "&lt;&gt;0")</f>
        <v>19.428571428571427</v>
      </c>
      <c r="P43" s="14">
        <f>_xlfn.MINIFS($I$2:$I$66, $B$2:$B$66, "g", $I$2:$I$66, "&lt;&gt;0")</f>
        <v>4</v>
      </c>
      <c r="Q43" s="14">
        <f>_xlfn.MAXIFS($I$2:$I$66, $B$2:$B$66, "g", $I$2:$I$66, "&lt;&gt;0")</f>
        <v>30</v>
      </c>
      <c r="R43" s="14">
        <f t="shared" si="4"/>
        <v>43.75</v>
      </c>
    </row>
    <row r="44" spans="1:18" x14ac:dyDescent="0.3">
      <c r="A44" s="2">
        <v>159</v>
      </c>
      <c r="B44" s="2" t="s">
        <v>4</v>
      </c>
      <c r="C44" s="2">
        <v>45</v>
      </c>
      <c r="D44" s="2">
        <v>4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K44" s="7" t="s">
        <v>5</v>
      </c>
      <c r="L44" s="1">
        <v>32</v>
      </c>
      <c r="M44" s="1">
        <f>COUNTIF($B$2:$B$68,"y")</f>
        <v>20</v>
      </c>
      <c r="N44" s="1">
        <f>COUNTIFS($B$2:$B$66,"y", $I$2:$I$66,"&lt;&gt;0")</f>
        <v>6</v>
      </c>
      <c r="O44" s="14">
        <f>AVERAGEIFS($I$2:$I$66, $B$2:$B$66, "y", $I$2:$I$66, "&lt;&gt;0")</f>
        <v>107.83333333333333</v>
      </c>
      <c r="P44" s="14">
        <f>_xlfn.MINIFS($I$2:$I$66, $B$2:$B$66, "y", $I$2:$I$66, "&lt;&gt;0")</f>
        <v>2</v>
      </c>
      <c r="Q44" s="14">
        <f>_xlfn.MAXIFS($I$2:$I$66, $B$2:$B$66, "y", $I$2:$I$66, "&lt;&gt;0")</f>
        <v>534</v>
      </c>
      <c r="R44" s="14">
        <f t="shared" si="4"/>
        <v>30</v>
      </c>
    </row>
    <row r="45" spans="1:18" x14ac:dyDescent="0.3">
      <c r="A45" s="5">
        <v>37</v>
      </c>
      <c r="B45" s="5" t="s">
        <v>6</v>
      </c>
      <c r="C45" s="5">
        <v>64</v>
      </c>
      <c r="D45" s="5">
        <v>4</v>
      </c>
      <c r="E45" s="5">
        <v>0</v>
      </c>
      <c r="F45" s="5">
        <v>0</v>
      </c>
      <c r="G45" s="5">
        <v>0</v>
      </c>
      <c r="H45" s="5">
        <v>30</v>
      </c>
      <c r="I45" s="5">
        <v>0</v>
      </c>
      <c r="K45" s="12" t="s">
        <v>7</v>
      </c>
      <c r="L45" s="1">
        <v>16</v>
      </c>
      <c r="M45" s="1">
        <f>COUNTIF($B$2:$B$68,"r")</f>
        <v>2</v>
      </c>
      <c r="N45" s="1">
        <f>COUNTIFS($B$2:$B$66,"r", $I$2:$I$66,"&lt;&gt;0")</f>
        <v>1</v>
      </c>
      <c r="O45" s="15">
        <f>AVERAGEIFS($I$2:$I$66, $B$2:$B$66, "r",$I$2:$I$66, "&lt;&gt;0")</f>
        <v>95</v>
      </c>
      <c r="P45" s="15">
        <f>_xlfn.MINIFS($I$2:$I$66, $B$2:$B$66, "r",$I$2:$I$66, "&lt;&gt;0")</f>
        <v>95</v>
      </c>
      <c r="Q45" s="15">
        <f>_xlfn.MAXIFS($I$2:$I$66, $B$2:$B$66, "r",$I$2:$I$66, "&lt;&gt;0")</f>
        <v>95</v>
      </c>
      <c r="R45" s="14">
        <f t="shared" si="4"/>
        <v>50</v>
      </c>
    </row>
    <row r="46" spans="1:18" x14ac:dyDescent="0.3">
      <c r="A46" s="7">
        <v>118</v>
      </c>
      <c r="B46" s="7" t="s">
        <v>5</v>
      </c>
      <c r="C46" s="7">
        <v>32</v>
      </c>
      <c r="D46" s="7">
        <v>4</v>
      </c>
      <c r="E46" s="7">
        <v>14</v>
      </c>
      <c r="F46" s="7">
        <v>140</v>
      </c>
      <c r="G46" s="7">
        <v>0</v>
      </c>
      <c r="H46" s="7">
        <v>9</v>
      </c>
      <c r="I46" s="7">
        <v>534</v>
      </c>
    </row>
    <row r="47" spans="1:18" x14ac:dyDescent="0.3">
      <c r="A47" s="12">
        <v>165</v>
      </c>
      <c r="B47" s="12" t="s">
        <v>7</v>
      </c>
      <c r="C47" s="12">
        <v>16</v>
      </c>
      <c r="D47" s="12">
        <v>4</v>
      </c>
      <c r="E47" s="12">
        <v>16</v>
      </c>
      <c r="F47" s="12">
        <v>41</v>
      </c>
      <c r="G47" s="12">
        <v>101</v>
      </c>
      <c r="H47" s="12">
        <v>86</v>
      </c>
      <c r="I47" s="12">
        <v>95</v>
      </c>
    </row>
    <row r="48" spans="1:18" x14ac:dyDescent="0.3">
      <c r="A48" s="4">
        <v>164</v>
      </c>
      <c r="B48" s="4" t="s">
        <v>4</v>
      </c>
      <c r="C48" s="2">
        <v>45</v>
      </c>
      <c r="D48" s="4">
        <v>4</v>
      </c>
      <c r="E48" s="4">
        <v>0</v>
      </c>
      <c r="F48" s="4">
        <v>39</v>
      </c>
      <c r="G48" s="4">
        <v>59</v>
      </c>
      <c r="H48" s="4">
        <v>116</v>
      </c>
      <c r="I48" s="4">
        <v>17</v>
      </c>
    </row>
    <row r="49" spans="1:9" x14ac:dyDescent="0.3">
      <c r="A49" s="9">
        <v>168</v>
      </c>
      <c r="B49" s="9" t="s">
        <v>2</v>
      </c>
      <c r="C49" s="9">
        <v>128</v>
      </c>
      <c r="D49" s="9">
        <v>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</row>
    <row r="50" spans="1:9" x14ac:dyDescent="0.3">
      <c r="A50" s="5">
        <v>17</v>
      </c>
      <c r="B50" s="5" t="s">
        <v>6</v>
      </c>
      <c r="C50" s="5">
        <v>64</v>
      </c>
      <c r="D50" s="5">
        <v>5</v>
      </c>
      <c r="E50" s="5">
        <v>0</v>
      </c>
      <c r="F50" s="5">
        <v>0</v>
      </c>
      <c r="G50" s="5">
        <v>0</v>
      </c>
      <c r="H50" s="5">
        <v>0</v>
      </c>
      <c r="I50" s="5">
        <v>4</v>
      </c>
    </row>
    <row r="51" spans="1:9" x14ac:dyDescent="0.3">
      <c r="A51" s="11">
        <v>150</v>
      </c>
      <c r="B51" s="11" t="s">
        <v>3</v>
      </c>
      <c r="C51" s="11">
        <v>90</v>
      </c>
      <c r="D51" s="11">
        <v>5</v>
      </c>
      <c r="E51" s="11">
        <v>0</v>
      </c>
      <c r="F51" s="11">
        <v>19</v>
      </c>
      <c r="G51" s="11">
        <v>0</v>
      </c>
      <c r="H51" s="11">
        <v>0</v>
      </c>
      <c r="I51" s="11">
        <v>0</v>
      </c>
    </row>
    <row r="52" spans="1:9" x14ac:dyDescent="0.3">
      <c r="A52" s="2">
        <v>132</v>
      </c>
      <c r="B52" s="2" t="s">
        <v>4</v>
      </c>
      <c r="C52" s="2">
        <v>45</v>
      </c>
      <c r="D52" s="2">
        <v>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3">
      <c r="A53" s="2">
        <v>161</v>
      </c>
      <c r="B53" s="2" t="s">
        <v>4</v>
      </c>
      <c r="C53" s="2">
        <v>45</v>
      </c>
      <c r="D53" s="2">
        <v>5</v>
      </c>
      <c r="E53" s="2">
        <v>0</v>
      </c>
      <c r="F53" s="2">
        <v>24</v>
      </c>
      <c r="G53" s="2">
        <v>0</v>
      </c>
      <c r="H53" s="2">
        <v>28</v>
      </c>
      <c r="I53" s="2">
        <v>23</v>
      </c>
    </row>
    <row r="54" spans="1:9" x14ac:dyDescent="0.3">
      <c r="A54" s="7">
        <v>145</v>
      </c>
      <c r="B54" s="7" t="s">
        <v>5</v>
      </c>
      <c r="C54" s="7">
        <v>32</v>
      </c>
      <c r="D54" s="7">
        <v>5</v>
      </c>
      <c r="E54" s="7">
        <v>0</v>
      </c>
      <c r="F54" s="7">
        <v>30</v>
      </c>
      <c r="G54" s="7">
        <v>0</v>
      </c>
      <c r="H54" s="7">
        <v>0</v>
      </c>
      <c r="I54" s="7">
        <v>0</v>
      </c>
    </row>
    <row r="55" spans="1:9" x14ac:dyDescent="0.3">
      <c r="A55" s="2">
        <v>107</v>
      </c>
      <c r="B55" s="2" t="s">
        <v>4</v>
      </c>
      <c r="C55" s="2">
        <v>45</v>
      </c>
      <c r="D55" s="2">
        <v>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">
      <c r="A56" s="5">
        <v>105</v>
      </c>
      <c r="B56" s="5" t="s">
        <v>6</v>
      </c>
      <c r="C56" s="5">
        <v>64</v>
      </c>
      <c r="D56" s="5">
        <v>5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</row>
    <row r="57" spans="1:9" x14ac:dyDescent="0.3">
      <c r="A57" s="2">
        <v>91</v>
      </c>
      <c r="B57" s="2" t="s">
        <v>4</v>
      </c>
      <c r="C57" s="2">
        <v>45</v>
      </c>
      <c r="D57" s="2">
        <v>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3">
      <c r="A58" s="7">
        <v>69</v>
      </c>
      <c r="B58" s="7" t="s">
        <v>5</v>
      </c>
      <c r="C58" s="7">
        <v>32</v>
      </c>
      <c r="D58" s="7">
        <v>5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3">
      <c r="A59" s="11">
        <v>152</v>
      </c>
      <c r="B59" s="11" t="s">
        <v>3</v>
      </c>
      <c r="C59" s="11">
        <v>90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</row>
    <row r="60" spans="1:9" x14ac:dyDescent="0.3">
      <c r="A60" s="2">
        <v>121</v>
      </c>
      <c r="B60" s="2" t="s">
        <v>4</v>
      </c>
      <c r="C60" s="2">
        <v>45</v>
      </c>
      <c r="D60" s="2">
        <v>5</v>
      </c>
      <c r="E60" s="2">
        <v>0</v>
      </c>
      <c r="F60" s="2">
        <v>0</v>
      </c>
      <c r="G60" s="2">
        <v>0</v>
      </c>
      <c r="H60" s="2">
        <v>10</v>
      </c>
      <c r="I60" s="2">
        <v>18</v>
      </c>
    </row>
    <row r="61" spans="1:9" x14ac:dyDescent="0.3">
      <c r="A61" s="7">
        <v>61</v>
      </c>
      <c r="B61" s="7" t="s">
        <v>5</v>
      </c>
      <c r="C61" s="7">
        <v>32</v>
      </c>
      <c r="D61" s="7">
        <v>5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3">
      <c r="A62" s="7">
        <v>146</v>
      </c>
      <c r="B62" s="7" t="s">
        <v>5</v>
      </c>
      <c r="C62" s="7">
        <v>32</v>
      </c>
      <c r="D62" s="7">
        <v>5</v>
      </c>
      <c r="E62" s="7">
        <v>0</v>
      </c>
      <c r="F62" s="7">
        <v>20</v>
      </c>
      <c r="G62" s="7">
        <v>0</v>
      </c>
      <c r="H62" s="7">
        <v>0</v>
      </c>
      <c r="I62" s="7">
        <v>0</v>
      </c>
    </row>
    <row r="63" spans="1:9" x14ac:dyDescent="0.3">
      <c r="A63" s="7">
        <v>45</v>
      </c>
      <c r="B63" s="7" t="s">
        <v>5</v>
      </c>
      <c r="C63" s="7">
        <v>32</v>
      </c>
      <c r="D63" s="7">
        <v>5</v>
      </c>
      <c r="E63" s="7">
        <v>17</v>
      </c>
      <c r="F63" s="7">
        <v>25</v>
      </c>
      <c r="G63" s="7">
        <v>0</v>
      </c>
      <c r="H63" s="7">
        <v>0</v>
      </c>
      <c r="I63" s="7">
        <v>0</v>
      </c>
    </row>
    <row r="64" spans="1:9" x14ac:dyDescent="0.3">
      <c r="A64" s="7">
        <v>63</v>
      </c>
      <c r="B64" s="7" t="s">
        <v>5</v>
      </c>
      <c r="C64" s="7">
        <v>32</v>
      </c>
      <c r="D64" s="7">
        <v>5</v>
      </c>
      <c r="E64" s="7">
        <v>4</v>
      </c>
      <c r="F64" s="7">
        <v>27</v>
      </c>
      <c r="G64" s="7">
        <v>0</v>
      </c>
      <c r="H64" s="7">
        <v>0</v>
      </c>
      <c r="I64" s="7">
        <v>0</v>
      </c>
    </row>
    <row r="65" spans="1:9" x14ac:dyDescent="0.3">
      <c r="A65" s="5">
        <v>96</v>
      </c>
      <c r="B65" s="5" t="s">
        <v>6</v>
      </c>
      <c r="C65" s="5">
        <v>64</v>
      </c>
      <c r="D65" s="5">
        <v>5</v>
      </c>
      <c r="E65" s="5">
        <v>24</v>
      </c>
      <c r="F65" s="5">
        <v>20</v>
      </c>
      <c r="G65" s="5">
        <v>0</v>
      </c>
      <c r="H65" s="5">
        <v>0</v>
      </c>
      <c r="I65" s="5">
        <v>0</v>
      </c>
    </row>
    <row r="66" spans="1:9" x14ac:dyDescent="0.3">
      <c r="A66" s="5">
        <v>12</v>
      </c>
      <c r="B66" s="5" t="s">
        <v>6</v>
      </c>
      <c r="C66" s="5">
        <v>64</v>
      </c>
      <c r="D66" s="5">
        <v>5</v>
      </c>
      <c r="E66" s="5">
        <v>0</v>
      </c>
      <c r="F66" s="5">
        <v>19</v>
      </c>
      <c r="G66" s="5">
        <v>0</v>
      </c>
      <c r="H66" s="5">
        <v>0</v>
      </c>
      <c r="I66" s="5">
        <v>0</v>
      </c>
    </row>
    <row r="67" spans="1:9" x14ac:dyDescent="0.3">
      <c r="A67" s="7">
        <v>74</v>
      </c>
      <c r="B67" s="7" t="s">
        <v>14</v>
      </c>
      <c r="C67" s="7">
        <v>32</v>
      </c>
      <c r="D67" s="7">
        <v>5</v>
      </c>
      <c r="E67" s="7" t="s">
        <v>18</v>
      </c>
      <c r="F67" s="7" t="s">
        <v>18</v>
      </c>
      <c r="G67" s="7" t="s">
        <v>18</v>
      </c>
      <c r="H67" s="7" t="s">
        <v>16</v>
      </c>
      <c r="I67" s="7">
        <v>13</v>
      </c>
    </row>
    <row r="68" spans="1:9" x14ac:dyDescent="0.3">
      <c r="A68" s="10">
        <v>51</v>
      </c>
      <c r="B68" s="10" t="s">
        <v>15</v>
      </c>
      <c r="C68" s="10">
        <v>32</v>
      </c>
      <c r="D68" s="10">
        <v>5</v>
      </c>
      <c r="E68" s="10" t="s">
        <v>18</v>
      </c>
      <c r="F68" s="10" t="s">
        <v>18</v>
      </c>
      <c r="G68" s="10" t="s">
        <v>18</v>
      </c>
      <c r="H68" s="10" t="s">
        <v>16</v>
      </c>
      <c r="I68" s="10">
        <v>0</v>
      </c>
    </row>
    <row r="69" spans="1:9" x14ac:dyDescent="0.3">
      <c r="G69" s="1"/>
    </row>
  </sheetData>
  <mergeCells count="5">
    <mergeCell ref="K2:R2"/>
    <mergeCell ref="K11:R11"/>
    <mergeCell ref="K20:R20"/>
    <mergeCell ref="K29:R29"/>
    <mergeCell ref="K38:R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2025-04-30T17:52:40Z</dcterms:created>
  <dcterms:modified xsi:type="dcterms:W3CDTF">2025-05-01T01:25:45Z</dcterms:modified>
</cp:coreProperties>
</file>