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Research/La Jara Data/Fine GSD/Sieves/"/>
    </mc:Choice>
  </mc:AlternateContent>
  <xr:revisionPtr revIDLastSave="1627" documentId="8_{EED7F829-477C-4568-9838-CBD2A61330DF}" xr6:coauthVersionLast="47" xr6:coauthVersionMax="47" xr10:uidLastSave="{C23BEAA4-FF43-4379-8541-81043E5A65CF}"/>
  <bookViews>
    <workbookView xWindow="22932" yWindow="360" windowWidth="23256" windowHeight="12456" xr2:uid="{209A61C2-E5C5-4D6E-B44B-8FD127605137}"/>
  </bookViews>
  <sheets>
    <sheet name="Dry GSD (with sand)" sheetId="1" r:id="rId1"/>
    <sheet name="T25A" sheetId="3" r:id="rId2"/>
    <sheet name="LIS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" i="1" l="1"/>
  <c r="G99" i="1"/>
  <c r="B99" i="1"/>
  <c r="Q65" i="1"/>
  <c r="L65" i="1"/>
  <c r="G65" i="1"/>
  <c r="B65" i="1"/>
  <c r="Q116" i="1"/>
  <c r="L116" i="1"/>
  <c r="G116" i="1"/>
  <c r="Q82" i="1"/>
  <c r="G74" i="1"/>
  <c r="B16" i="1"/>
  <c r="B14" i="1" s="1"/>
  <c r="H19" i="3"/>
  <c r="G19" i="3"/>
  <c r="C37" i="3"/>
  <c r="C24" i="3"/>
  <c r="C18" i="3"/>
  <c r="H21" i="3" l="1"/>
  <c r="G21" i="3"/>
  <c r="H20" i="3"/>
  <c r="G20" i="3"/>
  <c r="H18" i="3"/>
  <c r="G18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19" i="3"/>
  <c r="D20" i="3"/>
  <c r="D21" i="3"/>
  <c r="D22" i="3"/>
  <c r="D23" i="3"/>
  <c r="D24" i="3"/>
  <c r="D25" i="3"/>
  <c r="D18" i="3"/>
  <c r="C35" i="3"/>
  <c r="C21" i="3"/>
  <c r="C39" i="3"/>
  <c r="C38" i="3"/>
  <c r="C36" i="3"/>
  <c r="C34" i="3"/>
  <c r="C33" i="3"/>
  <c r="C32" i="3"/>
  <c r="C31" i="3"/>
  <c r="C30" i="3"/>
  <c r="C29" i="3"/>
  <c r="C28" i="3"/>
  <c r="C27" i="3"/>
  <c r="C26" i="3"/>
  <c r="C25" i="3"/>
  <c r="C23" i="3"/>
  <c r="C22" i="3"/>
  <c r="C20" i="3"/>
  <c r="C19" i="3"/>
  <c r="C5" i="3"/>
  <c r="B37" i="3"/>
  <c r="B38" i="3" s="1"/>
  <c r="B39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6" i="3" s="1"/>
  <c r="B20" i="3"/>
  <c r="H4" i="3"/>
  <c r="H5" i="3"/>
  <c r="H6" i="3"/>
  <c r="H7" i="3"/>
  <c r="H8" i="3"/>
  <c r="H9" i="3"/>
  <c r="H10" i="3"/>
  <c r="H11" i="3"/>
  <c r="H12" i="3"/>
  <c r="H13" i="3"/>
  <c r="H3" i="3"/>
  <c r="G4" i="3"/>
  <c r="G5" i="3"/>
  <c r="G6" i="3"/>
  <c r="G7" i="3"/>
  <c r="G8" i="3"/>
  <c r="G9" i="3"/>
  <c r="G10" i="3"/>
  <c r="G11" i="3"/>
  <c r="G12" i="3"/>
  <c r="G13" i="3"/>
  <c r="G3" i="3"/>
  <c r="F5" i="3"/>
  <c r="F6" i="3"/>
  <c r="F7" i="3" s="1"/>
  <c r="F8" i="3" s="1"/>
  <c r="F9" i="3" s="1"/>
  <c r="F10" i="3" s="1"/>
  <c r="F11" i="3" s="1"/>
  <c r="F12" i="3" s="1"/>
  <c r="F13" i="3" s="1"/>
  <c r="F4" i="3"/>
  <c r="F3" i="3"/>
  <c r="C6" i="3"/>
  <c r="C7" i="3"/>
  <c r="C8" i="3"/>
  <c r="C9" i="3"/>
  <c r="C10" i="3"/>
  <c r="C11" i="3"/>
  <c r="C12" i="3"/>
  <c r="C13" i="3"/>
  <c r="C4" i="3"/>
  <c r="D4" i="3" s="1"/>
  <c r="E3" i="3"/>
  <c r="B15" i="3"/>
  <c r="B13" i="3" s="1"/>
  <c r="H10" i="1"/>
  <c r="M91" i="1"/>
  <c r="M92" i="1"/>
  <c r="M93" i="1"/>
  <c r="M94" i="1"/>
  <c r="M95" i="1"/>
  <c r="M96" i="1"/>
  <c r="M97" i="1"/>
  <c r="M98" i="1"/>
  <c r="M90" i="1"/>
  <c r="N90" i="1" s="1"/>
  <c r="O90" i="1" s="1"/>
  <c r="G101" i="1"/>
  <c r="H99" i="1" s="1"/>
  <c r="H91" i="1"/>
  <c r="H92" i="1"/>
  <c r="H93" i="1"/>
  <c r="H94" i="1"/>
  <c r="H95" i="1"/>
  <c r="H96" i="1"/>
  <c r="H97" i="1"/>
  <c r="H98" i="1"/>
  <c r="H90" i="1"/>
  <c r="I90" i="1" s="1"/>
  <c r="J90" i="1" s="1"/>
  <c r="C91" i="1"/>
  <c r="C92" i="1"/>
  <c r="C93" i="1"/>
  <c r="C94" i="1"/>
  <c r="C95" i="1"/>
  <c r="C96" i="1"/>
  <c r="C97" i="1"/>
  <c r="C98" i="1"/>
  <c r="C90" i="1"/>
  <c r="D90" i="1" s="1"/>
  <c r="E90" i="1" s="1"/>
  <c r="B101" i="1"/>
  <c r="C99" i="1" s="1"/>
  <c r="R113" i="1"/>
  <c r="M115" i="1"/>
  <c r="M108" i="1"/>
  <c r="M109" i="1"/>
  <c r="M110" i="1"/>
  <c r="M111" i="1"/>
  <c r="M112" i="1"/>
  <c r="M113" i="1"/>
  <c r="M114" i="1"/>
  <c r="M107" i="1"/>
  <c r="N107" i="1" s="1"/>
  <c r="O107" i="1" s="1"/>
  <c r="H108" i="1"/>
  <c r="H109" i="1"/>
  <c r="H110" i="1"/>
  <c r="H111" i="1"/>
  <c r="H112" i="1"/>
  <c r="H113" i="1"/>
  <c r="H114" i="1"/>
  <c r="H115" i="1"/>
  <c r="H107" i="1"/>
  <c r="I107" i="1" s="1"/>
  <c r="C108" i="1"/>
  <c r="C109" i="1"/>
  <c r="C110" i="1"/>
  <c r="C111" i="1"/>
  <c r="C112" i="1"/>
  <c r="C113" i="1"/>
  <c r="C114" i="1"/>
  <c r="C115" i="1"/>
  <c r="C107" i="1"/>
  <c r="D107" i="1" s="1"/>
  <c r="E107" i="1" s="1"/>
  <c r="R108" i="1"/>
  <c r="R109" i="1"/>
  <c r="R110" i="1"/>
  <c r="R111" i="1"/>
  <c r="R112" i="1"/>
  <c r="R114" i="1"/>
  <c r="R115" i="1"/>
  <c r="R107" i="1"/>
  <c r="Q118" i="1"/>
  <c r="R116" i="1" s="1"/>
  <c r="L118" i="1"/>
  <c r="M116" i="1" s="1"/>
  <c r="G118" i="1"/>
  <c r="H116" i="1" s="1"/>
  <c r="B118" i="1"/>
  <c r="C116" i="1" s="1"/>
  <c r="T106" i="1"/>
  <c r="O106" i="1"/>
  <c r="J106" i="1"/>
  <c r="E106" i="1"/>
  <c r="L101" i="1"/>
  <c r="M99" i="1" s="1"/>
  <c r="O89" i="1"/>
  <c r="J89" i="1"/>
  <c r="E89" i="1"/>
  <c r="C39" i="1"/>
  <c r="C40" i="1"/>
  <c r="C41" i="1"/>
  <c r="C42" i="1"/>
  <c r="C43" i="1"/>
  <c r="AG29" i="2"/>
  <c r="AG28" i="2"/>
  <c r="AG27" i="2"/>
  <c r="AG26" i="2"/>
  <c r="AG25" i="2"/>
  <c r="AG24" i="2"/>
  <c r="AG23" i="2"/>
  <c r="AG22" i="2"/>
  <c r="AG21" i="2"/>
  <c r="AG19" i="2"/>
  <c r="R117" i="1" l="1"/>
  <c r="D5" i="3"/>
  <c r="D6" i="3" s="1"/>
  <c r="E6" i="3" s="1"/>
  <c r="E4" i="3"/>
  <c r="D15" i="3" s="1"/>
  <c r="S107" i="1"/>
  <c r="T107" i="1" s="1"/>
  <c r="D108" i="1"/>
  <c r="E108" i="1" s="1"/>
  <c r="N108" i="1"/>
  <c r="O108" i="1" s="1"/>
  <c r="I108" i="1"/>
  <c r="J108" i="1" s="1"/>
  <c r="J107" i="1"/>
  <c r="I91" i="1"/>
  <c r="J91" i="1" s="1"/>
  <c r="N91" i="1"/>
  <c r="M100" i="1"/>
  <c r="D91" i="1"/>
  <c r="E91" i="1" s="1"/>
  <c r="H73" i="1"/>
  <c r="M74" i="1"/>
  <c r="M75" i="1"/>
  <c r="M76" i="1"/>
  <c r="M77" i="1"/>
  <c r="M78" i="1"/>
  <c r="M79" i="1"/>
  <c r="M80" i="1"/>
  <c r="M81" i="1"/>
  <c r="M73" i="1"/>
  <c r="R74" i="1"/>
  <c r="R75" i="1"/>
  <c r="R76" i="1"/>
  <c r="R77" i="1"/>
  <c r="R78" i="1"/>
  <c r="R79" i="1"/>
  <c r="R80" i="1"/>
  <c r="R81" i="1"/>
  <c r="R82" i="1"/>
  <c r="R73" i="1"/>
  <c r="E5" i="3" l="1"/>
  <c r="D14" i="3" s="1"/>
  <c r="D7" i="3"/>
  <c r="I92" i="1"/>
  <c r="J92" i="1" s="1"/>
  <c r="D109" i="1"/>
  <c r="E109" i="1" s="1"/>
  <c r="S108" i="1"/>
  <c r="T108" i="1" s="1"/>
  <c r="I109" i="1"/>
  <c r="J109" i="1" s="1"/>
  <c r="N109" i="1"/>
  <c r="O91" i="1"/>
  <c r="N92" i="1"/>
  <c r="D92" i="1"/>
  <c r="H74" i="1"/>
  <c r="H75" i="1"/>
  <c r="H76" i="1"/>
  <c r="H77" i="1"/>
  <c r="H78" i="1"/>
  <c r="H79" i="1"/>
  <c r="H80" i="1"/>
  <c r="H81" i="1"/>
  <c r="C74" i="1"/>
  <c r="C75" i="1"/>
  <c r="C76" i="1"/>
  <c r="C77" i="1"/>
  <c r="C78" i="1"/>
  <c r="C79" i="1"/>
  <c r="C80" i="1"/>
  <c r="C81" i="1"/>
  <c r="C73" i="1"/>
  <c r="D73" i="1" s="1"/>
  <c r="E73" i="1" s="1"/>
  <c r="Q84" i="1"/>
  <c r="G84" i="1"/>
  <c r="G82" i="1" s="1"/>
  <c r="H82" i="1" s="1"/>
  <c r="B84" i="1"/>
  <c r="B82" i="1" s="1"/>
  <c r="C82" i="1" s="1"/>
  <c r="N73" i="1"/>
  <c r="O73" i="1" s="1"/>
  <c r="I73" i="1"/>
  <c r="J73" i="1" s="1"/>
  <c r="T72" i="1"/>
  <c r="O72" i="1"/>
  <c r="J72" i="1"/>
  <c r="E72" i="1"/>
  <c r="R57" i="1"/>
  <c r="R58" i="1"/>
  <c r="R59" i="1"/>
  <c r="R60" i="1"/>
  <c r="R61" i="1"/>
  <c r="R62" i="1"/>
  <c r="R63" i="1"/>
  <c r="R64" i="1"/>
  <c r="R56" i="1"/>
  <c r="M57" i="1"/>
  <c r="M58" i="1"/>
  <c r="M59" i="1"/>
  <c r="M60" i="1"/>
  <c r="M61" i="1"/>
  <c r="M62" i="1"/>
  <c r="M63" i="1"/>
  <c r="M64" i="1"/>
  <c r="M56" i="1"/>
  <c r="N56" i="1" s="1"/>
  <c r="O56" i="1" s="1"/>
  <c r="H57" i="1"/>
  <c r="H58" i="1"/>
  <c r="H59" i="1"/>
  <c r="H60" i="1"/>
  <c r="H61" i="1"/>
  <c r="H62" i="1"/>
  <c r="H63" i="1"/>
  <c r="H64" i="1"/>
  <c r="H65" i="1"/>
  <c r="H56" i="1"/>
  <c r="I56" i="1" s="1"/>
  <c r="J56" i="1" s="1"/>
  <c r="C57" i="1"/>
  <c r="C58" i="1"/>
  <c r="C59" i="1"/>
  <c r="C60" i="1"/>
  <c r="C61" i="1"/>
  <c r="C62" i="1"/>
  <c r="C63" i="1"/>
  <c r="C64" i="1"/>
  <c r="C56" i="1"/>
  <c r="D56" i="1" s="1"/>
  <c r="E56" i="1" s="1"/>
  <c r="B67" i="1"/>
  <c r="C65" i="1" s="1"/>
  <c r="Q67" i="1"/>
  <c r="R65" i="1" s="1"/>
  <c r="L67" i="1"/>
  <c r="M65" i="1" s="1"/>
  <c r="G67" i="1"/>
  <c r="T55" i="1"/>
  <c r="O55" i="1"/>
  <c r="J55" i="1"/>
  <c r="E55" i="1"/>
  <c r="H40" i="1"/>
  <c r="H41" i="1"/>
  <c r="H42" i="1"/>
  <c r="H43" i="1"/>
  <c r="H44" i="1"/>
  <c r="H45" i="1"/>
  <c r="H46" i="1"/>
  <c r="H47" i="1"/>
  <c r="H48" i="1"/>
  <c r="H39" i="1"/>
  <c r="I39" i="1" s="1"/>
  <c r="C44" i="1"/>
  <c r="C45" i="1"/>
  <c r="C46" i="1"/>
  <c r="C47" i="1"/>
  <c r="D39" i="1"/>
  <c r="E39" i="1" s="1"/>
  <c r="B50" i="1"/>
  <c r="B48" i="1" s="1"/>
  <c r="C48" i="1" s="1"/>
  <c r="G50" i="1"/>
  <c r="G48" i="1" s="1"/>
  <c r="J38" i="1"/>
  <c r="E38" i="1"/>
  <c r="D8" i="3" l="1"/>
  <c r="E7" i="3"/>
  <c r="I93" i="1"/>
  <c r="J93" i="1" s="1"/>
  <c r="I110" i="1"/>
  <c r="J110" i="1" s="1"/>
  <c r="D110" i="1"/>
  <c r="E110" i="1" s="1"/>
  <c r="S109" i="1"/>
  <c r="T109" i="1" s="1"/>
  <c r="O109" i="1"/>
  <c r="N110" i="1"/>
  <c r="O92" i="1"/>
  <c r="N93" i="1"/>
  <c r="E92" i="1"/>
  <c r="D93" i="1"/>
  <c r="L84" i="1"/>
  <c r="L82" i="1" s="1"/>
  <c r="M82" i="1" s="1"/>
  <c r="R83" i="1"/>
  <c r="D74" i="1"/>
  <c r="E74" i="1" s="1"/>
  <c r="I74" i="1"/>
  <c r="J74" i="1" s="1"/>
  <c r="N74" i="1"/>
  <c r="O74" i="1" s="1"/>
  <c r="S73" i="1"/>
  <c r="T73" i="1" s="1"/>
  <c r="R66" i="1"/>
  <c r="D57" i="1"/>
  <c r="E57" i="1" s="1"/>
  <c r="I57" i="1"/>
  <c r="J57" i="1" s="1"/>
  <c r="N57" i="1"/>
  <c r="O57" i="1" s="1"/>
  <c r="S56" i="1"/>
  <c r="T56" i="1" s="1"/>
  <c r="J39" i="1"/>
  <c r="I40" i="1"/>
  <c r="D40" i="1"/>
  <c r="E40" i="1" s="1"/>
  <c r="H23" i="1"/>
  <c r="H24" i="1"/>
  <c r="H25" i="1"/>
  <c r="H26" i="1"/>
  <c r="H27" i="1"/>
  <c r="H28" i="1"/>
  <c r="H29" i="1"/>
  <c r="H30" i="1"/>
  <c r="H22" i="1"/>
  <c r="G33" i="1"/>
  <c r="J21" i="1"/>
  <c r="C23" i="1"/>
  <c r="C24" i="1"/>
  <c r="C25" i="1"/>
  <c r="C26" i="1"/>
  <c r="C27" i="1"/>
  <c r="C28" i="1"/>
  <c r="C29" i="1"/>
  <c r="C30" i="1"/>
  <c r="C22" i="1"/>
  <c r="D22" i="1" s="1"/>
  <c r="E22" i="1" s="1"/>
  <c r="B33" i="1"/>
  <c r="E21" i="1"/>
  <c r="Q16" i="1"/>
  <c r="Q14" i="1" s="1"/>
  <c r="R10" i="1"/>
  <c r="R6" i="1"/>
  <c r="R7" i="1"/>
  <c r="R8" i="1"/>
  <c r="R9" i="1"/>
  <c r="R12" i="1"/>
  <c r="R13" i="1"/>
  <c r="R5" i="1"/>
  <c r="S5" i="1" s="1"/>
  <c r="T5" i="1" s="1"/>
  <c r="T4" i="1"/>
  <c r="M6" i="1"/>
  <c r="M7" i="1"/>
  <c r="M8" i="1"/>
  <c r="M9" i="1"/>
  <c r="M10" i="1"/>
  <c r="M11" i="1"/>
  <c r="M12" i="1"/>
  <c r="M13" i="1"/>
  <c r="M5" i="1"/>
  <c r="N5" i="1" s="1"/>
  <c r="O5" i="1" s="1"/>
  <c r="O4" i="1"/>
  <c r="H6" i="1"/>
  <c r="H7" i="1"/>
  <c r="H8" i="1"/>
  <c r="H9" i="1"/>
  <c r="H11" i="1"/>
  <c r="H12" i="1"/>
  <c r="H13" i="1"/>
  <c r="H5" i="1"/>
  <c r="I5" i="1" s="1"/>
  <c r="J5" i="1" s="1"/>
  <c r="G16" i="1"/>
  <c r="C14" i="1"/>
  <c r="J4" i="1"/>
  <c r="E4" i="1"/>
  <c r="C13" i="1"/>
  <c r="C6" i="1"/>
  <c r="C7" i="1"/>
  <c r="C8" i="1"/>
  <c r="C9" i="1"/>
  <c r="C10" i="1"/>
  <c r="C11" i="1"/>
  <c r="C12" i="1"/>
  <c r="C5" i="1"/>
  <c r="D5" i="1" s="1"/>
  <c r="E5" i="1" s="1"/>
  <c r="D16" i="1" s="1"/>
  <c r="L16" i="1"/>
  <c r="S110" i="1" l="1"/>
  <c r="T110" i="1" s="1"/>
  <c r="I58" i="1"/>
  <c r="J58" i="1" s="1"/>
  <c r="G14" i="1"/>
  <c r="H14" i="1" s="1"/>
  <c r="G31" i="1"/>
  <c r="H31" i="1" s="1"/>
  <c r="H32" i="1" s="1"/>
  <c r="L14" i="1"/>
  <c r="M14" i="1" s="1"/>
  <c r="B31" i="1"/>
  <c r="C31" i="1" s="1"/>
  <c r="E8" i="3"/>
  <c r="D9" i="3"/>
  <c r="I94" i="1"/>
  <c r="J94" i="1" s="1"/>
  <c r="I111" i="1"/>
  <c r="J111" i="1" s="1"/>
  <c r="D111" i="1"/>
  <c r="D112" i="1" s="1"/>
  <c r="O110" i="1"/>
  <c r="N111" i="1"/>
  <c r="O93" i="1"/>
  <c r="N94" i="1"/>
  <c r="E93" i="1"/>
  <c r="D94" i="1"/>
  <c r="N75" i="1"/>
  <c r="O75" i="1" s="1"/>
  <c r="D75" i="1"/>
  <c r="E75" i="1" s="1"/>
  <c r="S74" i="1"/>
  <c r="T74" i="1" s="1"/>
  <c r="I75" i="1"/>
  <c r="S57" i="1"/>
  <c r="T57" i="1" s="1"/>
  <c r="D58" i="1"/>
  <c r="E58" i="1" s="1"/>
  <c r="N58" i="1"/>
  <c r="J40" i="1"/>
  <c r="I41" i="1"/>
  <c r="D41" i="1"/>
  <c r="S6" i="1"/>
  <c r="S7" i="1" s="1"/>
  <c r="S8" i="1" s="1"/>
  <c r="I22" i="1"/>
  <c r="J22" i="1" s="1"/>
  <c r="D23" i="1"/>
  <c r="E23" i="1" s="1"/>
  <c r="R11" i="1"/>
  <c r="R14" i="1"/>
  <c r="N6" i="1"/>
  <c r="O6" i="1" s="1"/>
  <c r="I6" i="1"/>
  <c r="J6" i="1" s="1"/>
  <c r="D6" i="1"/>
  <c r="E6" i="1" s="1"/>
  <c r="I59" i="1" l="1"/>
  <c r="S111" i="1"/>
  <c r="T111" i="1" s="1"/>
  <c r="D59" i="1"/>
  <c r="D60" i="1" s="1"/>
  <c r="S75" i="1"/>
  <c r="T75" i="1" s="1"/>
  <c r="N76" i="1"/>
  <c r="N77" i="1" s="1"/>
  <c r="D76" i="1"/>
  <c r="E76" i="1" s="1"/>
  <c r="T6" i="1"/>
  <c r="D7" i="1"/>
  <c r="D8" i="1" s="1"/>
  <c r="E9" i="3"/>
  <c r="D10" i="3"/>
  <c r="I95" i="1"/>
  <c r="J95" i="1" s="1"/>
  <c r="I112" i="1"/>
  <c r="J112" i="1" s="1"/>
  <c r="E111" i="1"/>
  <c r="O111" i="1"/>
  <c r="N112" i="1"/>
  <c r="E112" i="1"/>
  <c r="D113" i="1"/>
  <c r="O94" i="1"/>
  <c r="N95" i="1"/>
  <c r="E94" i="1"/>
  <c r="D95" i="1"/>
  <c r="J75" i="1"/>
  <c r="I76" i="1"/>
  <c r="S58" i="1"/>
  <c r="T58" i="1" s="1"/>
  <c r="J59" i="1"/>
  <c r="I60" i="1"/>
  <c r="O58" i="1"/>
  <c r="N59" i="1"/>
  <c r="E41" i="1"/>
  <c r="D42" i="1"/>
  <c r="J41" i="1"/>
  <c r="I42" i="1"/>
  <c r="S9" i="1"/>
  <c r="T8" i="1"/>
  <c r="I23" i="1"/>
  <c r="D24" i="1"/>
  <c r="R15" i="1"/>
  <c r="N7" i="1"/>
  <c r="I7" i="1"/>
  <c r="I8" i="1" s="1"/>
  <c r="E59" i="1" l="1"/>
  <c r="S112" i="1"/>
  <c r="S113" i="1" s="1"/>
  <c r="S76" i="1"/>
  <c r="T76" i="1" s="1"/>
  <c r="O76" i="1"/>
  <c r="D77" i="1"/>
  <c r="E77" i="1" s="1"/>
  <c r="E7" i="1"/>
  <c r="D15" i="1" s="1"/>
  <c r="E10" i="3"/>
  <c r="D11" i="3"/>
  <c r="I96" i="1"/>
  <c r="I97" i="1" s="1"/>
  <c r="I113" i="1"/>
  <c r="J113" i="1" s="1"/>
  <c r="E113" i="1"/>
  <c r="D114" i="1"/>
  <c r="O112" i="1"/>
  <c r="N113" i="1"/>
  <c r="O95" i="1"/>
  <c r="N96" i="1"/>
  <c r="E95" i="1"/>
  <c r="D96" i="1"/>
  <c r="J76" i="1"/>
  <c r="I77" i="1"/>
  <c r="S77" i="1"/>
  <c r="O77" i="1"/>
  <c r="N78" i="1"/>
  <c r="S59" i="1"/>
  <c r="T59" i="1" s="1"/>
  <c r="O59" i="1"/>
  <c r="N60" i="1"/>
  <c r="I61" i="1"/>
  <c r="J60" i="1"/>
  <c r="E60" i="1"/>
  <c r="D61" i="1"/>
  <c r="J42" i="1"/>
  <c r="I43" i="1"/>
  <c r="E42" i="1"/>
  <c r="D43" i="1"/>
  <c r="J23" i="1"/>
  <c r="I24" i="1"/>
  <c r="D25" i="1"/>
  <c r="E24" i="1"/>
  <c r="T7" i="1"/>
  <c r="O7" i="1"/>
  <c r="N8" i="1"/>
  <c r="J7" i="1"/>
  <c r="D9" i="1"/>
  <c r="E8" i="1"/>
  <c r="T112" i="1" l="1"/>
  <c r="D78" i="1"/>
  <c r="E78" i="1" s="1"/>
  <c r="E11" i="3"/>
  <c r="D12" i="3"/>
  <c r="J96" i="1"/>
  <c r="I114" i="1"/>
  <c r="J114" i="1" s="1"/>
  <c r="E114" i="1"/>
  <c r="D115" i="1"/>
  <c r="O113" i="1"/>
  <c r="N114" i="1"/>
  <c r="T113" i="1"/>
  <c r="S114" i="1"/>
  <c r="N97" i="1"/>
  <c r="O96" i="1"/>
  <c r="J97" i="1"/>
  <c r="I98" i="1"/>
  <c r="E96" i="1"/>
  <c r="D97" i="1"/>
  <c r="O78" i="1"/>
  <c r="N79" i="1"/>
  <c r="J77" i="1"/>
  <c r="I78" i="1"/>
  <c r="T77" i="1"/>
  <c r="S78" i="1"/>
  <c r="S60" i="1"/>
  <c r="S61" i="1" s="1"/>
  <c r="J61" i="1"/>
  <c r="I62" i="1"/>
  <c r="E61" i="1"/>
  <c r="D62" i="1"/>
  <c r="O60" i="1"/>
  <c r="N61" i="1"/>
  <c r="E43" i="1"/>
  <c r="D44" i="1"/>
  <c r="J43" i="1"/>
  <c r="I44" i="1"/>
  <c r="J24" i="1"/>
  <c r="I25" i="1"/>
  <c r="E25" i="1"/>
  <c r="D26" i="1"/>
  <c r="O8" i="1"/>
  <c r="N9" i="1"/>
  <c r="J8" i="1"/>
  <c r="I9" i="1"/>
  <c r="D10" i="1"/>
  <c r="E9" i="1"/>
  <c r="D79" i="1" l="1"/>
  <c r="E79" i="1" s="1"/>
  <c r="E12" i="3"/>
  <c r="D13" i="3"/>
  <c r="E13" i="3" s="1"/>
  <c r="I115" i="1"/>
  <c r="J115" i="1" s="1"/>
  <c r="O114" i="1"/>
  <c r="N115" i="1"/>
  <c r="T114" i="1"/>
  <c r="S115" i="1"/>
  <c r="E115" i="1"/>
  <c r="D116" i="1"/>
  <c r="E116" i="1" s="1"/>
  <c r="J98" i="1"/>
  <c r="I99" i="1"/>
  <c r="J99" i="1" s="1"/>
  <c r="O97" i="1"/>
  <c r="N98" i="1"/>
  <c r="E97" i="1"/>
  <c r="D98" i="1"/>
  <c r="T78" i="1"/>
  <c r="S79" i="1"/>
  <c r="J78" i="1"/>
  <c r="I79" i="1"/>
  <c r="O79" i="1"/>
  <c r="N80" i="1"/>
  <c r="T60" i="1"/>
  <c r="J62" i="1"/>
  <c r="I63" i="1"/>
  <c r="O61" i="1"/>
  <c r="N62" i="1"/>
  <c r="E62" i="1"/>
  <c r="D63" i="1"/>
  <c r="T61" i="1"/>
  <c r="S62" i="1"/>
  <c r="E44" i="1"/>
  <c r="D45" i="1"/>
  <c r="J44" i="1"/>
  <c r="I45" i="1"/>
  <c r="I26" i="1"/>
  <c r="J25" i="1"/>
  <c r="E26" i="1"/>
  <c r="D27" i="1"/>
  <c r="T9" i="1"/>
  <c r="S10" i="1"/>
  <c r="O9" i="1"/>
  <c r="N10" i="1"/>
  <c r="J9" i="1"/>
  <c r="I10" i="1"/>
  <c r="D11" i="1"/>
  <c r="E10" i="1"/>
  <c r="D80" i="1" l="1"/>
  <c r="E80" i="1" s="1"/>
  <c r="I116" i="1"/>
  <c r="J116" i="1" s="1"/>
  <c r="T115" i="1"/>
  <c r="S116" i="1"/>
  <c r="T116" i="1" s="1"/>
  <c r="O115" i="1"/>
  <c r="N116" i="1"/>
  <c r="O116" i="1" s="1"/>
  <c r="O98" i="1"/>
  <c r="N99" i="1"/>
  <c r="O99" i="1" s="1"/>
  <c r="E98" i="1"/>
  <c r="D99" i="1"/>
  <c r="E99" i="1" s="1"/>
  <c r="T79" i="1"/>
  <c r="S80" i="1"/>
  <c r="O80" i="1"/>
  <c r="N81" i="1"/>
  <c r="J79" i="1"/>
  <c r="I80" i="1"/>
  <c r="T62" i="1"/>
  <c r="S63" i="1"/>
  <c r="E63" i="1"/>
  <c r="D64" i="1"/>
  <c r="J63" i="1"/>
  <c r="I64" i="1"/>
  <c r="O62" i="1"/>
  <c r="N63" i="1"/>
  <c r="I46" i="1"/>
  <c r="J45" i="1"/>
  <c r="E45" i="1"/>
  <c r="D46" i="1"/>
  <c r="J26" i="1"/>
  <c r="I27" i="1"/>
  <c r="E27" i="1"/>
  <c r="D28" i="1"/>
  <c r="T10" i="1"/>
  <c r="S11" i="1"/>
  <c r="O10" i="1"/>
  <c r="N11" i="1"/>
  <c r="J10" i="1"/>
  <c r="I11" i="1"/>
  <c r="D12" i="1"/>
  <c r="D13" i="1" s="1"/>
  <c r="D14" i="1" s="1"/>
  <c r="E14" i="1" s="1"/>
  <c r="E11" i="1"/>
  <c r="D81" i="1" l="1"/>
  <c r="E81" i="1" s="1"/>
  <c r="J80" i="1"/>
  <c r="I81" i="1"/>
  <c r="T80" i="1"/>
  <c r="S81" i="1"/>
  <c r="O81" i="1"/>
  <c r="N82" i="1"/>
  <c r="O82" i="1" s="1"/>
  <c r="O63" i="1"/>
  <c r="N64" i="1"/>
  <c r="J64" i="1"/>
  <c r="I65" i="1"/>
  <c r="J65" i="1" s="1"/>
  <c r="T63" i="1"/>
  <c r="S64" i="1"/>
  <c r="E64" i="1"/>
  <c r="D65" i="1"/>
  <c r="E65" i="1" s="1"/>
  <c r="E46" i="1"/>
  <c r="D47" i="1"/>
  <c r="J46" i="1"/>
  <c r="I47" i="1"/>
  <c r="J27" i="1"/>
  <c r="I28" i="1"/>
  <c r="E28" i="1"/>
  <c r="D29" i="1"/>
  <c r="T11" i="1"/>
  <c r="S12" i="1"/>
  <c r="O11" i="1"/>
  <c r="N12" i="1"/>
  <c r="J11" i="1"/>
  <c r="I12" i="1"/>
  <c r="J12" i="1" s="1"/>
  <c r="E12" i="1"/>
  <c r="D82" i="1" l="1"/>
  <c r="E82" i="1" s="1"/>
  <c r="J81" i="1"/>
  <c r="I82" i="1"/>
  <c r="J82" i="1" s="1"/>
  <c r="T81" i="1"/>
  <c r="S82" i="1"/>
  <c r="T82" i="1" s="1"/>
  <c r="T64" i="1"/>
  <c r="S65" i="1"/>
  <c r="T65" i="1" s="1"/>
  <c r="O64" i="1"/>
  <c r="N65" i="1"/>
  <c r="O65" i="1" s="1"/>
  <c r="J47" i="1"/>
  <c r="I48" i="1"/>
  <c r="J48" i="1" s="1"/>
  <c r="E47" i="1"/>
  <c r="D48" i="1"/>
  <c r="E48" i="1" s="1"/>
  <c r="I29" i="1"/>
  <c r="J28" i="1"/>
  <c r="E29" i="1"/>
  <c r="D30" i="1"/>
  <c r="T12" i="1"/>
  <c r="S13" i="1"/>
  <c r="O12" i="1"/>
  <c r="N13" i="1"/>
  <c r="I13" i="1"/>
  <c r="I14" i="1" s="1"/>
  <c r="E13" i="1"/>
  <c r="I30" i="1" l="1"/>
  <c r="J29" i="1"/>
  <c r="E30" i="1"/>
  <c r="D31" i="1"/>
  <c r="E31" i="1" s="1"/>
  <c r="T13" i="1"/>
  <c r="S14" i="1"/>
  <c r="T14" i="1" s="1"/>
  <c r="O13" i="1"/>
  <c r="N14" i="1"/>
  <c r="O14" i="1" s="1"/>
  <c r="J13" i="1"/>
  <c r="J14" i="1"/>
  <c r="J30" i="1" l="1"/>
  <c r="I31" i="1"/>
  <c r="J31" i="1" s="1"/>
</calcChain>
</file>

<file path=xl/sharedStrings.xml><?xml version="1.0" encoding="utf-8"?>
<sst xmlns="http://schemas.openxmlformats.org/spreadsheetml/2006/main" count="348" uniqueCount="79">
  <si>
    <t>T25-A</t>
  </si>
  <si>
    <t>Sieve Size (mm)</t>
  </si>
  <si>
    <t>Weight (g)</t>
  </si>
  <si>
    <t>TOTAL</t>
  </si>
  <si>
    <t>pan</t>
  </si>
  <si>
    <t>T6-A</t>
  </si>
  <si>
    <t>T6-B</t>
  </si>
  <si>
    <t>T6-C</t>
  </si>
  <si>
    <t>T6-D</t>
  </si>
  <si>
    <t>T4-A</t>
  </si>
  <si>
    <t>T4-B</t>
  </si>
  <si>
    <t>T4-C</t>
  </si>
  <si>
    <t>T4-D</t>
  </si>
  <si>
    <t>Percent Passing (%)</t>
  </si>
  <si>
    <t>Percent Retained (%)</t>
  </si>
  <si>
    <t>Cumulative Retained (%)</t>
  </si>
  <si>
    <t>Size (um)</t>
  </si>
  <si>
    <t>Vol Conc</t>
  </si>
  <si>
    <t>Cum Conc</t>
  </si>
  <si>
    <t>D10</t>
  </si>
  <si>
    <t>SPT4B01</t>
  </si>
  <si>
    <t>Temperature Probe 6</t>
  </si>
  <si>
    <t>Temperature Probe 4</t>
  </si>
  <si>
    <t>D60</t>
  </si>
  <si>
    <t>D5:</t>
  </si>
  <si>
    <t>D10:</t>
  </si>
  <si>
    <t>D16:</t>
  </si>
  <si>
    <t>D25:</t>
  </si>
  <si>
    <t>D50:</t>
  </si>
  <si>
    <t>D60:</t>
  </si>
  <si>
    <t>D75:</t>
  </si>
  <si>
    <t>D84:</t>
  </si>
  <si>
    <t>D90:</t>
  </si>
  <si>
    <t>D95:</t>
  </si>
  <si>
    <t>D60/D10:</t>
  </si>
  <si>
    <t>File:</t>
  </si>
  <si>
    <t>SPT4A01</t>
  </si>
  <si>
    <t>SPT4C01</t>
  </si>
  <si>
    <t>SPT4D01</t>
  </si>
  <si>
    <t>SPT4D02</t>
  </si>
  <si>
    <t>SPT25B01</t>
  </si>
  <si>
    <t>SP25C01</t>
  </si>
  <si>
    <t>SP25D01</t>
  </si>
  <si>
    <t>T25A</t>
  </si>
  <si>
    <t>Temperature Probe 7</t>
  </si>
  <si>
    <t>Temperature Probe 5</t>
  </si>
  <si>
    <t>T7-A</t>
  </si>
  <si>
    <t>T7-C</t>
  </si>
  <si>
    <t>T7-D</t>
  </si>
  <si>
    <t>T5-A</t>
  </si>
  <si>
    <t>T5-B</t>
  </si>
  <si>
    <t>T5-C</t>
  </si>
  <si>
    <t>T5-D</t>
  </si>
  <si>
    <t>Cumulative weight (g)</t>
  </si>
  <si>
    <t>Percentiles</t>
  </si>
  <si>
    <t>cum percent finer</t>
  </si>
  <si>
    <t>cum percent retained</t>
  </si>
  <si>
    <t>Size (mm)</t>
  </si>
  <si>
    <t>mean (folk 1968)</t>
  </si>
  <si>
    <t>mm</t>
  </si>
  <si>
    <t>"inclusive graphic std" (folk 1968)</t>
  </si>
  <si>
    <t xml:space="preserve">phi scale </t>
  </si>
  <si>
    <t>phi</t>
  </si>
  <si>
    <t>moderately sorted</t>
  </si>
  <si>
    <t>skewness (folk 1968)</t>
  </si>
  <si>
    <t>coarse-skewed</t>
  </si>
  <si>
    <t>kurtosis (folk 1968)</t>
  </si>
  <si>
    <t>platykurtic (better sorted in the tails)</t>
  </si>
  <si>
    <t>T1-A</t>
  </si>
  <si>
    <t>Temperature Probe 1</t>
  </si>
  <si>
    <t>T1-B</t>
  </si>
  <si>
    <t>T1-C</t>
  </si>
  <si>
    <t>T1-D</t>
  </si>
  <si>
    <t>Temperature Probe 2</t>
  </si>
  <si>
    <t>T2-A</t>
  </si>
  <si>
    <t>T2-B</t>
  </si>
  <si>
    <t>Temperature Probe 3</t>
  </si>
  <si>
    <t>T3-C</t>
  </si>
  <si>
    <t>T3-D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</si>
</sst>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5" fontId="1" fillId="5" borderId="1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165" fontId="1" fillId="7" borderId="11" xfId="0" applyNumberFormat="1" applyFont="1" applyFill="1" applyBorder="1" applyAlignment="1">
      <alignment horizontal="center"/>
    </xf>
    <xf numFmtId="2" fontId="0" fillId="0" borderId="0" xfId="0" applyNumberFormat="1"/>
    <xf numFmtId="0" fontId="1" fillId="9" borderId="1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165" fontId="1" fillId="10" borderId="11" xfId="0" applyNumberFormat="1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65" fontId="1" fillId="7" borderId="16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5" xfId="0" applyNumberForma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165" fontId="1" fillId="10" borderId="16" xfId="0" applyNumberFormat="1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65" fontId="1" fillId="13" borderId="1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4" fillId="0" borderId="2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1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0" borderId="16" xfId="0" applyFont="1" applyBorder="1"/>
    <xf numFmtId="0" fontId="4" fillId="0" borderId="11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6" fontId="0" fillId="0" borderId="0" xfId="0" applyNumberFormat="1"/>
    <xf numFmtId="165" fontId="1" fillId="0" borderId="2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/>
    <xf numFmtId="165" fontId="1" fillId="0" borderId="1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2" fontId="1" fillId="0" borderId="4" xfId="0" applyNumberFormat="1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sand)'!$A$5:$A$13</c:f>
              <c:numCache>
                <c:formatCode>General</c:formatCode>
                <c:ptCount val="9"/>
                <c:pt idx="0">
                  <c:v>1</c:v>
                </c:pt>
                <c:pt idx="1">
                  <c:v>0.85</c:v>
                </c:pt>
                <c:pt idx="2">
                  <c:v>0.3</c:v>
                </c:pt>
                <c:pt idx="3">
                  <c:v>0.25</c:v>
                </c:pt>
                <c:pt idx="4">
                  <c:v>0.125</c:v>
                </c:pt>
                <c:pt idx="5">
                  <c:v>6.3E-2</c:v>
                </c:pt>
                <c:pt idx="6">
                  <c:v>5.2999999999999999E-2</c:v>
                </c:pt>
                <c:pt idx="7">
                  <c:v>3.7999999999999999E-2</c:v>
                </c:pt>
                <c:pt idx="8">
                  <c:v>2.5000000000000001E-2</c:v>
                </c:pt>
              </c:numCache>
            </c:numRef>
          </c:xVal>
          <c:yVal>
            <c:numRef>
              <c:f>'Dry GSD (with sand)'!$E$5:$E$13</c:f>
              <c:numCache>
                <c:formatCode>0.000</c:formatCode>
                <c:ptCount val="9"/>
                <c:pt idx="0">
                  <c:v>89.069120704629398</c:v>
                </c:pt>
                <c:pt idx="1">
                  <c:v>86.094272254340325</c:v>
                </c:pt>
                <c:pt idx="2">
                  <c:v>55.039521357323949</c:v>
                </c:pt>
                <c:pt idx="3">
                  <c:v>49.223170656817757</c:v>
                </c:pt>
                <c:pt idx="4">
                  <c:v>32.785619665055393</c:v>
                </c:pt>
                <c:pt idx="5">
                  <c:v>20.040530226600808</c:v>
                </c:pt>
                <c:pt idx="6">
                  <c:v>17.10603654738614</c:v>
                </c:pt>
                <c:pt idx="7">
                  <c:v>9.6342629551974142</c:v>
                </c:pt>
                <c:pt idx="8">
                  <c:v>2.2510944038459684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E-4FBC-8DC6-7B8213B71B1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sand)'!$J$6:$J$13</c:f>
              <c:numCache>
                <c:formatCode>0.000</c:formatCode>
                <c:ptCount val="8"/>
                <c:pt idx="0">
                  <c:v>92.165818227952485</c:v>
                </c:pt>
                <c:pt idx="1">
                  <c:v>57.527316554863063</c:v>
                </c:pt>
                <c:pt idx="2">
                  <c:v>53.03138430309086</c:v>
                </c:pt>
                <c:pt idx="3">
                  <c:v>36.2235754951869</c:v>
                </c:pt>
                <c:pt idx="4">
                  <c:v>22.282220847804368</c:v>
                </c:pt>
                <c:pt idx="5">
                  <c:v>19.419731354171617</c:v>
                </c:pt>
                <c:pt idx="6">
                  <c:v>10.860015541494192</c:v>
                </c:pt>
                <c:pt idx="7">
                  <c:v>1.5779374216978113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E-4FBC-8DC6-7B8213B71B1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sand)'!$O$6:$O$13</c:f>
              <c:numCache>
                <c:formatCode>0.000</c:formatCode>
                <c:ptCount val="8"/>
                <c:pt idx="0">
                  <c:v>88.895459702141011</c:v>
                </c:pt>
                <c:pt idx="1">
                  <c:v>54.041854739433724</c:v>
                </c:pt>
                <c:pt idx="2">
                  <c:v>49.384609814381221</c:v>
                </c:pt>
                <c:pt idx="3">
                  <c:v>33.066330348306735</c:v>
                </c:pt>
                <c:pt idx="4">
                  <c:v>20.404909604383391</c:v>
                </c:pt>
                <c:pt idx="5">
                  <c:v>17.583818098433454</c:v>
                </c:pt>
                <c:pt idx="6">
                  <c:v>10.157256993893157</c:v>
                </c:pt>
                <c:pt idx="7">
                  <c:v>1.3144174370609818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4E-4FBC-8DC6-7B8213B71B1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sand)'!$T$6:$T$13</c:f>
              <c:numCache>
                <c:formatCode>0.000</c:formatCode>
                <c:ptCount val="8"/>
                <c:pt idx="0">
                  <c:v>91.816472799906009</c:v>
                </c:pt>
                <c:pt idx="1">
                  <c:v>70.403007872165432</c:v>
                </c:pt>
                <c:pt idx="2">
                  <c:v>63.588297497356365</c:v>
                </c:pt>
                <c:pt idx="3">
                  <c:v>41.543884384913639</c:v>
                </c:pt>
                <c:pt idx="4">
                  <c:v>23.931382916226056</c:v>
                </c:pt>
                <c:pt idx="5">
                  <c:v>20.16214310891786</c:v>
                </c:pt>
                <c:pt idx="6">
                  <c:v>10.078721654329684</c:v>
                </c:pt>
                <c:pt idx="7">
                  <c:v>0.23616496298906497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4E-4FBC-8DC6-7B8213B7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sand)'!$A$40:$A$47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sand)'!$E$40:$E$47</c:f>
              <c:numCache>
                <c:formatCode>0.000</c:formatCode>
                <c:ptCount val="8"/>
                <c:pt idx="0">
                  <c:v>84.86510093167702</c:v>
                </c:pt>
                <c:pt idx="1">
                  <c:v>46.727484472049696</c:v>
                </c:pt>
                <c:pt idx="2">
                  <c:v>41.639169254658391</c:v>
                </c:pt>
                <c:pt idx="3">
                  <c:v>27.20302795031057</c:v>
                </c:pt>
                <c:pt idx="4">
                  <c:v>16.913819875776412</c:v>
                </c:pt>
                <c:pt idx="5">
                  <c:v>14.396350931677034</c:v>
                </c:pt>
                <c:pt idx="6">
                  <c:v>8.218167701863365</c:v>
                </c:pt>
                <c:pt idx="7">
                  <c:v>1.6799301242236169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A-4776-A720-D8500C9405F3}"/>
            </c:ext>
          </c:extLst>
        </c:ser>
        <c:ser>
          <c:idx val="3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sand)'!$F$40:$F$47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sand)'!$J$40:$J$47</c:f>
              <c:numCache>
                <c:formatCode>0.000</c:formatCode>
                <c:ptCount val="8"/>
                <c:pt idx="0">
                  <c:v>58.313842087875784</c:v>
                </c:pt>
                <c:pt idx="1">
                  <c:v>36.936901222332338</c:v>
                </c:pt>
                <c:pt idx="2">
                  <c:v>33.714568880079284</c:v>
                </c:pt>
                <c:pt idx="3">
                  <c:v>23.1219028741328</c:v>
                </c:pt>
                <c:pt idx="4">
                  <c:v>14.62371985464155</c:v>
                </c:pt>
                <c:pt idx="5">
                  <c:v>12.635612817971577</c:v>
                </c:pt>
                <c:pt idx="6">
                  <c:v>7.4364056821935804</c:v>
                </c:pt>
                <c:pt idx="7">
                  <c:v>1.0009910802774868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A-4776-A720-D8500C94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sand)'!$A$23:$A$30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sand)'!$E$23:$E$30</c:f>
              <c:numCache>
                <c:formatCode>0.000</c:formatCode>
                <c:ptCount val="8"/>
                <c:pt idx="0">
                  <c:v>88.24607950991178</c:v>
                </c:pt>
                <c:pt idx="1">
                  <c:v>56.545654565456545</c:v>
                </c:pt>
                <c:pt idx="2">
                  <c:v>50.84018205742143</c:v>
                </c:pt>
                <c:pt idx="3">
                  <c:v>33.656895101274841</c:v>
                </c:pt>
                <c:pt idx="4">
                  <c:v>20.904247287473851</c:v>
                </c:pt>
                <c:pt idx="5">
                  <c:v>17.416251429064474</c:v>
                </c:pt>
                <c:pt idx="6">
                  <c:v>9.3228930736210884</c:v>
                </c:pt>
                <c:pt idx="7">
                  <c:v>1.2532625811600724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AE-4119-BDF0-E82294B9B7F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sand)'!$F$23:$F$30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sand)'!$J$23:$J$30</c:f>
              <c:numCache>
                <c:formatCode>0.000</c:formatCode>
                <c:ptCount val="8"/>
                <c:pt idx="0">
                  <c:v>77.327828258234291</c:v>
                </c:pt>
                <c:pt idx="1">
                  <c:v>43.410487271672345</c:v>
                </c:pt>
                <c:pt idx="2">
                  <c:v>39.51790876218697</c:v>
                </c:pt>
                <c:pt idx="3">
                  <c:v>26.769895458831087</c:v>
                </c:pt>
                <c:pt idx="4">
                  <c:v>16.913600712827787</c:v>
                </c:pt>
                <c:pt idx="5">
                  <c:v>14.673062776505688</c:v>
                </c:pt>
                <c:pt idx="6">
                  <c:v>8.7114187138017058</c:v>
                </c:pt>
                <c:pt idx="7">
                  <c:v>0.67967301097215227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E-4119-BDF0-E82294B9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'Dry GSD (with sand)'!$A$5:$A$13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0.85</c:v>
                      </c:pt>
                      <c:pt idx="2">
                        <c:v>0.3</c:v>
                      </c:pt>
                      <c:pt idx="3">
                        <c:v>0.25</c:v>
                      </c:pt>
                      <c:pt idx="4">
                        <c:v>0.125</c:v>
                      </c:pt>
                      <c:pt idx="5">
                        <c:v>6.3E-2</c:v>
                      </c:pt>
                      <c:pt idx="6">
                        <c:v>5.2999999999999999E-2</c:v>
                      </c:pt>
                      <c:pt idx="7">
                        <c:v>3.7999999999999999E-2</c:v>
                      </c:pt>
                      <c:pt idx="8">
                        <c:v>2.5000000000000001E-2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'Dry GSD (with sand)'!$E$5:$E$13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89.069120704629398</c:v>
                      </c:pt>
                      <c:pt idx="1">
                        <c:v>86.094272254340325</c:v>
                      </c:pt>
                      <c:pt idx="2">
                        <c:v>55.039521357323949</c:v>
                      </c:pt>
                      <c:pt idx="3">
                        <c:v>49.223170656817757</c:v>
                      </c:pt>
                      <c:pt idx="4">
                        <c:v>32.785619665055393</c:v>
                      </c:pt>
                      <c:pt idx="5">
                        <c:v>20.040530226600808</c:v>
                      </c:pt>
                      <c:pt idx="6">
                        <c:v>17.10603654738614</c:v>
                      </c:pt>
                      <c:pt idx="7">
                        <c:v>9.6342629551974142</c:v>
                      </c:pt>
                      <c:pt idx="8">
                        <c:v>2.2510944038459684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AE-4119-BDF0-E82294B9B7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sand)'!$F$6:$F$13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0.85</c:v>
                      </c:pt>
                      <c:pt idx="1">
                        <c:v>0.3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6.3E-2</c:v>
                      </c:pt>
                      <c:pt idx="5">
                        <c:v>5.2999999999999999E-2</c:v>
                      </c:pt>
                      <c:pt idx="6">
                        <c:v>3.7999999999999999E-2</c:v>
                      </c:pt>
                      <c:pt idx="7">
                        <c:v>2.5000000000000001E-2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sand)'!$J$6:$J$13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92.165818227952485</c:v>
                      </c:pt>
                      <c:pt idx="1">
                        <c:v>57.527316554863063</c:v>
                      </c:pt>
                      <c:pt idx="2">
                        <c:v>53.03138430309086</c:v>
                      </c:pt>
                      <c:pt idx="3">
                        <c:v>36.2235754951869</c:v>
                      </c:pt>
                      <c:pt idx="4">
                        <c:v>22.282220847804368</c:v>
                      </c:pt>
                      <c:pt idx="5">
                        <c:v>19.419731354171617</c:v>
                      </c:pt>
                      <c:pt idx="6">
                        <c:v>10.860015541494192</c:v>
                      </c:pt>
                      <c:pt idx="7">
                        <c:v>1.5779374216978113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AE-4119-BDF0-E82294B9B7F3}"/>
                  </c:ext>
                </c:extLst>
              </c15:ser>
            </c15:filteredScatterSeries>
          </c:ext>
        </c:extLst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sand)'!$E$57:$E$64</c:f>
              <c:numCache>
                <c:formatCode>0.000</c:formatCode>
                <c:ptCount val="8"/>
                <c:pt idx="0">
                  <c:v>75.549106723819648</c:v>
                </c:pt>
                <c:pt idx="1">
                  <c:v>44.738900535027071</c:v>
                </c:pt>
                <c:pt idx="2">
                  <c:v>40.522824692594106</c:v>
                </c:pt>
                <c:pt idx="3">
                  <c:v>27.176871812521512</c:v>
                </c:pt>
                <c:pt idx="4">
                  <c:v>16.816588967804506</c:v>
                </c:pt>
                <c:pt idx="5">
                  <c:v>14.297112105378417</c:v>
                </c:pt>
                <c:pt idx="6">
                  <c:v>7.6546415944432198</c:v>
                </c:pt>
                <c:pt idx="7">
                  <c:v>0.93473295578985471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8-4560-B824-1F9F4711BF2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sand)'!$J$57:$J$64</c:f>
              <c:numCache>
                <c:formatCode>0.000</c:formatCode>
                <c:ptCount val="8"/>
                <c:pt idx="0">
                  <c:v>91.756083796624651</c:v>
                </c:pt>
                <c:pt idx="1">
                  <c:v>62.732312948515556</c:v>
                </c:pt>
                <c:pt idx="2">
                  <c:v>56.908950864429137</c:v>
                </c:pt>
                <c:pt idx="3">
                  <c:v>37.967771702242857</c:v>
                </c:pt>
                <c:pt idx="4">
                  <c:v>23.974467500972338</c:v>
                </c:pt>
                <c:pt idx="5">
                  <c:v>20.635719569577589</c:v>
                </c:pt>
                <c:pt idx="6">
                  <c:v>12.347571438376534</c:v>
                </c:pt>
                <c:pt idx="7">
                  <c:v>2.266504991344263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8-4560-B824-1F9F4711BF2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sand)'!$O$57:$O$64</c:f>
              <c:numCache>
                <c:formatCode>0.000</c:formatCode>
                <c:ptCount val="8"/>
                <c:pt idx="0">
                  <c:v>94.6712158808933</c:v>
                </c:pt>
                <c:pt idx="1">
                  <c:v>71.701819685690651</c:v>
                </c:pt>
                <c:pt idx="2">
                  <c:v>66.90033085194375</c:v>
                </c:pt>
                <c:pt idx="3">
                  <c:v>47.710918114143922</c:v>
                </c:pt>
                <c:pt idx="4">
                  <c:v>29.33002481389579</c:v>
                </c:pt>
                <c:pt idx="5">
                  <c:v>23.227874276261389</c:v>
                </c:pt>
                <c:pt idx="6">
                  <c:v>10.542803970223332</c:v>
                </c:pt>
                <c:pt idx="7">
                  <c:v>1.2727460711331702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8-4560-B824-1F9F4711BF2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sand)'!$T$57:$T$64</c:f>
              <c:numCache>
                <c:formatCode>0.000</c:formatCode>
                <c:ptCount val="8"/>
                <c:pt idx="0">
                  <c:v>89.639404338077526</c:v>
                </c:pt>
                <c:pt idx="1">
                  <c:v>57.752364726398945</c:v>
                </c:pt>
                <c:pt idx="2">
                  <c:v>53.000409859120971</c:v>
                </c:pt>
                <c:pt idx="3">
                  <c:v>36.648638222979429</c:v>
                </c:pt>
                <c:pt idx="4">
                  <c:v>23.336253244718037</c:v>
                </c:pt>
                <c:pt idx="5">
                  <c:v>20.530727379392928</c:v>
                </c:pt>
                <c:pt idx="6">
                  <c:v>12.039410767240199</c:v>
                </c:pt>
                <c:pt idx="7">
                  <c:v>1.6322036758737681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8-4560-B824-1F9F4711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sand)'!$E$74:$E$81</c:f>
              <c:numCache>
                <c:formatCode>0.000</c:formatCode>
                <c:ptCount val="8"/>
                <c:pt idx="0">
                  <c:v>68.264824225965242</c:v>
                </c:pt>
                <c:pt idx="1">
                  <c:v>44.720788362271236</c:v>
                </c:pt>
                <c:pt idx="2">
                  <c:v>40.312209830566012</c:v>
                </c:pt>
                <c:pt idx="3">
                  <c:v>27.249717942829761</c:v>
                </c:pt>
                <c:pt idx="4">
                  <c:v>17.32280319897761</c:v>
                </c:pt>
                <c:pt idx="5">
                  <c:v>15.129746298311659</c:v>
                </c:pt>
                <c:pt idx="6">
                  <c:v>9.4816138662300204</c:v>
                </c:pt>
                <c:pt idx="7">
                  <c:v>2.5689667222460741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F-43FB-AC7F-60EC4653F9D5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sand)'!$J$74:$J$81</c:f>
              <c:numCache>
                <c:formatCode>0.000</c:formatCode>
                <c:ptCount val="8"/>
                <c:pt idx="0">
                  <c:v>75.63445984495084</c:v>
                </c:pt>
                <c:pt idx="1">
                  <c:v>49.796288216934585</c:v>
                </c:pt>
                <c:pt idx="2">
                  <c:v>46.034835721716945</c:v>
                </c:pt>
                <c:pt idx="3">
                  <c:v>31.559552975131723</c:v>
                </c:pt>
                <c:pt idx="4">
                  <c:v>18.635433097291667</c:v>
                </c:pt>
                <c:pt idx="5">
                  <c:v>15.800919555659959</c:v>
                </c:pt>
                <c:pt idx="6">
                  <c:v>8.2726448971372832</c:v>
                </c:pt>
                <c:pt idx="7">
                  <c:v>0.92828137060776328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F-43FB-AC7F-60EC4653F9D5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sand)'!$O$74:$O$81</c:f>
              <c:numCache>
                <c:formatCode>0.000</c:formatCode>
                <c:ptCount val="8"/>
                <c:pt idx="0">
                  <c:v>77.183346245245076</c:v>
                </c:pt>
                <c:pt idx="1">
                  <c:v>58.341240065807227</c:v>
                </c:pt>
                <c:pt idx="2">
                  <c:v>54.506837510119169</c:v>
                </c:pt>
                <c:pt idx="3">
                  <c:v>40.356542857391567</c:v>
                </c:pt>
                <c:pt idx="4">
                  <c:v>27.025356673427297</c:v>
                </c:pt>
                <c:pt idx="5">
                  <c:v>22.908052680599937</c:v>
                </c:pt>
                <c:pt idx="6">
                  <c:v>11.547601431046047</c:v>
                </c:pt>
                <c:pt idx="7">
                  <c:v>2.2971596695711298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F-43FB-AC7F-60EC4653F9D5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sand)'!$T$74:$T$81</c:f>
              <c:numCache>
                <c:formatCode>0.000</c:formatCode>
                <c:ptCount val="8"/>
                <c:pt idx="0">
                  <c:v>62.622051046488345</c:v>
                </c:pt>
                <c:pt idx="1">
                  <c:v>34.155447981814547</c:v>
                </c:pt>
                <c:pt idx="2">
                  <c:v>31.425273547460051</c:v>
                </c:pt>
                <c:pt idx="3">
                  <c:v>22.252452799076593</c:v>
                </c:pt>
                <c:pt idx="4">
                  <c:v>14.133776191654007</c:v>
                </c:pt>
                <c:pt idx="5">
                  <c:v>12.034321519852071</c:v>
                </c:pt>
                <c:pt idx="6">
                  <c:v>6.4662026076817085</c:v>
                </c:pt>
                <c:pt idx="7">
                  <c:v>1.5017137203632416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F-43FB-AC7F-60EC4653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xVal>
          <c:yVal>
            <c:numRef>
              <c:f>T25A!$H$3:$H$12</c:f>
              <c:numCache>
                <c:formatCode>General</c:formatCode>
                <c:ptCount val="10"/>
                <c:pt idx="0">
                  <c:v>100</c:v>
                </c:pt>
                <c:pt idx="1">
                  <c:v>44.491144183790887</c:v>
                </c:pt>
                <c:pt idx="2">
                  <c:v>35.828248001140068</c:v>
                </c:pt>
                <c:pt idx="3">
                  <c:v>7.5862024958363747</c:v>
                </c:pt>
                <c:pt idx="4">
                  <c:v>6.3512590850018</c:v>
                </c:pt>
                <c:pt idx="5">
                  <c:v>3.7760851485611795</c:v>
                </c:pt>
                <c:pt idx="6">
                  <c:v>2.462867680684397</c:v>
                </c:pt>
                <c:pt idx="7">
                  <c:v>2.1361585730299169</c:v>
                </c:pt>
                <c:pt idx="8">
                  <c:v>1.6078086879949467</c:v>
                </c:pt>
                <c:pt idx="9">
                  <c:v>1.3134301691187886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4-47C0-9976-82BD3E12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83471"/>
        <c:axId val="1404961039"/>
      </c:scatterChart>
      <c:valAx>
        <c:axId val="1226583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4961039"/>
        <c:crosses val="autoZero"/>
        <c:crossBetween val="midCat"/>
      </c:valAx>
      <c:valAx>
        <c:axId val="14049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658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mode:</a:t>
            </a:r>
            <a:r>
              <a:rPr lang="en-US" baseline="0"/>
              <a:t> 1mm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cat>
          <c:val>
            <c:numRef>
              <c:f>T25A!$C$3:$C$12</c:f>
              <c:numCache>
                <c:formatCode>0.000</c:formatCode>
                <c:ptCount val="10"/>
                <c:pt idx="0" formatCode="General">
                  <c:v>0</c:v>
                </c:pt>
                <c:pt idx="1">
                  <c:v>55.508855816209113</c:v>
                </c:pt>
                <c:pt idx="2">
                  <c:v>8.66289618265081</c:v>
                </c:pt>
                <c:pt idx="3">
                  <c:v>28.242045505303704</c:v>
                </c:pt>
                <c:pt idx="4">
                  <c:v>1.2349434108345758</c:v>
                </c:pt>
                <c:pt idx="5">
                  <c:v>2.5751739364406152</c:v>
                </c:pt>
                <c:pt idx="6">
                  <c:v>1.3132174678767947</c:v>
                </c:pt>
                <c:pt idx="7">
                  <c:v>0.32670910765447958</c:v>
                </c:pt>
                <c:pt idx="8">
                  <c:v>0.52834988503497871</c:v>
                </c:pt>
                <c:pt idx="9">
                  <c:v>0.29437851887617172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19D-BA7B-11F27B6B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448319"/>
        <c:axId val="1743520911"/>
      </c:barChart>
      <c:catAx>
        <c:axId val="17364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3520911"/>
        <c:crosses val="autoZero"/>
        <c:auto val="1"/>
        <c:lblAlgn val="ctr"/>
        <c:lblOffset val="100"/>
        <c:noMultiLvlLbl val="0"/>
      </c:catAx>
      <c:valAx>
        <c:axId val="17435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64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149430</xdr:colOff>
      <xdr:row>17</xdr:row>
      <xdr:rowOff>65314</xdr:rowOff>
    </xdr:from>
    <xdr:to>
      <xdr:col>14</xdr:col>
      <xdr:colOff>133595</xdr:colOff>
      <xdr:row>31</xdr:row>
      <xdr:rowOff>148441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B10BD-56D6-0874-A0C8-A4183A15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296882</xdr:colOff>
      <xdr:row>17</xdr:row>
      <xdr:rowOff>108857</xdr:rowOff>
    </xdr:from>
    <xdr:to>
      <xdr:col>16</xdr:col>
      <xdr:colOff>704896</xdr:colOff>
      <xdr:row>31</xdr:row>
      <xdr:rowOff>176544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45A64-325B-4288-88F4-143A9FB70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882382</xdr:colOff>
      <xdr:row>17</xdr:row>
      <xdr:rowOff>108857</xdr:rowOff>
    </xdr:from>
    <xdr:to>
      <xdr:col>18</xdr:col>
      <xdr:colOff>1365369</xdr:colOff>
      <xdr:row>31</xdr:row>
      <xdr:rowOff>191984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FBF3A4-03A2-4777-B195-F663C6D3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645458</xdr:colOff>
      <xdr:row>32</xdr:row>
      <xdr:rowOff>125507</xdr:rowOff>
    </xdr:from>
    <xdr:to>
      <xdr:col>13</xdr:col>
      <xdr:colOff>1488954</xdr:colOff>
      <xdr:row>46</xdr:row>
      <xdr:rowOff>154846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975B1-9C84-4168-8AD2-4E6B75F1A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340659</xdr:colOff>
      <xdr:row>32</xdr:row>
      <xdr:rowOff>152400</xdr:rowOff>
    </xdr:from>
    <xdr:to>
      <xdr:col>17</xdr:col>
      <xdr:colOff>90461</xdr:colOff>
      <xdr:row>47</xdr:row>
      <xdr:rowOff>2445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E9344A-21C6-480D-B2BC-6C1AB9B12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185737</xdr:rowOff>
    </xdr:from>
    <xdr:to>
      <xdr:col>11</xdr:col>
      <xdr:colOff>228600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27836-5B36-51B5-7E92-31A8D043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1847850</xdr:colOff>
      <xdr:row>24</xdr:row>
      <xdr:rowOff>90487</xdr:rowOff>
    </xdr:from>
    <xdr:to>
      <xdr:col>7</xdr:col>
      <xdr:colOff>142875</xdr:colOff>
      <xdr:row>38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0C2E3-BE8A-81F4-E250-2E83A7455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F7D3-8706-4D54-AB6D-9CA0A6634EF9}">
  <dimension ref="A1:V129"/>
  <sheetViews>
    <sheetView tabSelected="1" topLeftCell="E17" zoomScale="70" zoomScaleNormal="70" workbookViewId="0">
      <selection activeCell="A89" sqref="A89:A98"/>
    </sheetView>
  </sheetViews>
  <sheetFormatPr defaultRowHeight="15" x14ac:dyDescent="0.25"/>
  <cols>
    <col min="1" max="1" width="13.7109375" customWidth="1"/>
    <col min="2" max="2" width="12.5703125" customWidth="1"/>
    <col min="3" max="3" width="22.140625" customWidth="1"/>
    <col min="4" max="4" width="24.7109375" customWidth="1"/>
    <col min="5" max="5" width="20" customWidth="1"/>
    <col min="6" max="6" width="15.28515625" customWidth="1"/>
    <col min="7" max="7" width="12.28515625" customWidth="1"/>
    <col min="8" max="8" width="20.5703125" customWidth="1"/>
    <col min="9" max="9" width="24.42578125" customWidth="1"/>
    <col min="10" max="10" width="21.5703125" customWidth="1"/>
    <col min="11" max="11" width="16.140625" customWidth="1"/>
    <col min="12" max="12" width="11.5703125" customWidth="1"/>
    <col min="13" max="13" width="20.28515625" customWidth="1"/>
    <col min="14" max="14" width="24" customWidth="1"/>
    <col min="15" max="15" width="19.5703125" customWidth="1"/>
    <col min="16" max="16" width="14.7109375" customWidth="1"/>
    <col min="17" max="17" width="13.42578125" customWidth="1"/>
    <col min="18" max="18" width="23.5703125" customWidth="1"/>
    <col min="19" max="19" width="22.140625" customWidth="1"/>
    <col min="20" max="20" width="17.7109375" customWidth="1"/>
  </cols>
  <sheetData>
    <row r="1" spans="1:20" ht="25.9" customHeight="1" thickBot="1" x14ac:dyDescent="0.4">
      <c r="A1" s="113" t="s">
        <v>69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5"/>
    </row>
    <row r="2" spans="1:20" x14ac:dyDescent="0.25">
      <c r="A2" s="101" t="s">
        <v>68</v>
      </c>
      <c r="B2" s="102"/>
      <c r="C2" s="102"/>
      <c r="D2" s="102"/>
      <c r="E2" s="103"/>
      <c r="F2" s="104" t="s">
        <v>70</v>
      </c>
      <c r="G2" s="105"/>
      <c r="H2" s="105"/>
      <c r="I2" s="105"/>
      <c r="J2" s="116"/>
      <c r="K2" s="107" t="s">
        <v>71</v>
      </c>
      <c r="L2" s="108"/>
      <c r="M2" s="108"/>
      <c r="N2" s="108"/>
      <c r="O2" s="109"/>
      <c r="P2" s="110" t="s">
        <v>72</v>
      </c>
      <c r="Q2" s="111"/>
      <c r="R2" s="111"/>
      <c r="S2" s="111"/>
      <c r="T2" s="112"/>
    </row>
    <row r="3" spans="1:20" x14ac:dyDescent="0.25">
      <c r="A3" s="15" t="s">
        <v>1</v>
      </c>
      <c r="B3" s="16" t="s">
        <v>2</v>
      </c>
      <c r="C3" s="16" t="s">
        <v>14</v>
      </c>
      <c r="D3" s="16" t="s">
        <v>15</v>
      </c>
      <c r="E3" s="21" t="s">
        <v>13</v>
      </c>
      <c r="F3" s="34" t="s">
        <v>1</v>
      </c>
      <c r="G3" s="35" t="s">
        <v>2</v>
      </c>
      <c r="H3" s="36" t="s">
        <v>14</v>
      </c>
      <c r="I3" s="36" t="s">
        <v>15</v>
      </c>
      <c r="J3" s="48" t="s">
        <v>13</v>
      </c>
      <c r="K3" s="52" t="s">
        <v>1</v>
      </c>
      <c r="L3" s="51" t="s">
        <v>2</v>
      </c>
      <c r="M3" s="44" t="s">
        <v>14</v>
      </c>
      <c r="N3" s="44" t="s">
        <v>15</v>
      </c>
      <c r="O3" s="59" t="s">
        <v>13</v>
      </c>
      <c r="P3" s="60" t="s">
        <v>1</v>
      </c>
      <c r="Q3" s="61" t="s">
        <v>2</v>
      </c>
      <c r="R3" s="62" t="s">
        <v>14</v>
      </c>
      <c r="S3" s="62" t="s">
        <v>15</v>
      </c>
      <c r="T3" s="63" t="s">
        <v>13</v>
      </c>
    </row>
    <row r="4" spans="1:20" x14ac:dyDescent="0.25">
      <c r="A4" s="17">
        <v>5</v>
      </c>
      <c r="B4" s="11">
        <v>0</v>
      </c>
      <c r="C4" s="9">
        <v>0</v>
      </c>
      <c r="D4" s="9">
        <v>0</v>
      </c>
      <c r="E4" s="22">
        <f>100-0</f>
        <v>100</v>
      </c>
      <c r="F4" s="38">
        <v>5</v>
      </c>
      <c r="G4" s="11">
        <v>0</v>
      </c>
      <c r="H4" s="9">
        <v>0</v>
      </c>
      <c r="I4" s="9">
        <v>0</v>
      </c>
      <c r="J4" s="49">
        <f>100-0</f>
        <v>100</v>
      </c>
      <c r="K4" s="53">
        <v>5</v>
      </c>
      <c r="L4" s="13">
        <v>0</v>
      </c>
      <c r="M4" s="9">
        <v>0</v>
      </c>
      <c r="N4" s="9">
        <v>0</v>
      </c>
      <c r="O4" s="57">
        <f>100-0</f>
        <v>100</v>
      </c>
      <c r="P4" s="66">
        <v>5</v>
      </c>
      <c r="Q4" s="13">
        <v>0</v>
      </c>
      <c r="R4" s="9">
        <v>0</v>
      </c>
      <c r="S4" s="9">
        <v>0</v>
      </c>
      <c r="T4" s="68">
        <f>100-0</f>
        <v>100</v>
      </c>
    </row>
    <row r="5" spans="1:20" x14ac:dyDescent="0.25">
      <c r="A5" s="17">
        <v>1</v>
      </c>
      <c r="B5" s="11">
        <v>1.246</v>
      </c>
      <c r="C5" s="10">
        <f t="shared" ref="C5:C14" si="0">B5/$B$15*100</f>
        <v>10.930879295370605</v>
      </c>
      <c r="D5" s="10">
        <f>C5</f>
        <v>10.930879295370605</v>
      </c>
      <c r="E5" s="23">
        <f>100-D5</f>
        <v>89.069120704629398</v>
      </c>
      <c r="F5" s="39">
        <v>1</v>
      </c>
      <c r="G5" s="14">
        <v>0.74319999999999997</v>
      </c>
      <c r="H5" s="10">
        <f>G5/$G$15*100</f>
        <v>5.8930808633458609</v>
      </c>
      <c r="I5" s="10">
        <f>H5</f>
        <v>5.8930808633458609</v>
      </c>
      <c r="J5" s="50">
        <f>100-I5</f>
        <v>94.106919136654142</v>
      </c>
      <c r="K5" s="53">
        <v>1</v>
      </c>
      <c r="L5" s="14">
        <v>1.2899</v>
      </c>
      <c r="M5" s="10">
        <f>L5/$L$15*100</f>
        <v>7.7837987882883972</v>
      </c>
      <c r="N5" s="10">
        <f>M5</f>
        <v>7.7837987882883972</v>
      </c>
      <c r="O5" s="58">
        <f>100-N5</f>
        <v>92.216201211711606</v>
      </c>
      <c r="P5" s="66">
        <v>1</v>
      </c>
      <c r="Q5" s="13">
        <v>0.57740000000000002</v>
      </c>
      <c r="R5" s="10">
        <f>Q5/$Q$15*100</f>
        <v>6.7841616731288923</v>
      </c>
      <c r="S5" s="10">
        <f>R5</f>
        <v>6.7841616731288923</v>
      </c>
      <c r="T5" s="69">
        <f>100-S5</f>
        <v>93.215838326871108</v>
      </c>
    </row>
    <row r="6" spans="1:20" x14ac:dyDescent="0.25">
      <c r="A6" s="17">
        <v>0.85</v>
      </c>
      <c r="B6" s="11">
        <v>0.33910000000000001</v>
      </c>
      <c r="C6" s="10">
        <f t="shared" si="0"/>
        <v>2.9748484502890635</v>
      </c>
      <c r="D6" s="10">
        <f>C6+D5</f>
        <v>13.905727745659668</v>
      </c>
      <c r="E6" s="23">
        <f t="shared" ref="E6:E13" si="1">100-D6</f>
        <v>86.094272254340325</v>
      </c>
      <c r="F6" s="39">
        <v>0.85</v>
      </c>
      <c r="G6" s="14">
        <v>0.24479999999999999</v>
      </c>
      <c r="H6" s="10">
        <f t="shared" ref="H6:H14" si="2">G6/$G$15*100</f>
        <v>1.9411009087016509</v>
      </c>
      <c r="I6" s="10">
        <f>H6+I5</f>
        <v>7.8341817720475113</v>
      </c>
      <c r="J6" s="50">
        <f t="shared" ref="J6:J13" si="3">100-I6</f>
        <v>92.165818227952485</v>
      </c>
      <c r="K6" s="53">
        <v>0.85</v>
      </c>
      <c r="L6" s="14">
        <v>0.55030000000000001</v>
      </c>
      <c r="M6" s="10">
        <f t="shared" ref="M6:M14" si="4">L6/$L$15*100</f>
        <v>3.3207415095705906</v>
      </c>
      <c r="N6" s="10">
        <f>M6+N5</f>
        <v>11.104540297858987</v>
      </c>
      <c r="O6" s="58">
        <f t="shared" ref="O6:O13" si="5">100-N6</f>
        <v>88.895459702141011</v>
      </c>
      <c r="P6" s="66">
        <v>0.85</v>
      </c>
      <c r="Q6" s="13">
        <v>0.1191</v>
      </c>
      <c r="R6" s="10">
        <f t="shared" ref="R6:R14" si="6">Q6/$Q$15*100</f>
        <v>1.399365526965104</v>
      </c>
      <c r="S6" s="10">
        <f>R6+S5</f>
        <v>8.1835272000939963</v>
      </c>
      <c r="T6" s="69">
        <f t="shared" ref="T6:T11" si="7">100-S6</f>
        <v>91.816472799906009</v>
      </c>
    </row>
    <row r="7" spans="1:20" x14ac:dyDescent="0.25">
      <c r="A7" s="17">
        <v>0.3</v>
      </c>
      <c r="B7" s="11">
        <v>3.5398999999999998</v>
      </c>
      <c r="C7" s="10">
        <f t="shared" si="0"/>
        <v>31.05475089701638</v>
      </c>
      <c r="D7" s="10">
        <f t="shared" ref="D7:D12" si="8">C7+D6</f>
        <v>44.960478642676051</v>
      </c>
      <c r="E7" s="23">
        <f t="shared" si="1"/>
        <v>55.039521357323949</v>
      </c>
      <c r="F7" s="39">
        <v>0.3</v>
      </c>
      <c r="G7" s="14">
        <v>4.3684000000000003</v>
      </c>
      <c r="H7" s="10">
        <f t="shared" si="2"/>
        <v>34.638501673089429</v>
      </c>
      <c r="I7" s="10">
        <f t="shared" ref="I7:I12" si="9">H7+I6</f>
        <v>42.472683445136937</v>
      </c>
      <c r="J7" s="50">
        <f t="shared" si="3"/>
        <v>57.527316554863063</v>
      </c>
      <c r="K7" s="53">
        <v>0.3</v>
      </c>
      <c r="L7" s="14">
        <v>5.7758000000000003</v>
      </c>
      <c r="M7" s="10">
        <f t="shared" si="4"/>
        <v>34.853604962707287</v>
      </c>
      <c r="N7" s="10">
        <f t="shared" ref="N7" si="10">M7+N6</f>
        <v>45.958145260566276</v>
      </c>
      <c r="O7" s="58">
        <f t="shared" si="5"/>
        <v>54.041854739433724</v>
      </c>
      <c r="P7" s="66">
        <v>0.3</v>
      </c>
      <c r="Q7" s="13">
        <v>1.8225</v>
      </c>
      <c r="R7" s="10">
        <f t="shared" si="6"/>
        <v>21.413464927740574</v>
      </c>
      <c r="S7" s="10">
        <f>R7+S6</f>
        <v>29.596992127834568</v>
      </c>
      <c r="T7" s="69">
        <f t="shared" si="7"/>
        <v>70.403007872165432</v>
      </c>
    </row>
    <row r="8" spans="1:20" x14ac:dyDescent="0.25">
      <c r="A8" s="17">
        <v>0.25</v>
      </c>
      <c r="B8" s="11">
        <v>0.66300000000000003</v>
      </c>
      <c r="C8" s="10">
        <f t="shared" si="0"/>
        <v>5.8163507005061899</v>
      </c>
      <c r="D8" s="10">
        <f t="shared" si="8"/>
        <v>50.776829343182243</v>
      </c>
      <c r="E8" s="23">
        <f t="shared" si="1"/>
        <v>49.223170656817757</v>
      </c>
      <c r="F8" s="39">
        <v>0.25</v>
      </c>
      <c r="G8" s="14">
        <v>0.56699999999999995</v>
      </c>
      <c r="H8" s="10">
        <f t="shared" si="2"/>
        <v>4.4959322517722056</v>
      </c>
      <c r="I8" s="10">
        <f>H8+I7</f>
        <v>46.96861569690914</v>
      </c>
      <c r="J8" s="50">
        <f t="shared" si="3"/>
        <v>53.03138430309086</v>
      </c>
      <c r="K8" s="53">
        <v>0.25</v>
      </c>
      <c r="L8" s="14">
        <v>0.77178000000000002</v>
      </c>
      <c r="M8" s="10">
        <f t="shared" si="4"/>
        <v>4.6572449250524999</v>
      </c>
      <c r="N8" s="10">
        <f>M8+N7</f>
        <v>50.615390185618779</v>
      </c>
      <c r="O8" s="58">
        <f t="shared" si="5"/>
        <v>49.384609814381221</v>
      </c>
      <c r="P8" s="66">
        <v>0.25</v>
      </c>
      <c r="Q8" s="13">
        <v>0.57999999999999996</v>
      </c>
      <c r="R8" s="10">
        <f t="shared" si="6"/>
        <v>6.8147103748090698</v>
      </c>
      <c r="S8" s="10">
        <f>R8+S7</f>
        <v>36.411702502643635</v>
      </c>
      <c r="T8" s="69">
        <f>100-S8</f>
        <v>63.588297497356365</v>
      </c>
    </row>
    <row r="9" spans="1:20" x14ac:dyDescent="0.25">
      <c r="A9" s="17">
        <v>0.125</v>
      </c>
      <c r="B9" s="11">
        <v>1.8736999999999999</v>
      </c>
      <c r="C9" s="10">
        <f t="shared" si="0"/>
        <v>16.437550991762361</v>
      </c>
      <c r="D9" s="10">
        <f t="shared" si="8"/>
        <v>67.214380334944607</v>
      </c>
      <c r="E9" s="23">
        <f t="shared" si="1"/>
        <v>32.785619665055393</v>
      </c>
      <c r="F9" s="39">
        <v>0.125</v>
      </c>
      <c r="G9" s="14">
        <v>2.1196999999999999</v>
      </c>
      <c r="H9" s="10">
        <f t="shared" si="2"/>
        <v>16.80780880790396</v>
      </c>
      <c r="I9" s="10">
        <f t="shared" si="9"/>
        <v>63.7764245048131</v>
      </c>
      <c r="J9" s="50">
        <f t="shared" si="3"/>
        <v>36.2235754951869</v>
      </c>
      <c r="K9" s="53">
        <v>0.125</v>
      </c>
      <c r="L9" s="14">
        <v>2.7042000000000002</v>
      </c>
      <c r="M9" s="10">
        <f t="shared" si="4"/>
        <v>16.31827946607449</v>
      </c>
      <c r="N9" s="10">
        <f t="shared" ref="N9:N12" si="11">M9+N8</f>
        <v>66.933669651693265</v>
      </c>
      <c r="O9" s="58">
        <f t="shared" si="5"/>
        <v>33.066330348306735</v>
      </c>
      <c r="P9" s="66">
        <v>0.125</v>
      </c>
      <c r="Q9" s="13">
        <v>1.8762000000000001</v>
      </c>
      <c r="R9" s="10">
        <f t="shared" si="6"/>
        <v>22.044413112442722</v>
      </c>
      <c r="S9" s="10">
        <f>R9+S8</f>
        <v>58.456115615086361</v>
      </c>
      <c r="T9" s="69">
        <f t="shared" si="7"/>
        <v>41.543884384913639</v>
      </c>
    </row>
    <row r="10" spans="1:20" x14ac:dyDescent="0.25">
      <c r="A10" s="17">
        <v>6.3E-2</v>
      </c>
      <c r="B10" s="11">
        <v>1.4528000000000001</v>
      </c>
      <c r="C10" s="10">
        <f t="shared" si="0"/>
        <v>12.74508943845459</v>
      </c>
      <c r="D10" s="10">
        <f t="shared" si="8"/>
        <v>79.959469773399192</v>
      </c>
      <c r="E10" s="23">
        <f t="shared" si="1"/>
        <v>20.040530226600808</v>
      </c>
      <c r="F10" s="39">
        <v>6.3E-2</v>
      </c>
      <c r="G10" s="14">
        <v>1.7582</v>
      </c>
      <c r="H10" s="10">
        <f t="shared" si="2"/>
        <v>13.941354647382528</v>
      </c>
      <c r="I10" s="10">
        <f t="shared" si="9"/>
        <v>77.717779152195632</v>
      </c>
      <c r="J10" s="50">
        <f t="shared" si="3"/>
        <v>22.282220847804368</v>
      </c>
      <c r="K10" s="53">
        <v>6.3E-2</v>
      </c>
      <c r="L10" s="14">
        <v>2.0981999999999998</v>
      </c>
      <c r="M10" s="10">
        <f t="shared" si="4"/>
        <v>12.661420743923339</v>
      </c>
      <c r="N10" s="10">
        <f t="shared" si="11"/>
        <v>79.595090395616609</v>
      </c>
      <c r="O10" s="58">
        <f t="shared" si="5"/>
        <v>20.404909604383391</v>
      </c>
      <c r="P10" s="66">
        <v>6.3E-2</v>
      </c>
      <c r="Q10" s="71">
        <v>1.4990000000000001</v>
      </c>
      <c r="R10" s="10">
        <f t="shared" si="6"/>
        <v>17.612501468687583</v>
      </c>
      <c r="S10" s="10">
        <f t="shared" ref="S10:S12" si="12">R10+S9</f>
        <v>76.068617083773944</v>
      </c>
      <c r="T10" s="69">
        <f t="shared" si="7"/>
        <v>23.931382916226056</v>
      </c>
    </row>
    <row r="11" spans="1:20" x14ac:dyDescent="0.25">
      <c r="A11" s="17">
        <v>5.2999999999999999E-2</v>
      </c>
      <c r="B11" s="11">
        <v>0.33450000000000002</v>
      </c>
      <c r="C11" s="10">
        <f t="shared" si="0"/>
        <v>2.9344936792146612</v>
      </c>
      <c r="D11" s="10">
        <f t="shared" si="8"/>
        <v>82.89396345261386</v>
      </c>
      <c r="E11" s="23">
        <f t="shared" si="1"/>
        <v>17.10603654738614</v>
      </c>
      <c r="F11" s="39">
        <v>5.2999999999999999E-2</v>
      </c>
      <c r="G11" s="14">
        <v>0.36099999999999999</v>
      </c>
      <c r="H11" s="10">
        <f t="shared" si="2"/>
        <v>2.862489493632745</v>
      </c>
      <c r="I11" s="10">
        <f t="shared" si="9"/>
        <v>80.580268645828383</v>
      </c>
      <c r="J11" s="50">
        <f t="shared" si="3"/>
        <v>19.419731354171617</v>
      </c>
      <c r="K11" s="53">
        <v>5.2999999999999999E-2</v>
      </c>
      <c r="L11" s="14">
        <v>0.46750000000000003</v>
      </c>
      <c r="M11" s="10">
        <f t="shared" si="4"/>
        <v>2.8210915059499384</v>
      </c>
      <c r="N11" s="10">
        <f t="shared" si="11"/>
        <v>82.416181901566546</v>
      </c>
      <c r="O11" s="58">
        <f t="shared" si="5"/>
        <v>17.583818098433454</v>
      </c>
      <c r="P11" s="66">
        <v>5.2999999999999999E-2</v>
      </c>
      <c r="Q11" s="71">
        <v>0.32079999999999997</v>
      </c>
      <c r="R11" s="10">
        <f t="shared" si="6"/>
        <v>3.7692398073081899</v>
      </c>
      <c r="S11" s="10">
        <f t="shared" si="12"/>
        <v>79.83785689108214</v>
      </c>
      <c r="T11" s="69">
        <f t="shared" si="7"/>
        <v>20.16214310891786</v>
      </c>
    </row>
    <row r="12" spans="1:20" x14ac:dyDescent="0.25">
      <c r="A12" s="17">
        <v>3.7999999999999999E-2</v>
      </c>
      <c r="B12" s="11">
        <v>0.85170000000000001</v>
      </c>
      <c r="C12" s="10">
        <f t="shared" si="0"/>
        <v>7.4717735921887201</v>
      </c>
      <c r="D12" s="10">
        <f t="shared" si="8"/>
        <v>90.365737044802586</v>
      </c>
      <c r="E12" s="23">
        <f t="shared" si="1"/>
        <v>9.6342629551974142</v>
      </c>
      <c r="F12" s="39">
        <v>3.7999999999999999E-2</v>
      </c>
      <c r="G12" s="14">
        <v>1.0794999999999999</v>
      </c>
      <c r="H12" s="10">
        <f t="shared" si="2"/>
        <v>8.5597158126774175</v>
      </c>
      <c r="I12" s="10">
        <f t="shared" si="9"/>
        <v>89.139984458505808</v>
      </c>
      <c r="J12" s="50">
        <f>100-I12</f>
        <v>10.860015541494192</v>
      </c>
      <c r="K12" s="53">
        <v>3.7999999999999999E-2</v>
      </c>
      <c r="L12" s="14">
        <v>1.2306999999999999</v>
      </c>
      <c r="M12" s="10">
        <f t="shared" si="4"/>
        <v>7.4265611045402968</v>
      </c>
      <c r="N12" s="10">
        <f t="shared" si="11"/>
        <v>89.842743006106843</v>
      </c>
      <c r="O12" s="58">
        <f>100-N12</f>
        <v>10.157256993893157</v>
      </c>
      <c r="P12" s="66">
        <v>3.7999999999999999E-2</v>
      </c>
      <c r="Q12" s="13">
        <v>0.85819999999999996</v>
      </c>
      <c r="R12" s="10">
        <f t="shared" si="6"/>
        <v>10.08342145458818</v>
      </c>
      <c r="S12" s="10">
        <f t="shared" si="12"/>
        <v>89.921278345670316</v>
      </c>
      <c r="T12" s="69">
        <f>100-S12</f>
        <v>10.078721654329684</v>
      </c>
    </row>
    <row r="13" spans="1:20" x14ac:dyDescent="0.25">
      <c r="A13" s="17">
        <v>2.5000000000000001E-2</v>
      </c>
      <c r="B13" s="11">
        <v>0.84160000000000001</v>
      </c>
      <c r="C13" s="10">
        <f t="shared" si="0"/>
        <v>7.3831685513514458</v>
      </c>
      <c r="D13" s="10">
        <f>C13+D12</f>
        <v>97.748905596154032</v>
      </c>
      <c r="E13" s="23">
        <f t="shared" si="1"/>
        <v>2.2510944038459684</v>
      </c>
      <c r="F13" s="39">
        <v>2.5000000000000001E-2</v>
      </c>
      <c r="G13" s="14">
        <v>1.1706000000000001</v>
      </c>
      <c r="H13" s="10">
        <f t="shared" si="2"/>
        <v>9.2820781197963758</v>
      </c>
      <c r="I13" s="10">
        <f>H13+I12</f>
        <v>98.422062578302189</v>
      </c>
      <c r="J13" s="50">
        <f t="shared" si="3"/>
        <v>1.5779374216978113</v>
      </c>
      <c r="K13" s="53">
        <v>2.5000000000000001E-2</v>
      </c>
      <c r="L13" s="14">
        <v>1.4654</v>
      </c>
      <c r="M13" s="10">
        <f t="shared" si="4"/>
        <v>8.8428395568321694</v>
      </c>
      <c r="N13" s="10">
        <f>M13+N12</f>
        <v>98.685582562939018</v>
      </c>
      <c r="O13" s="58">
        <f t="shared" si="5"/>
        <v>1.3144174370609818</v>
      </c>
      <c r="P13" s="66">
        <v>2.5000000000000001E-2</v>
      </c>
      <c r="Q13" s="13">
        <v>0.8377</v>
      </c>
      <c r="R13" s="10">
        <f t="shared" si="6"/>
        <v>9.8425566913406186</v>
      </c>
      <c r="S13" s="10">
        <f>R13+S12</f>
        <v>99.763835037010935</v>
      </c>
      <c r="T13" s="69">
        <f>100-S13</f>
        <v>0.23616496298906497</v>
      </c>
    </row>
    <row r="14" spans="1:20" ht="15.75" thickBot="1" x14ac:dyDescent="0.3">
      <c r="A14" s="18" t="s">
        <v>4</v>
      </c>
      <c r="B14" s="12">
        <f>B15-B16</f>
        <v>0.25660000000000061</v>
      </c>
      <c r="C14" s="10">
        <f t="shared" si="0"/>
        <v>2.2510944038459906</v>
      </c>
      <c r="D14" s="10">
        <f>C14+D13</f>
        <v>100.00000000000003</v>
      </c>
      <c r="E14" s="23">
        <f>100-D14</f>
        <v>0</v>
      </c>
      <c r="F14" s="40" t="s">
        <v>4</v>
      </c>
      <c r="G14" s="31">
        <f>G15-G16</f>
        <v>0.19899999999999807</v>
      </c>
      <c r="H14" s="10">
        <f t="shared" si="2"/>
        <v>1.5779374216978135</v>
      </c>
      <c r="I14" s="10">
        <f>H14+I13</f>
        <v>100</v>
      </c>
      <c r="J14" s="50">
        <f>100-I14</f>
        <v>0</v>
      </c>
      <c r="K14" s="56" t="s">
        <v>4</v>
      </c>
      <c r="L14" s="31">
        <f>L15-L16</f>
        <v>0.21781999999999968</v>
      </c>
      <c r="M14" s="10">
        <f t="shared" si="4"/>
        <v>1.314417437060994</v>
      </c>
      <c r="N14" s="10">
        <f>M14+N13</f>
        <v>100.00000000000001</v>
      </c>
      <c r="O14" s="58">
        <f>100-N14</f>
        <v>0</v>
      </c>
      <c r="P14" s="67" t="s">
        <v>4</v>
      </c>
      <c r="Q14" s="31">
        <f>Q15-Q16</f>
        <v>2.0099999999999341E-2</v>
      </c>
      <c r="R14" s="10">
        <f t="shared" si="6"/>
        <v>0.23616496298906522</v>
      </c>
      <c r="S14" s="10">
        <f>R14+S13</f>
        <v>100</v>
      </c>
      <c r="T14" s="69">
        <f>100-S14</f>
        <v>0</v>
      </c>
    </row>
    <row r="15" spans="1:20" ht="15.75" thickBot="1" x14ac:dyDescent="0.3">
      <c r="A15" s="19" t="s">
        <v>3</v>
      </c>
      <c r="B15" s="20">
        <v>11.398899999999999</v>
      </c>
      <c r="C15" s="2" t="s">
        <v>19</v>
      </c>
      <c r="D15" s="72">
        <f>A7+(10-E7)*((A6-A7)/(E6-E7))</f>
        <v>-0.49767945422187082</v>
      </c>
      <c r="E15" s="4"/>
      <c r="F15" s="32" t="s">
        <v>3</v>
      </c>
      <c r="G15" s="33">
        <v>12.6114</v>
      </c>
      <c r="K15" s="54" t="s">
        <v>3</v>
      </c>
      <c r="L15" s="55">
        <v>16.5716</v>
      </c>
      <c r="P15" s="64" t="s">
        <v>3</v>
      </c>
      <c r="Q15" s="65">
        <v>8.5109999999999992</v>
      </c>
      <c r="R15" s="70">
        <f>SUM(R5:R14)</f>
        <v>100</v>
      </c>
      <c r="T15" s="24"/>
    </row>
    <row r="16" spans="1:20" ht="15.75" thickBot="1" x14ac:dyDescent="0.3">
      <c r="A16" s="100"/>
      <c r="B16" s="30">
        <f>SUM(B5:B13)</f>
        <v>11.142299999999999</v>
      </c>
      <c r="C16" s="6" t="s">
        <v>23</v>
      </c>
      <c r="D16" s="73">
        <f>A5+(60-E5)*((A4-A5)/(E4-E5))</f>
        <v>-9.6374317817014514</v>
      </c>
      <c r="E16" s="8"/>
      <c r="F16" s="25"/>
      <c r="G16" s="29">
        <f>SUM(G5:G13)</f>
        <v>12.412400000000002</v>
      </c>
      <c r="H16" s="27"/>
      <c r="I16" s="27"/>
      <c r="J16" s="27"/>
      <c r="K16" s="25"/>
      <c r="L16" s="26">
        <f>SUM(L5:L13)</f>
        <v>16.35378</v>
      </c>
      <c r="M16" s="27"/>
      <c r="N16" s="27"/>
      <c r="O16" s="27"/>
      <c r="P16" s="25"/>
      <c r="Q16" s="26">
        <f>SUM(Q5:Q13)</f>
        <v>8.4908999999999999</v>
      </c>
      <c r="R16" s="27"/>
      <c r="S16" s="27"/>
      <c r="T16" s="28"/>
    </row>
    <row r="17" spans="1:22" ht="15.75" thickBot="1" x14ac:dyDescent="0.3"/>
    <row r="18" spans="1:22" ht="20.45" customHeight="1" thickBot="1" x14ac:dyDescent="0.4">
      <c r="A18" s="113" t="s">
        <v>76</v>
      </c>
      <c r="B18" s="114"/>
      <c r="C18" s="114"/>
      <c r="D18" s="114"/>
      <c r="E18" s="114"/>
      <c r="F18" s="114"/>
      <c r="G18" s="114"/>
      <c r="H18" s="114"/>
      <c r="I18" s="114"/>
      <c r="J18" s="115"/>
      <c r="U18" s="118"/>
      <c r="V18" s="118"/>
    </row>
    <row r="19" spans="1:22" x14ac:dyDescent="0.25">
      <c r="A19" s="107" t="s">
        <v>77</v>
      </c>
      <c r="B19" s="108"/>
      <c r="C19" s="108"/>
      <c r="D19" s="108"/>
      <c r="E19" s="117"/>
      <c r="F19" s="110" t="s">
        <v>78</v>
      </c>
      <c r="G19" s="111"/>
      <c r="H19" s="111"/>
      <c r="I19" s="111"/>
      <c r="J19" s="112"/>
      <c r="U19" s="1"/>
      <c r="V19" s="1"/>
    </row>
    <row r="20" spans="1:22" x14ac:dyDescent="0.25">
      <c r="A20" s="52" t="s">
        <v>1</v>
      </c>
      <c r="B20" s="51" t="s">
        <v>2</v>
      </c>
      <c r="C20" s="44" t="s">
        <v>14</v>
      </c>
      <c r="D20" s="44" t="s">
        <v>15</v>
      </c>
      <c r="E20" s="45" t="s">
        <v>13</v>
      </c>
      <c r="F20" s="60" t="s">
        <v>1</v>
      </c>
      <c r="G20" s="61" t="s">
        <v>2</v>
      </c>
      <c r="H20" s="62" t="s">
        <v>14</v>
      </c>
      <c r="I20" s="62" t="s">
        <v>15</v>
      </c>
      <c r="J20" s="63" t="s">
        <v>13</v>
      </c>
      <c r="K20" s="43"/>
      <c r="N20" s="13"/>
      <c r="U20" s="1"/>
      <c r="V20" s="1"/>
    </row>
    <row r="21" spans="1:22" x14ac:dyDescent="0.25">
      <c r="A21" s="53">
        <v>5</v>
      </c>
      <c r="B21" s="13">
        <v>0</v>
      </c>
      <c r="C21" s="9">
        <v>0</v>
      </c>
      <c r="D21" s="9">
        <v>0</v>
      </c>
      <c r="E21" s="46">
        <f>100-0</f>
        <v>100</v>
      </c>
      <c r="F21" s="66">
        <v>5</v>
      </c>
      <c r="G21" s="13">
        <v>0</v>
      </c>
      <c r="H21" s="9">
        <v>0</v>
      </c>
      <c r="I21" s="9">
        <v>0</v>
      </c>
      <c r="J21" s="68">
        <f>100-0</f>
        <v>100</v>
      </c>
      <c r="K21" s="43"/>
      <c r="N21" s="1"/>
      <c r="U21" s="1"/>
      <c r="V21" s="1"/>
    </row>
    <row r="22" spans="1:22" x14ac:dyDescent="0.25">
      <c r="A22" s="53">
        <v>1</v>
      </c>
      <c r="B22" s="13">
        <v>0.36509999999999998</v>
      </c>
      <c r="C22" s="10">
        <f>B22/$B$32*100</f>
        <v>7.8754934316961096</v>
      </c>
      <c r="D22" s="10">
        <f>C22</f>
        <v>7.8754934316961096</v>
      </c>
      <c r="E22" s="47">
        <f>100-D22</f>
        <v>92.124506568303886</v>
      </c>
      <c r="F22" s="66">
        <v>1</v>
      </c>
      <c r="G22" s="13">
        <v>3.4836999999999998</v>
      </c>
      <c r="H22" s="10">
        <f>G22/$G$32*100</f>
        <v>18.047079789052706</v>
      </c>
      <c r="I22" s="10">
        <f>H22</f>
        <v>18.047079789052706</v>
      </c>
      <c r="J22" s="69">
        <f>100-I22</f>
        <v>81.952920210947298</v>
      </c>
      <c r="K22" s="43"/>
      <c r="U22" s="1"/>
      <c r="V22" s="1"/>
    </row>
    <row r="23" spans="1:22" x14ac:dyDescent="0.25">
      <c r="A23" s="53">
        <v>0.85</v>
      </c>
      <c r="B23" s="14">
        <v>0.17979999999999999</v>
      </c>
      <c r="C23" s="10">
        <f t="shared" ref="C23:C31" si="13">B23/$B$32*100</f>
        <v>3.8784270583921128</v>
      </c>
      <c r="D23" s="10">
        <f>C23+D22</f>
        <v>11.753920490088223</v>
      </c>
      <c r="E23" s="47">
        <f t="shared" ref="E23:E30" si="14">100-D23</f>
        <v>88.24607950991178</v>
      </c>
      <c r="F23" s="66">
        <v>0.85</v>
      </c>
      <c r="G23" s="13">
        <v>0.89280000000000004</v>
      </c>
      <c r="H23" s="10">
        <f t="shared" ref="H23:H31" si="15">G23/$G$32*100</f>
        <v>4.6250919527129941</v>
      </c>
      <c r="I23" s="10">
        <f>H23+I22</f>
        <v>22.672171741765702</v>
      </c>
      <c r="J23" s="69">
        <f t="shared" ref="J23:J28" si="16">100-I23</f>
        <v>77.327828258234291</v>
      </c>
      <c r="U23" s="1"/>
      <c r="V23" s="1"/>
    </row>
    <row r="24" spans="1:22" x14ac:dyDescent="0.25">
      <c r="A24" s="53">
        <v>0.3</v>
      </c>
      <c r="B24" s="14">
        <v>1.4696</v>
      </c>
      <c r="C24" s="10">
        <f t="shared" si="13"/>
        <v>31.700424944455229</v>
      </c>
      <c r="D24" s="10">
        <f t="shared" ref="D24" si="17">C24+D23</f>
        <v>43.454345434543455</v>
      </c>
      <c r="E24" s="47">
        <f t="shared" si="14"/>
        <v>56.545654565456545</v>
      </c>
      <c r="F24" s="66">
        <v>0.3</v>
      </c>
      <c r="G24" s="13">
        <v>6.5472000000000001</v>
      </c>
      <c r="H24" s="10">
        <f t="shared" si="15"/>
        <v>33.917340986561953</v>
      </c>
      <c r="I24" s="10">
        <f>H24+I23</f>
        <v>56.589512728327655</v>
      </c>
      <c r="J24" s="69">
        <f t="shared" si="16"/>
        <v>43.410487271672345</v>
      </c>
      <c r="U24" s="1"/>
      <c r="V24" s="1"/>
    </row>
    <row r="25" spans="1:22" x14ac:dyDescent="0.25">
      <c r="A25" s="53">
        <v>0.25</v>
      </c>
      <c r="B25" s="14">
        <v>0.26450000000000001</v>
      </c>
      <c r="C25" s="10">
        <f t="shared" si="13"/>
        <v>5.7054725080351174</v>
      </c>
      <c r="D25" s="10">
        <f>C25+D24</f>
        <v>49.15981794257857</v>
      </c>
      <c r="E25" s="47">
        <f t="shared" si="14"/>
        <v>50.84018205742143</v>
      </c>
      <c r="F25" s="66">
        <v>0.25</v>
      </c>
      <c r="G25" s="13">
        <v>0.75139999999999996</v>
      </c>
      <c r="H25" s="10">
        <f t="shared" si="15"/>
        <v>3.8925785094853755</v>
      </c>
      <c r="I25" s="10">
        <f>H25+I24</f>
        <v>60.48209123781303</v>
      </c>
      <c r="J25" s="69">
        <f>100-I25</f>
        <v>39.51790876218697</v>
      </c>
      <c r="U25" s="1"/>
      <c r="V25" s="1"/>
    </row>
    <row r="26" spans="1:22" x14ac:dyDescent="0.25">
      <c r="A26" s="53">
        <v>0.125</v>
      </c>
      <c r="B26" s="14">
        <v>0.79659999999999997</v>
      </c>
      <c r="C26" s="10">
        <f t="shared" si="13"/>
        <v>17.183286956146592</v>
      </c>
      <c r="D26" s="10">
        <f t="shared" ref="D26:D29" si="18">C26+D25</f>
        <v>66.343104898725159</v>
      </c>
      <c r="E26" s="47">
        <f t="shared" si="14"/>
        <v>33.656895101274841</v>
      </c>
      <c r="F26" s="66">
        <v>0.125</v>
      </c>
      <c r="G26" s="13">
        <v>2.4607999999999999</v>
      </c>
      <c r="H26" s="10">
        <f t="shared" si="15"/>
        <v>12.748013303355885</v>
      </c>
      <c r="I26" s="10">
        <f>H26+I25</f>
        <v>73.230104541168913</v>
      </c>
      <c r="J26" s="69">
        <f t="shared" si="16"/>
        <v>26.769895458831087</v>
      </c>
      <c r="U26" s="1"/>
      <c r="V26" s="1"/>
    </row>
    <row r="27" spans="1:22" x14ac:dyDescent="0.25">
      <c r="A27" s="53">
        <v>6.3E-2</v>
      </c>
      <c r="B27" s="14">
        <v>0.59119999999999995</v>
      </c>
      <c r="C27" s="10">
        <f t="shared" si="13"/>
        <v>12.752647813800985</v>
      </c>
      <c r="D27" s="10">
        <f t="shared" si="18"/>
        <v>79.095752712526149</v>
      </c>
      <c r="E27" s="47">
        <f t="shared" si="14"/>
        <v>20.904247287473851</v>
      </c>
      <c r="F27" s="66">
        <v>6.3E-2</v>
      </c>
      <c r="G27" s="71">
        <v>1.9026000000000001</v>
      </c>
      <c r="H27" s="10">
        <f t="shared" si="15"/>
        <v>9.8562947460032948</v>
      </c>
      <c r="I27" s="10">
        <f t="shared" ref="I27:I29" si="19">H27+I26</f>
        <v>83.086399287172213</v>
      </c>
      <c r="J27" s="69">
        <f t="shared" si="16"/>
        <v>16.913600712827787</v>
      </c>
      <c r="K27" s="118"/>
      <c r="L27" s="118"/>
      <c r="M27" s="118"/>
      <c r="N27" s="118"/>
      <c r="U27" s="1"/>
      <c r="V27" s="1"/>
    </row>
    <row r="28" spans="1:22" x14ac:dyDescent="0.25">
      <c r="A28" s="53">
        <v>5.2999999999999999E-2</v>
      </c>
      <c r="B28" s="14">
        <v>0.16170000000000001</v>
      </c>
      <c r="C28" s="10">
        <f t="shared" si="13"/>
        <v>3.4879958584093709</v>
      </c>
      <c r="D28" s="10">
        <f t="shared" si="18"/>
        <v>82.583748570935526</v>
      </c>
      <c r="E28" s="47">
        <f t="shared" si="14"/>
        <v>17.416251429064474</v>
      </c>
      <c r="F28" s="66">
        <v>5.2999999999999999E-2</v>
      </c>
      <c r="G28" s="71">
        <v>0.4325</v>
      </c>
      <c r="H28" s="10">
        <f t="shared" si="15"/>
        <v>2.2405379363220987</v>
      </c>
      <c r="I28" s="10">
        <f t="shared" si="19"/>
        <v>85.326937223494312</v>
      </c>
      <c r="J28" s="69">
        <f t="shared" si="16"/>
        <v>14.673062776505688</v>
      </c>
      <c r="K28" s="1"/>
      <c r="L28" s="1"/>
      <c r="M28" s="1"/>
      <c r="N28" s="1"/>
      <c r="U28" s="1"/>
      <c r="V28" s="1"/>
    </row>
    <row r="29" spans="1:22" x14ac:dyDescent="0.25">
      <c r="A29" s="53">
        <v>3.7999999999999999E-2</v>
      </c>
      <c r="B29" s="14">
        <v>0.37519999999999998</v>
      </c>
      <c r="C29" s="10">
        <f t="shared" si="13"/>
        <v>8.093358355443387</v>
      </c>
      <c r="D29" s="10">
        <f t="shared" si="18"/>
        <v>90.677106926378912</v>
      </c>
      <c r="E29" s="47">
        <f>100-D29</f>
        <v>9.3228930736210884</v>
      </c>
      <c r="F29" s="66">
        <v>3.7999999999999999E-2</v>
      </c>
      <c r="G29" s="13">
        <v>1.1508</v>
      </c>
      <c r="H29" s="10">
        <f t="shared" si="15"/>
        <v>5.9616440627039804</v>
      </c>
      <c r="I29" s="10">
        <f t="shared" si="19"/>
        <v>91.288581286198294</v>
      </c>
      <c r="J29" s="69">
        <f>100-I29</f>
        <v>8.7114187138017058</v>
      </c>
      <c r="K29" s="1"/>
      <c r="L29" s="1"/>
      <c r="M29" s="1"/>
      <c r="N29" s="1"/>
      <c r="U29" s="1"/>
      <c r="V29" s="1"/>
    </row>
    <row r="30" spans="1:22" x14ac:dyDescent="0.25">
      <c r="A30" s="53">
        <v>2.5000000000000001E-2</v>
      </c>
      <c r="B30" s="14">
        <v>0.37409999999999999</v>
      </c>
      <c r="C30" s="10">
        <f t="shared" si="13"/>
        <v>8.0696304924610089</v>
      </c>
      <c r="D30" s="10">
        <f>C30+D29</f>
        <v>98.746737418839928</v>
      </c>
      <c r="E30" s="47">
        <f t="shared" si="14"/>
        <v>1.2532625811600724</v>
      </c>
      <c r="F30" s="66">
        <v>2.5000000000000001E-2</v>
      </c>
      <c r="G30" s="13">
        <v>1.5504</v>
      </c>
      <c r="H30" s="10">
        <f t="shared" si="15"/>
        <v>8.0317457028295536</v>
      </c>
      <c r="I30" s="10">
        <f>H30+I29</f>
        <v>99.320326989027848</v>
      </c>
      <c r="J30" s="69">
        <f>100-I30</f>
        <v>0.67967301097215227</v>
      </c>
      <c r="K30" s="1"/>
      <c r="L30" s="1"/>
      <c r="M30" s="1"/>
      <c r="N30" s="1"/>
      <c r="V30" s="1"/>
    </row>
    <row r="31" spans="1:22" ht="15.75" thickBot="1" x14ac:dyDescent="0.3">
      <c r="A31" s="56" t="s">
        <v>4</v>
      </c>
      <c r="B31" s="31">
        <f>B32-B33</f>
        <v>5.8100000000000485E-2</v>
      </c>
      <c r="C31" s="10">
        <f t="shared" si="13"/>
        <v>1.2532625811600873</v>
      </c>
      <c r="D31" s="10">
        <f>C31+D30</f>
        <v>100.00000000000001</v>
      </c>
      <c r="E31" s="47">
        <f>100-D31</f>
        <v>0</v>
      </c>
      <c r="F31" s="67" t="s">
        <v>4</v>
      </c>
      <c r="G31" s="31">
        <f>G32-G33</f>
        <v>0.13119999999999976</v>
      </c>
      <c r="H31" s="10">
        <f t="shared" si="15"/>
        <v>0.67967301097215915</v>
      </c>
      <c r="I31" s="10">
        <f>H31+I30</f>
        <v>100</v>
      </c>
      <c r="J31" s="69">
        <f>100-I31</f>
        <v>0</v>
      </c>
      <c r="K31" s="1"/>
      <c r="L31" s="1"/>
      <c r="M31" s="1"/>
      <c r="N31" s="1"/>
    </row>
    <row r="32" spans="1:22" ht="15.75" thickBot="1" x14ac:dyDescent="0.3">
      <c r="A32" s="54" t="s">
        <v>3</v>
      </c>
      <c r="B32" s="55">
        <v>4.6359000000000004</v>
      </c>
      <c r="E32" s="24"/>
      <c r="F32" s="64" t="s">
        <v>3</v>
      </c>
      <c r="G32" s="65">
        <v>19.3034</v>
      </c>
      <c r="H32" s="70">
        <f>SUM(H22:H31)</f>
        <v>100</v>
      </c>
      <c r="J32" s="24"/>
      <c r="K32" s="1"/>
      <c r="L32" s="1"/>
      <c r="M32" s="1"/>
      <c r="N32" s="1"/>
    </row>
    <row r="33" spans="1:14" ht="15.75" thickBot="1" x14ac:dyDescent="0.3">
      <c r="A33" s="25"/>
      <c r="B33" s="26">
        <f>SUM(B22:B30)</f>
        <v>4.5777999999999999</v>
      </c>
      <c r="C33" s="27"/>
      <c r="D33" s="27"/>
      <c r="E33" s="28"/>
      <c r="F33" s="25"/>
      <c r="G33" s="26">
        <f>SUM(G22:G30)</f>
        <v>19.1722</v>
      </c>
      <c r="H33" s="27"/>
      <c r="I33" s="27"/>
      <c r="J33" s="28"/>
      <c r="K33" s="1"/>
      <c r="L33" s="1"/>
      <c r="M33" s="1"/>
      <c r="N33" s="1"/>
    </row>
    <row r="34" spans="1:14" ht="15.75" thickBot="1" x14ac:dyDescent="0.3">
      <c r="K34" s="1"/>
      <c r="L34" s="1"/>
      <c r="M34" s="1"/>
      <c r="N34" s="1"/>
    </row>
    <row r="35" spans="1:14" ht="24" thickBot="1" x14ac:dyDescent="0.4">
      <c r="A35" s="113" t="s">
        <v>73</v>
      </c>
      <c r="B35" s="114"/>
      <c r="C35" s="114"/>
      <c r="D35" s="114"/>
      <c r="E35" s="114"/>
      <c r="F35" s="114"/>
      <c r="G35" s="114"/>
      <c r="H35" s="114"/>
      <c r="I35" s="114"/>
      <c r="J35" s="115"/>
      <c r="K35" s="1"/>
      <c r="L35" s="1"/>
      <c r="M35" s="1"/>
      <c r="N35" s="1"/>
    </row>
    <row r="36" spans="1:14" x14ac:dyDescent="0.25">
      <c r="A36" s="101" t="s">
        <v>74</v>
      </c>
      <c r="B36" s="102"/>
      <c r="C36" s="102"/>
      <c r="D36" s="102"/>
      <c r="E36" s="103"/>
      <c r="F36" s="104" t="s">
        <v>75</v>
      </c>
      <c r="G36" s="105"/>
      <c r="H36" s="105"/>
      <c r="I36" s="105"/>
      <c r="J36" s="106"/>
      <c r="K36" s="1"/>
      <c r="L36" s="1"/>
      <c r="M36" s="1"/>
      <c r="N36" s="1"/>
    </row>
    <row r="37" spans="1:14" x14ac:dyDescent="0.25">
      <c r="A37" s="15" t="s">
        <v>1</v>
      </c>
      <c r="B37" s="16" t="s">
        <v>2</v>
      </c>
      <c r="C37" s="16" t="s">
        <v>14</v>
      </c>
      <c r="D37" s="16" t="s">
        <v>15</v>
      </c>
      <c r="E37" s="21" t="s">
        <v>13</v>
      </c>
      <c r="F37" s="34" t="s">
        <v>1</v>
      </c>
      <c r="G37" s="35" t="s">
        <v>2</v>
      </c>
      <c r="H37" s="36" t="s">
        <v>14</v>
      </c>
      <c r="I37" s="36" t="s">
        <v>15</v>
      </c>
      <c r="J37" s="37" t="s">
        <v>13</v>
      </c>
      <c r="K37" s="1"/>
      <c r="L37" s="1"/>
      <c r="M37" s="1"/>
      <c r="N37" s="1"/>
    </row>
    <row r="38" spans="1:14" x14ac:dyDescent="0.25">
      <c r="A38" s="17">
        <v>5</v>
      </c>
      <c r="B38" s="11">
        <v>0</v>
      </c>
      <c r="C38" s="9">
        <v>0</v>
      </c>
      <c r="D38" s="9">
        <v>0</v>
      </c>
      <c r="E38" s="22">
        <f>100-0</f>
        <v>100</v>
      </c>
      <c r="F38" s="38">
        <v>5</v>
      </c>
      <c r="G38" s="11">
        <v>0</v>
      </c>
      <c r="H38" s="9">
        <v>0</v>
      </c>
      <c r="I38" s="9">
        <v>0</v>
      </c>
      <c r="J38" s="41">
        <f>100-0</f>
        <v>100</v>
      </c>
      <c r="K38" s="1"/>
      <c r="L38" s="1"/>
      <c r="M38" s="1"/>
      <c r="N38" s="1"/>
    </row>
    <row r="39" spans="1:14" x14ac:dyDescent="0.25">
      <c r="A39" s="17">
        <v>1</v>
      </c>
      <c r="B39" s="11">
        <v>1.1468</v>
      </c>
      <c r="C39" s="10">
        <f>B39/$B$49*100</f>
        <v>11.129658385093167</v>
      </c>
      <c r="D39" s="10">
        <f>C39</f>
        <v>11.129658385093167</v>
      </c>
      <c r="E39" s="23">
        <f>100-D39</f>
        <v>88.870341614906835</v>
      </c>
      <c r="F39" s="39">
        <v>1</v>
      </c>
      <c r="G39" s="14">
        <v>5.6570999999999998</v>
      </c>
      <c r="H39" s="10">
        <f>G39/$G$49*100</f>
        <v>37.377601585728442</v>
      </c>
      <c r="I39" s="10">
        <f>H39</f>
        <v>37.377601585728442</v>
      </c>
      <c r="J39" s="42">
        <f>100-I39</f>
        <v>62.622398414271558</v>
      </c>
      <c r="L39" s="1"/>
      <c r="N39" s="1"/>
    </row>
    <row r="40" spans="1:14" x14ac:dyDescent="0.25">
      <c r="A40" s="17">
        <v>0.85</v>
      </c>
      <c r="B40" s="11">
        <v>0.41270000000000001</v>
      </c>
      <c r="C40" s="10">
        <f t="shared" ref="C40:C48" si="20">B40/$B$49*100</f>
        <v>4.0052406832298137</v>
      </c>
      <c r="D40" s="10">
        <f>C40+D39</f>
        <v>15.13489906832298</v>
      </c>
      <c r="E40" s="23">
        <f t="shared" ref="E40:E47" si="21">100-D40</f>
        <v>84.86510093167702</v>
      </c>
      <c r="F40" s="39">
        <v>0.85</v>
      </c>
      <c r="G40" s="14">
        <v>0.65210000000000001</v>
      </c>
      <c r="H40" s="10">
        <f t="shared" ref="H40:H48" si="22">G40/$G$49*100</f>
        <v>4.308556326395772</v>
      </c>
      <c r="I40" s="10">
        <f>H40+I39</f>
        <v>41.686157912124216</v>
      </c>
      <c r="J40" s="42">
        <f t="shared" ref="J40:J47" si="23">100-I40</f>
        <v>58.313842087875784</v>
      </c>
    </row>
    <row r="41" spans="1:14" x14ac:dyDescent="0.25">
      <c r="A41" s="17">
        <v>0.3</v>
      </c>
      <c r="B41" s="11">
        <v>3.9297</v>
      </c>
      <c r="C41" s="10">
        <f t="shared" si="20"/>
        <v>38.137616459627324</v>
      </c>
      <c r="D41" s="10">
        <f t="shared" ref="D41:D46" si="24">C41+D40</f>
        <v>53.272515527950304</v>
      </c>
      <c r="E41" s="23">
        <f t="shared" si="21"/>
        <v>46.727484472049696</v>
      </c>
      <c r="F41" s="39">
        <v>0.3</v>
      </c>
      <c r="G41" s="14">
        <v>3.2353999999999998</v>
      </c>
      <c r="H41" s="10">
        <f t="shared" si="22"/>
        <v>21.376940865543443</v>
      </c>
      <c r="I41" s="10">
        <f t="shared" ref="I41" si="25">H41+I40</f>
        <v>63.063098777667662</v>
      </c>
      <c r="J41" s="42">
        <f t="shared" si="23"/>
        <v>36.936901222332338</v>
      </c>
    </row>
    <row r="42" spans="1:14" x14ac:dyDescent="0.25">
      <c r="A42" s="17">
        <v>0.25</v>
      </c>
      <c r="B42" s="11">
        <v>0.52429999999999999</v>
      </c>
      <c r="C42" s="10">
        <f t="shared" si="20"/>
        <v>5.0883152173913038</v>
      </c>
      <c r="D42" s="10">
        <f t="shared" si="24"/>
        <v>58.360830745341609</v>
      </c>
      <c r="E42" s="23">
        <f t="shared" si="21"/>
        <v>41.639169254658391</v>
      </c>
      <c r="F42" s="39">
        <v>0.25</v>
      </c>
      <c r="G42" s="14">
        <v>0.48770000000000002</v>
      </c>
      <c r="H42" s="10">
        <f t="shared" si="22"/>
        <v>3.2223323422530559</v>
      </c>
      <c r="I42" s="10">
        <f>H42+I41</f>
        <v>66.285431119920716</v>
      </c>
      <c r="J42" s="42">
        <f t="shared" si="23"/>
        <v>33.714568880079284</v>
      </c>
    </row>
    <row r="43" spans="1:14" x14ac:dyDescent="0.25">
      <c r="A43" s="17">
        <v>0.125</v>
      </c>
      <c r="B43" s="11">
        <v>1.4875</v>
      </c>
      <c r="C43" s="10">
        <f t="shared" si="20"/>
        <v>14.436141304347828</v>
      </c>
      <c r="D43" s="10">
        <f t="shared" si="24"/>
        <v>72.79697204968943</v>
      </c>
      <c r="E43" s="23">
        <f t="shared" si="21"/>
        <v>27.20302795031057</v>
      </c>
      <c r="F43" s="39">
        <v>0.125</v>
      </c>
      <c r="G43" s="14">
        <v>1.6032</v>
      </c>
      <c r="H43" s="10">
        <f t="shared" si="22"/>
        <v>10.592666005946482</v>
      </c>
      <c r="I43" s="10">
        <f t="shared" ref="I43:I46" si="26">H43+I42</f>
        <v>76.8780971258672</v>
      </c>
      <c r="J43" s="42">
        <f t="shared" si="23"/>
        <v>23.1219028741328</v>
      </c>
      <c r="K43" s="1"/>
      <c r="L43" s="1"/>
      <c r="M43" s="1"/>
      <c r="N43" s="1"/>
    </row>
    <row r="44" spans="1:14" x14ac:dyDescent="0.25">
      <c r="A44" s="17">
        <v>6.3E-2</v>
      </c>
      <c r="B44" s="11">
        <v>1.0602</v>
      </c>
      <c r="C44" s="10">
        <f t="shared" si="20"/>
        <v>10.289208074534162</v>
      </c>
      <c r="D44" s="10">
        <f t="shared" si="24"/>
        <v>83.086180124223588</v>
      </c>
      <c r="E44" s="23">
        <f t="shared" si="21"/>
        <v>16.913819875776412</v>
      </c>
      <c r="F44" s="39">
        <v>6.3E-2</v>
      </c>
      <c r="G44" s="14">
        <v>1.2862</v>
      </c>
      <c r="H44" s="10">
        <f t="shared" si="22"/>
        <v>8.4981830194912451</v>
      </c>
      <c r="I44" s="10">
        <f t="shared" si="26"/>
        <v>85.37628014535845</v>
      </c>
      <c r="J44" s="42">
        <f t="shared" si="23"/>
        <v>14.62371985464155</v>
      </c>
      <c r="K44" s="1"/>
      <c r="L44" s="1"/>
      <c r="M44" s="1"/>
      <c r="N44" s="1"/>
    </row>
    <row r="45" spans="1:14" x14ac:dyDescent="0.25">
      <c r="A45" s="17">
        <v>5.2999999999999999E-2</v>
      </c>
      <c r="B45" s="11">
        <v>0.25940000000000002</v>
      </c>
      <c r="C45" s="10">
        <f t="shared" si="20"/>
        <v>2.5174689440993792</v>
      </c>
      <c r="D45" s="10">
        <f t="shared" si="24"/>
        <v>85.603649068322966</v>
      </c>
      <c r="E45" s="23">
        <f t="shared" si="21"/>
        <v>14.396350931677034</v>
      </c>
      <c r="F45" s="39">
        <v>5.2999999999999999E-2</v>
      </c>
      <c r="G45" s="14">
        <v>0.3009</v>
      </c>
      <c r="H45" s="10">
        <f t="shared" si="22"/>
        <v>1.9881070366699702</v>
      </c>
      <c r="I45" s="10">
        <f t="shared" si="26"/>
        <v>87.364387182028423</v>
      </c>
      <c r="J45" s="42">
        <f t="shared" si="23"/>
        <v>12.635612817971577</v>
      </c>
      <c r="K45" s="1"/>
      <c r="L45" s="1"/>
      <c r="M45" s="1"/>
      <c r="N45" s="1"/>
    </row>
    <row r="46" spans="1:14" x14ac:dyDescent="0.25">
      <c r="A46" s="17">
        <v>3.7999999999999999E-2</v>
      </c>
      <c r="B46" s="11">
        <v>0.63660000000000005</v>
      </c>
      <c r="C46" s="10">
        <f t="shared" si="20"/>
        <v>6.1781832298136647</v>
      </c>
      <c r="D46" s="10">
        <f t="shared" si="24"/>
        <v>91.781832298136635</v>
      </c>
      <c r="E46" s="23">
        <f t="shared" si="21"/>
        <v>8.218167701863365</v>
      </c>
      <c r="F46" s="39">
        <v>3.7999999999999999E-2</v>
      </c>
      <c r="G46" s="14">
        <v>0.78690000000000004</v>
      </c>
      <c r="H46" s="10">
        <f t="shared" si="22"/>
        <v>5.199207135777999</v>
      </c>
      <c r="I46" s="10">
        <f t="shared" si="26"/>
        <v>92.56359431780642</v>
      </c>
      <c r="J46" s="42">
        <f>100-I46</f>
        <v>7.4364056821935804</v>
      </c>
      <c r="K46" s="1"/>
      <c r="L46" s="1"/>
      <c r="M46" s="1"/>
      <c r="N46" s="1"/>
    </row>
    <row r="47" spans="1:14" x14ac:dyDescent="0.25">
      <c r="A47" s="17">
        <v>2.5000000000000001E-2</v>
      </c>
      <c r="B47" s="11">
        <v>0.67369999999999997</v>
      </c>
      <c r="C47" s="10">
        <f t="shared" si="20"/>
        <v>6.5382375776397508</v>
      </c>
      <c r="D47" s="10">
        <f>C47+D46</f>
        <v>98.320069875776383</v>
      </c>
      <c r="E47" s="23">
        <f t="shared" si="21"/>
        <v>1.6799301242236169</v>
      </c>
      <c r="F47" s="39">
        <v>2.5000000000000001E-2</v>
      </c>
      <c r="G47" s="14">
        <v>0.97399999999999998</v>
      </c>
      <c r="H47" s="10">
        <f t="shared" si="22"/>
        <v>6.4354146019160883</v>
      </c>
      <c r="I47" s="10">
        <f>H47+I46</f>
        <v>98.999008919722513</v>
      </c>
      <c r="J47" s="42">
        <f t="shared" si="23"/>
        <v>1.0009910802774868</v>
      </c>
      <c r="K47" s="1"/>
      <c r="L47" s="1"/>
      <c r="M47" s="1"/>
      <c r="N47" s="1"/>
    </row>
    <row r="48" spans="1:14" ht="15.75" thickBot="1" x14ac:dyDescent="0.3">
      <c r="A48" s="18" t="s">
        <v>4</v>
      </c>
      <c r="B48" s="12">
        <f>B49-B50</f>
        <v>0.17310000000000159</v>
      </c>
      <c r="C48" s="10">
        <f t="shared" si="20"/>
        <v>1.6799301242236178</v>
      </c>
      <c r="D48" s="10">
        <f>C48+D47</f>
        <v>100</v>
      </c>
      <c r="E48" s="23">
        <f>100-D48</f>
        <v>0</v>
      </c>
      <c r="F48" s="40" t="s">
        <v>4</v>
      </c>
      <c r="G48" s="31">
        <f>G49-G50</f>
        <v>0.15150000000000219</v>
      </c>
      <c r="H48" s="10">
        <f t="shared" si="22"/>
        <v>1.000991080277517</v>
      </c>
      <c r="I48" s="10">
        <f>H48+I47</f>
        <v>100.00000000000003</v>
      </c>
      <c r="J48" s="42">
        <f>100-I48</f>
        <v>0</v>
      </c>
      <c r="K48" s="1"/>
      <c r="L48" s="1"/>
      <c r="M48" s="1"/>
      <c r="N48" s="1"/>
    </row>
    <row r="49" spans="1:20" ht="15.75" thickBot="1" x14ac:dyDescent="0.3">
      <c r="A49" s="19" t="s">
        <v>3</v>
      </c>
      <c r="B49" s="20">
        <v>10.304</v>
      </c>
      <c r="C49" s="3"/>
      <c r="D49" s="3"/>
      <c r="E49" s="4"/>
      <c r="F49" s="32" t="s">
        <v>3</v>
      </c>
      <c r="G49" s="33">
        <v>15.135</v>
      </c>
      <c r="J49" s="24"/>
      <c r="K49" s="1"/>
      <c r="L49" s="1"/>
      <c r="M49" s="1"/>
      <c r="N49" s="1"/>
    </row>
    <row r="50" spans="1:20" ht="15.75" thickBot="1" x14ac:dyDescent="0.3">
      <c r="A50" s="5"/>
      <c r="B50" s="30">
        <f>SUM(B39:B47)</f>
        <v>10.130899999999999</v>
      </c>
      <c r="C50" s="7"/>
      <c r="D50" s="6"/>
      <c r="E50" s="8"/>
      <c r="F50" s="25"/>
      <c r="G50" s="29">
        <f>SUM(G39:G47)</f>
        <v>14.983499999999998</v>
      </c>
      <c r="H50" s="27"/>
      <c r="I50" s="27"/>
      <c r="J50" s="28"/>
      <c r="K50" s="1"/>
      <c r="L50" s="1"/>
      <c r="M50" s="1"/>
      <c r="N50" s="1"/>
    </row>
    <row r="51" spans="1:20" ht="15.75" thickBot="1" x14ac:dyDescent="0.3">
      <c r="K51" s="1"/>
      <c r="L51" s="1"/>
      <c r="M51" s="1"/>
      <c r="N51" s="1"/>
    </row>
    <row r="52" spans="1:20" ht="24" thickBot="1" x14ac:dyDescent="0.4">
      <c r="A52" s="113" t="s">
        <v>21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5"/>
    </row>
    <row r="53" spans="1:20" x14ac:dyDescent="0.25">
      <c r="A53" s="101" t="s">
        <v>5</v>
      </c>
      <c r="B53" s="102"/>
      <c r="C53" s="102"/>
      <c r="D53" s="102"/>
      <c r="E53" s="103"/>
      <c r="F53" s="104" t="s">
        <v>6</v>
      </c>
      <c r="G53" s="105"/>
      <c r="H53" s="105"/>
      <c r="I53" s="105"/>
      <c r="J53" s="116"/>
      <c r="K53" s="107" t="s">
        <v>7</v>
      </c>
      <c r="L53" s="108"/>
      <c r="M53" s="108"/>
      <c r="N53" s="108"/>
      <c r="O53" s="109"/>
      <c r="P53" s="110" t="s">
        <v>8</v>
      </c>
      <c r="Q53" s="111"/>
      <c r="R53" s="111"/>
      <c r="S53" s="111"/>
      <c r="T53" s="112"/>
    </row>
    <row r="54" spans="1:20" x14ac:dyDescent="0.25">
      <c r="A54" s="15" t="s">
        <v>1</v>
      </c>
      <c r="B54" s="16" t="s">
        <v>2</v>
      </c>
      <c r="C54" s="16" t="s">
        <v>14</v>
      </c>
      <c r="D54" s="16" t="s">
        <v>15</v>
      </c>
      <c r="E54" s="21" t="s">
        <v>13</v>
      </c>
      <c r="F54" s="34" t="s">
        <v>1</v>
      </c>
      <c r="G54" s="35" t="s">
        <v>2</v>
      </c>
      <c r="H54" s="36" t="s">
        <v>14</v>
      </c>
      <c r="I54" s="36" t="s">
        <v>15</v>
      </c>
      <c r="J54" s="48" t="s">
        <v>13</v>
      </c>
      <c r="K54" s="52" t="s">
        <v>1</v>
      </c>
      <c r="L54" s="51" t="s">
        <v>2</v>
      </c>
      <c r="M54" s="44" t="s">
        <v>14</v>
      </c>
      <c r="N54" s="44" t="s">
        <v>15</v>
      </c>
      <c r="O54" s="59" t="s">
        <v>13</v>
      </c>
      <c r="P54" s="60" t="s">
        <v>1</v>
      </c>
      <c r="Q54" s="61" t="s">
        <v>2</v>
      </c>
      <c r="R54" s="62" t="s">
        <v>14</v>
      </c>
      <c r="S54" s="62" t="s">
        <v>15</v>
      </c>
      <c r="T54" s="63" t="s">
        <v>13</v>
      </c>
    </row>
    <row r="55" spans="1:20" x14ac:dyDescent="0.25">
      <c r="A55" s="17">
        <v>5</v>
      </c>
      <c r="B55" s="11">
        <v>0</v>
      </c>
      <c r="C55" s="9">
        <v>0</v>
      </c>
      <c r="D55" s="9">
        <v>0</v>
      </c>
      <c r="E55" s="22">
        <f>100-0</f>
        <v>100</v>
      </c>
      <c r="F55" s="38">
        <v>5</v>
      </c>
      <c r="G55" s="11">
        <v>0</v>
      </c>
      <c r="H55" s="9">
        <v>0</v>
      </c>
      <c r="I55" s="9">
        <v>0</v>
      </c>
      <c r="J55" s="49">
        <f>100-0</f>
        <v>100</v>
      </c>
      <c r="K55" s="53">
        <v>5</v>
      </c>
      <c r="L55" s="13">
        <v>0</v>
      </c>
      <c r="M55" s="9">
        <v>0</v>
      </c>
      <c r="N55" s="9">
        <v>0</v>
      </c>
      <c r="O55" s="57">
        <f>100-0</f>
        <v>100</v>
      </c>
      <c r="P55" s="66">
        <v>5</v>
      </c>
      <c r="Q55" s="13">
        <v>0</v>
      </c>
      <c r="R55" s="9">
        <v>0</v>
      </c>
      <c r="S55" s="9">
        <v>0</v>
      </c>
      <c r="T55" s="68">
        <f>100-0</f>
        <v>100</v>
      </c>
    </row>
    <row r="56" spans="1:20" x14ac:dyDescent="0.25">
      <c r="A56" s="17">
        <v>1</v>
      </c>
      <c r="B56" s="13">
        <v>2.5091999999999999</v>
      </c>
      <c r="C56" s="10">
        <f>B56/$B$66*100</f>
        <v>19.627045461656394</v>
      </c>
      <c r="D56" s="10">
        <f>C56</f>
        <v>19.627045461656394</v>
      </c>
      <c r="E56" s="23">
        <f>100-D56</f>
        <v>80.372954538343606</v>
      </c>
      <c r="F56" s="39">
        <v>1</v>
      </c>
      <c r="G56" s="13">
        <v>0.79730000000000001</v>
      </c>
      <c r="H56" s="10">
        <f>G56/$G$66*100</f>
        <v>6.0803648371426178</v>
      </c>
      <c r="I56" s="10">
        <f>H56</f>
        <v>6.0803648371426178</v>
      </c>
      <c r="J56" s="50">
        <f>100-I56</f>
        <v>93.919635162857389</v>
      </c>
      <c r="K56" s="53">
        <v>1</v>
      </c>
      <c r="L56" s="14">
        <v>0.31109999999999999</v>
      </c>
      <c r="M56" s="10">
        <f>L56/$L$66*100</f>
        <v>3.2165012406947886</v>
      </c>
      <c r="N56" s="10">
        <f>M56</f>
        <v>3.2165012406947886</v>
      </c>
      <c r="O56" s="58">
        <f>100-N56</f>
        <v>96.783498759305218</v>
      </c>
      <c r="P56" s="66">
        <v>1</v>
      </c>
      <c r="Q56" s="13">
        <v>0.84370000000000001</v>
      </c>
      <c r="R56" s="10">
        <f>Q56/$Q$66*100</f>
        <v>6.7803556934253777</v>
      </c>
      <c r="S56" s="10">
        <f>R56</f>
        <v>6.7803556934253777</v>
      </c>
      <c r="T56" s="69">
        <f>100-S56</f>
        <v>93.219644306574622</v>
      </c>
    </row>
    <row r="57" spans="1:20" x14ac:dyDescent="0.25">
      <c r="A57" s="17">
        <v>0.85</v>
      </c>
      <c r="B57" s="13">
        <v>0.61670000000000003</v>
      </c>
      <c r="C57" s="10">
        <f t="shared" ref="C57:C65" si="27">B57/$B$66*100</f>
        <v>4.8238478145239512</v>
      </c>
      <c r="D57" s="10">
        <f>C57+D56</f>
        <v>24.450893276180345</v>
      </c>
      <c r="E57" s="23">
        <f t="shared" ref="E57:E64" si="28">100-D57</f>
        <v>75.549106723819648</v>
      </c>
      <c r="F57" s="39">
        <v>0.85</v>
      </c>
      <c r="G57" s="13">
        <v>0.28370000000000001</v>
      </c>
      <c r="H57" s="10">
        <f t="shared" ref="H57:H65" si="29">G57/$G$66*100</f>
        <v>2.1635513662327361</v>
      </c>
      <c r="I57" s="10">
        <f>H57+I56</f>
        <v>8.2439162033753544</v>
      </c>
      <c r="J57" s="50">
        <f t="shared" ref="J57:J64" si="30">100-I57</f>
        <v>91.756083796624651</v>
      </c>
      <c r="K57" s="53">
        <v>0.85</v>
      </c>
      <c r="L57" s="14">
        <v>0.20430000000000001</v>
      </c>
      <c r="M57" s="10">
        <f t="shared" ref="M57:M65" si="31">L57/$L$66*100</f>
        <v>2.1122828784119108</v>
      </c>
      <c r="N57" s="10">
        <f>M57+N56</f>
        <v>5.3287841191066994</v>
      </c>
      <c r="O57" s="58">
        <f t="shared" ref="O57:O64" si="32">100-N57</f>
        <v>94.6712158808933</v>
      </c>
      <c r="P57" s="66">
        <v>0.85</v>
      </c>
      <c r="Q57" s="13">
        <v>0.44550000000000001</v>
      </c>
      <c r="R57" s="10">
        <f t="shared" ref="R57:R65" si="33">Q57/$Q$66*100</f>
        <v>3.5802399684971031</v>
      </c>
      <c r="S57" s="10">
        <f>R57+S56</f>
        <v>10.360595661922481</v>
      </c>
      <c r="T57" s="69">
        <f t="shared" ref="T57:T62" si="34">100-S57</f>
        <v>89.639404338077526</v>
      </c>
    </row>
    <row r="58" spans="1:20" x14ac:dyDescent="0.25">
      <c r="A58" s="17">
        <v>0.3</v>
      </c>
      <c r="B58" s="13">
        <v>3.9388999999999998</v>
      </c>
      <c r="C58" s="10">
        <f t="shared" si="27"/>
        <v>30.810206188792588</v>
      </c>
      <c r="D58" s="10">
        <f t="shared" ref="D58:D63" si="35">C58+D57</f>
        <v>55.261099464972929</v>
      </c>
      <c r="E58" s="23">
        <f t="shared" si="28"/>
        <v>44.738900535027071</v>
      </c>
      <c r="F58" s="39">
        <v>0.3</v>
      </c>
      <c r="G58" s="13">
        <v>3.8058000000000001</v>
      </c>
      <c r="H58" s="10">
        <f t="shared" si="29"/>
        <v>29.023770848109088</v>
      </c>
      <c r="I58" s="10">
        <f t="shared" ref="I58" si="36">H58+I57</f>
        <v>37.267687051484444</v>
      </c>
      <c r="J58" s="50">
        <f t="shared" si="30"/>
        <v>62.732312948515556</v>
      </c>
      <c r="K58" s="53">
        <v>0.3</v>
      </c>
      <c r="L58" s="14">
        <v>2.2216</v>
      </c>
      <c r="M58" s="10">
        <f t="shared" si="31"/>
        <v>22.969396195202645</v>
      </c>
      <c r="N58" s="10">
        <f t="shared" ref="N58" si="37">M58+N57</f>
        <v>28.298180314309345</v>
      </c>
      <c r="O58" s="58">
        <f t="shared" si="32"/>
        <v>71.701819685690651</v>
      </c>
      <c r="P58" s="66">
        <v>0.3</v>
      </c>
      <c r="Q58" s="13">
        <v>3.9678</v>
      </c>
      <c r="R58" s="10">
        <f t="shared" si="33"/>
        <v>31.887039611678574</v>
      </c>
      <c r="S58" s="10">
        <f>R58+S57</f>
        <v>42.247635273601055</v>
      </c>
      <c r="T58" s="69">
        <f t="shared" si="34"/>
        <v>57.752364726398945</v>
      </c>
    </row>
    <row r="59" spans="1:20" x14ac:dyDescent="0.25">
      <c r="A59" s="17">
        <v>0.25</v>
      </c>
      <c r="B59" s="13">
        <v>0.53900000000000003</v>
      </c>
      <c r="C59" s="10">
        <f t="shared" si="27"/>
        <v>4.2160758424329652</v>
      </c>
      <c r="D59" s="10">
        <f t="shared" si="35"/>
        <v>59.477175307405894</v>
      </c>
      <c r="E59" s="23">
        <f t="shared" si="28"/>
        <v>40.522824692594106</v>
      </c>
      <c r="F59" s="39">
        <v>0.25</v>
      </c>
      <c r="G59" s="13">
        <v>0.76359999999999995</v>
      </c>
      <c r="H59" s="10">
        <f t="shared" si="29"/>
        <v>5.82336208408642</v>
      </c>
      <c r="I59" s="10">
        <f>H59+I58</f>
        <v>43.091049135570863</v>
      </c>
      <c r="J59" s="50">
        <f t="shared" si="30"/>
        <v>56.908950864429137</v>
      </c>
      <c r="K59" s="53">
        <v>0.25</v>
      </c>
      <c r="L59" s="14">
        <v>0.46439999999999998</v>
      </c>
      <c r="M59" s="10">
        <f t="shared" si="31"/>
        <v>4.8014888337468973</v>
      </c>
      <c r="N59" s="10">
        <f>M59+N58</f>
        <v>33.099669148056243</v>
      </c>
      <c r="O59" s="58">
        <f t="shared" si="32"/>
        <v>66.90033085194375</v>
      </c>
      <c r="P59" s="66">
        <v>0.25</v>
      </c>
      <c r="Q59" s="13">
        <v>0.59130000000000005</v>
      </c>
      <c r="R59" s="10">
        <f t="shared" si="33"/>
        <v>4.7519548672779726</v>
      </c>
      <c r="S59" s="10">
        <f>R59+S58</f>
        <v>46.999590140879029</v>
      </c>
      <c r="T59" s="69">
        <f>100-S59</f>
        <v>53.000409859120971</v>
      </c>
    </row>
    <row r="60" spans="1:20" x14ac:dyDescent="0.25">
      <c r="A60" s="17">
        <v>0.125</v>
      </c>
      <c r="B60" s="13">
        <v>1.7061999999999999</v>
      </c>
      <c r="C60" s="10">
        <f t="shared" si="27"/>
        <v>13.34595288007259</v>
      </c>
      <c r="D60" s="10">
        <f t="shared" si="35"/>
        <v>72.823128187478488</v>
      </c>
      <c r="E60" s="23">
        <f t="shared" si="28"/>
        <v>27.176871812521512</v>
      </c>
      <c r="F60" s="39">
        <v>0.125</v>
      </c>
      <c r="G60" s="13">
        <v>2.4836999999999998</v>
      </c>
      <c r="H60" s="10">
        <f t="shared" si="29"/>
        <v>18.941179162186277</v>
      </c>
      <c r="I60" s="10">
        <f t="shared" ref="I60:I63" si="38">H60+I59</f>
        <v>62.032228297757143</v>
      </c>
      <c r="J60" s="50">
        <f t="shared" si="30"/>
        <v>37.967771702242857</v>
      </c>
      <c r="K60" s="53">
        <v>0.125</v>
      </c>
      <c r="L60" s="14">
        <v>1.8560000000000001</v>
      </c>
      <c r="M60" s="10">
        <f t="shared" si="31"/>
        <v>19.189412737799834</v>
      </c>
      <c r="N60" s="10">
        <f t="shared" ref="N60:N63" si="39">M60+N59</f>
        <v>52.289081885856078</v>
      </c>
      <c r="O60" s="58">
        <f t="shared" si="32"/>
        <v>47.710918114143922</v>
      </c>
      <c r="P60" s="66">
        <v>0.125</v>
      </c>
      <c r="Q60" s="13">
        <v>2.0347</v>
      </c>
      <c r="R60" s="10">
        <f t="shared" si="33"/>
        <v>16.351771636141539</v>
      </c>
      <c r="S60" s="10">
        <f>R60+S59</f>
        <v>63.351361777020571</v>
      </c>
      <c r="T60" s="69">
        <f t="shared" si="34"/>
        <v>36.648638222979429</v>
      </c>
    </row>
    <row r="61" spans="1:20" x14ac:dyDescent="0.25">
      <c r="A61" s="17">
        <v>6.3E-2</v>
      </c>
      <c r="B61" s="13">
        <v>1.3245</v>
      </c>
      <c r="C61" s="10">
        <f t="shared" si="27"/>
        <v>10.360282844716998</v>
      </c>
      <c r="D61" s="10">
        <f t="shared" si="35"/>
        <v>83.183411032195494</v>
      </c>
      <c r="E61" s="23">
        <f t="shared" si="28"/>
        <v>16.816588967804506</v>
      </c>
      <c r="F61" s="39">
        <v>6.3E-2</v>
      </c>
      <c r="G61" s="13">
        <v>1.8349</v>
      </c>
      <c r="H61" s="10">
        <f t="shared" si="29"/>
        <v>13.993304201270524</v>
      </c>
      <c r="I61" s="10">
        <f t="shared" si="38"/>
        <v>76.025532499027662</v>
      </c>
      <c r="J61" s="50">
        <f t="shared" si="30"/>
        <v>23.974467500972338</v>
      </c>
      <c r="K61" s="53">
        <v>6.3E-2</v>
      </c>
      <c r="L61" s="14">
        <v>1.7778</v>
      </c>
      <c r="M61" s="10">
        <f t="shared" si="31"/>
        <v>18.38089330024814</v>
      </c>
      <c r="N61" s="10">
        <f t="shared" si="39"/>
        <v>70.66997518610421</v>
      </c>
      <c r="O61" s="58">
        <f t="shared" si="32"/>
        <v>29.33002481389579</v>
      </c>
      <c r="P61" s="66">
        <v>6.3E-2</v>
      </c>
      <c r="Q61" s="71">
        <v>1.6565000000000001</v>
      </c>
      <c r="R61" s="10">
        <f t="shared" si="33"/>
        <v>13.312384978261393</v>
      </c>
      <c r="S61" s="10">
        <f t="shared" ref="S61:S63" si="40">R61+S60</f>
        <v>76.663746755281963</v>
      </c>
      <c r="T61" s="69">
        <f t="shared" si="34"/>
        <v>23.336253244718037</v>
      </c>
    </row>
    <row r="62" spans="1:20" x14ac:dyDescent="0.25">
      <c r="A62" s="17">
        <v>5.2999999999999999E-2</v>
      </c>
      <c r="B62" s="13">
        <v>0.3221</v>
      </c>
      <c r="C62" s="10">
        <f t="shared" si="27"/>
        <v>2.5194768624260822</v>
      </c>
      <c r="D62" s="10">
        <f t="shared" si="35"/>
        <v>85.702887894621583</v>
      </c>
      <c r="E62" s="23">
        <f t="shared" si="28"/>
        <v>14.297112105378417</v>
      </c>
      <c r="F62" s="39">
        <v>5.2999999999999999E-2</v>
      </c>
      <c r="G62" s="13">
        <v>0.43780000000000002</v>
      </c>
      <c r="H62" s="10">
        <f t="shared" si="29"/>
        <v>3.3387479313947548</v>
      </c>
      <c r="I62" s="10">
        <f t="shared" si="38"/>
        <v>79.364280430422411</v>
      </c>
      <c r="J62" s="50">
        <f t="shared" si="30"/>
        <v>20.635719569577589</v>
      </c>
      <c r="K62" s="53">
        <v>5.2999999999999999E-2</v>
      </c>
      <c r="L62" s="14">
        <v>0.59019999999999995</v>
      </c>
      <c r="M62" s="10">
        <f t="shared" si="31"/>
        <v>6.1021505376344081</v>
      </c>
      <c r="N62" s="10">
        <f t="shared" si="39"/>
        <v>76.772125723738611</v>
      </c>
      <c r="O62" s="58">
        <f t="shared" si="32"/>
        <v>23.227874276261389</v>
      </c>
      <c r="P62" s="66">
        <v>5.2999999999999999E-2</v>
      </c>
      <c r="Q62" s="71">
        <v>0.34910000000000002</v>
      </c>
      <c r="R62" s="10">
        <f t="shared" si="33"/>
        <v>2.8055258653251149</v>
      </c>
      <c r="S62" s="10">
        <f t="shared" si="40"/>
        <v>79.469272620607072</v>
      </c>
      <c r="T62" s="69">
        <f t="shared" si="34"/>
        <v>20.530727379392928</v>
      </c>
    </row>
    <row r="63" spans="1:20" x14ac:dyDescent="0.25">
      <c r="A63" s="17">
        <v>3.7999999999999999E-2</v>
      </c>
      <c r="B63" s="13">
        <v>0.84919999999999995</v>
      </c>
      <c r="C63" s="10">
        <f t="shared" si="27"/>
        <v>6.6424705109352011</v>
      </c>
      <c r="D63" s="10">
        <f t="shared" si="35"/>
        <v>92.34535840555678</v>
      </c>
      <c r="E63" s="23">
        <f t="shared" si="28"/>
        <v>7.6546415944432198</v>
      </c>
      <c r="F63" s="39">
        <v>3.7999999999999999E-2</v>
      </c>
      <c r="G63" s="13">
        <v>1.0868</v>
      </c>
      <c r="H63" s="10">
        <f t="shared" si="29"/>
        <v>8.2881481312010497</v>
      </c>
      <c r="I63" s="10">
        <f t="shared" si="38"/>
        <v>87.652428561623466</v>
      </c>
      <c r="J63" s="50">
        <f>100-I63</f>
        <v>12.347571438376534</v>
      </c>
      <c r="K63" s="53">
        <v>3.7999999999999999E-2</v>
      </c>
      <c r="L63" s="14">
        <v>1.2269000000000001</v>
      </c>
      <c r="M63" s="10">
        <f t="shared" si="31"/>
        <v>12.68507030603805</v>
      </c>
      <c r="N63" s="10">
        <f t="shared" si="39"/>
        <v>89.457196029776668</v>
      </c>
      <c r="O63" s="58">
        <f>100-N63</f>
        <v>10.542803970223332</v>
      </c>
      <c r="P63" s="66">
        <v>3.7999999999999999E-2</v>
      </c>
      <c r="Q63" s="13">
        <v>1.0566</v>
      </c>
      <c r="R63" s="10">
        <f t="shared" si="33"/>
        <v>8.4913166121527244</v>
      </c>
      <c r="S63" s="10">
        <f t="shared" si="40"/>
        <v>87.960589232759801</v>
      </c>
      <c r="T63" s="69">
        <f>100-S63</f>
        <v>12.039410767240199</v>
      </c>
    </row>
    <row r="64" spans="1:20" x14ac:dyDescent="0.25">
      <c r="A64" s="17">
        <v>2.5000000000000001E-2</v>
      </c>
      <c r="B64" s="13">
        <v>0.85909999999999997</v>
      </c>
      <c r="C64" s="10">
        <f t="shared" si="27"/>
        <v>6.7199086386533589</v>
      </c>
      <c r="D64" s="10">
        <f>C64+D63</f>
        <v>99.065267044210145</v>
      </c>
      <c r="E64" s="23">
        <f t="shared" si="28"/>
        <v>0.93473295578985471</v>
      </c>
      <c r="F64" s="39">
        <v>2.5000000000000001E-2</v>
      </c>
      <c r="G64" s="1">
        <v>1.3219000000000001</v>
      </c>
      <c r="H64" s="10">
        <f t="shared" si="29"/>
        <v>10.081066447032267</v>
      </c>
      <c r="I64" s="10">
        <f>H64+I63</f>
        <v>97.733495008655737</v>
      </c>
      <c r="J64" s="50">
        <f t="shared" si="30"/>
        <v>2.266504991344263</v>
      </c>
      <c r="K64" s="53">
        <v>2.5000000000000001E-2</v>
      </c>
      <c r="L64" s="14">
        <v>0.89659999999999995</v>
      </c>
      <c r="M64" s="10">
        <f t="shared" si="31"/>
        <v>9.2700578990901565</v>
      </c>
      <c r="N64" s="10">
        <f>M64+N63</f>
        <v>98.72725392886683</v>
      </c>
      <c r="O64" s="58">
        <f t="shared" si="32"/>
        <v>1.2727460711331702</v>
      </c>
      <c r="P64" s="66">
        <v>2.5000000000000001E-2</v>
      </c>
      <c r="Q64" s="13">
        <v>1.2949999999999999</v>
      </c>
      <c r="R64" s="10">
        <f t="shared" si="33"/>
        <v>10.407207091366438</v>
      </c>
      <c r="S64" s="10">
        <f>R64+S63</f>
        <v>98.367796324126232</v>
      </c>
      <c r="T64" s="69">
        <f>100-S64</f>
        <v>1.6322036758737681</v>
      </c>
    </row>
    <row r="65" spans="1:20" ht="15.75" thickBot="1" x14ac:dyDescent="0.3">
      <c r="A65" s="18" t="s">
        <v>4</v>
      </c>
      <c r="B65" s="12">
        <f>B66-B67</f>
        <v>0.11950000000000038</v>
      </c>
      <c r="C65" s="10">
        <f t="shared" si="27"/>
        <v>0.93473295578987203</v>
      </c>
      <c r="D65" s="10">
        <f>C65+D64</f>
        <v>100.00000000000001</v>
      </c>
      <c r="E65" s="23">
        <f>100-D65</f>
        <v>0</v>
      </c>
      <c r="F65" s="40" t="s">
        <v>4</v>
      </c>
      <c r="G65" s="31">
        <f>G66-G67</f>
        <v>0.29720000000000191</v>
      </c>
      <c r="H65" s="10">
        <f t="shared" si="29"/>
        <v>2.2665049913442838</v>
      </c>
      <c r="I65" s="10">
        <f>H65+I64</f>
        <v>100.00000000000001</v>
      </c>
      <c r="J65" s="50">
        <f>100-I65</f>
        <v>0</v>
      </c>
      <c r="K65" s="56" t="s">
        <v>4</v>
      </c>
      <c r="L65" s="31">
        <f>L66-L67</f>
        <v>0.12310000000000088</v>
      </c>
      <c r="M65" s="10">
        <f t="shared" si="31"/>
        <v>1.2727460711331768</v>
      </c>
      <c r="N65" s="10">
        <f>M65+N64</f>
        <v>100</v>
      </c>
      <c r="O65" s="58">
        <f>100-N65</f>
        <v>0</v>
      </c>
      <c r="P65" s="67" t="s">
        <v>4</v>
      </c>
      <c r="Q65" s="31">
        <f>Q66-Q67</f>
        <v>0.20310000000000095</v>
      </c>
      <c r="R65" s="10">
        <f t="shared" si="33"/>
        <v>1.632203675873771</v>
      </c>
      <c r="S65" s="10">
        <f>R65+S64</f>
        <v>100</v>
      </c>
      <c r="T65" s="69">
        <f>100-S65</f>
        <v>0</v>
      </c>
    </row>
    <row r="66" spans="1:20" ht="15.75" thickBot="1" x14ac:dyDescent="0.3">
      <c r="A66" s="19" t="s">
        <v>3</v>
      </c>
      <c r="B66" s="20">
        <v>12.7844</v>
      </c>
      <c r="C66" s="3"/>
      <c r="D66" s="3"/>
      <c r="E66" s="4"/>
      <c r="F66" s="32" t="s">
        <v>3</v>
      </c>
      <c r="G66" s="33">
        <v>13.1127</v>
      </c>
      <c r="K66" s="54" t="s">
        <v>3</v>
      </c>
      <c r="L66" s="55">
        <v>9.6720000000000006</v>
      </c>
      <c r="P66" s="64" t="s">
        <v>3</v>
      </c>
      <c r="Q66" s="65">
        <v>12.443300000000001</v>
      </c>
      <c r="R66" s="70">
        <f>SUM(R56:R65)</f>
        <v>100</v>
      </c>
      <c r="T66" s="24"/>
    </row>
    <row r="67" spans="1:20" ht="15.75" thickBot="1" x14ac:dyDescent="0.3">
      <c r="A67" s="5"/>
      <c r="B67" s="30">
        <f>SUM(B56:B64)</f>
        <v>12.664899999999999</v>
      </c>
      <c r="C67" s="7"/>
      <c r="D67" s="6"/>
      <c r="E67" s="8"/>
      <c r="F67" s="25"/>
      <c r="G67" s="29">
        <f>SUM(G56:G64)</f>
        <v>12.815499999999998</v>
      </c>
      <c r="H67" s="27"/>
      <c r="I67" s="27"/>
      <c r="J67" s="27"/>
      <c r="K67" s="25"/>
      <c r="L67" s="26">
        <f>SUM(L56:L64)</f>
        <v>9.5488999999999997</v>
      </c>
      <c r="M67" s="27"/>
      <c r="N67" s="27"/>
      <c r="O67" s="27"/>
      <c r="P67" s="25"/>
      <c r="Q67" s="26">
        <f>SUM(Q56:Q64)</f>
        <v>12.2402</v>
      </c>
      <c r="R67" s="27"/>
      <c r="S67" s="27"/>
      <c r="T67" s="28"/>
    </row>
    <row r="68" spans="1:20" ht="15.75" thickBot="1" x14ac:dyDescent="0.3"/>
    <row r="69" spans="1:20" ht="24" thickBot="1" x14ac:dyDescent="0.4">
      <c r="A69" s="113" t="s">
        <v>22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5"/>
    </row>
    <row r="70" spans="1:20" x14ac:dyDescent="0.25">
      <c r="A70" s="101" t="s">
        <v>9</v>
      </c>
      <c r="B70" s="102"/>
      <c r="C70" s="102"/>
      <c r="D70" s="102"/>
      <c r="E70" s="103"/>
      <c r="F70" s="104" t="s">
        <v>10</v>
      </c>
      <c r="G70" s="105"/>
      <c r="H70" s="105"/>
      <c r="I70" s="105"/>
      <c r="J70" s="116"/>
      <c r="K70" s="107" t="s">
        <v>11</v>
      </c>
      <c r="L70" s="108"/>
      <c r="M70" s="108"/>
      <c r="N70" s="108"/>
      <c r="O70" s="109"/>
      <c r="P70" s="110" t="s">
        <v>12</v>
      </c>
      <c r="Q70" s="111"/>
      <c r="R70" s="111"/>
      <c r="S70" s="111"/>
      <c r="T70" s="112"/>
    </row>
    <row r="71" spans="1:20" x14ac:dyDescent="0.25">
      <c r="A71" s="15" t="s">
        <v>1</v>
      </c>
      <c r="B71" s="16" t="s">
        <v>2</v>
      </c>
      <c r="C71" s="16" t="s">
        <v>14</v>
      </c>
      <c r="D71" s="16" t="s">
        <v>15</v>
      </c>
      <c r="E71" s="21" t="s">
        <v>13</v>
      </c>
      <c r="F71" s="34" t="s">
        <v>1</v>
      </c>
      <c r="G71" s="35" t="s">
        <v>2</v>
      </c>
      <c r="H71" s="36" t="s">
        <v>14</v>
      </c>
      <c r="I71" s="36" t="s">
        <v>15</v>
      </c>
      <c r="J71" s="48" t="s">
        <v>13</v>
      </c>
      <c r="K71" s="52" t="s">
        <v>1</v>
      </c>
      <c r="L71" s="51" t="s">
        <v>2</v>
      </c>
      <c r="M71" s="44" t="s">
        <v>14</v>
      </c>
      <c r="N71" s="44" t="s">
        <v>15</v>
      </c>
      <c r="O71" s="59" t="s">
        <v>13</v>
      </c>
      <c r="P71" s="60" t="s">
        <v>1</v>
      </c>
      <c r="Q71" s="61" t="s">
        <v>2</v>
      </c>
      <c r="R71" s="62" t="s">
        <v>14</v>
      </c>
      <c r="S71" s="62" t="s">
        <v>15</v>
      </c>
      <c r="T71" s="63" t="s">
        <v>13</v>
      </c>
    </row>
    <row r="72" spans="1:20" x14ac:dyDescent="0.25">
      <c r="A72" s="17">
        <v>5</v>
      </c>
      <c r="B72" s="11">
        <v>0</v>
      </c>
      <c r="C72" s="9">
        <v>0</v>
      </c>
      <c r="D72" s="9">
        <v>0</v>
      </c>
      <c r="E72" s="22">
        <f>100-0</f>
        <v>100</v>
      </c>
      <c r="F72" s="38">
        <v>5</v>
      </c>
      <c r="G72" s="13">
        <v>0</v>
      </c>
      <c r="H72" s="9">
        <v>0</v>
      </c>
      <c r="I72" s="9">
        <v>0</v>
      </c>
      <c r="J72" s="49">
        <f>100-0</f>
        <v>100</v>
      </c>
      <c r="K72" s="53">
        <v>5</v>
      </c>
      <c r="L72" s="11">
        <v>0</v>
      </c>
      <c r="M72" s="9">
        <v>0</v>
      </c>
      <c r="N72" s="9">
        <v>0</v>
      </c>
      <c r="O72" s="57">
        <f>100-0</f>
        <v>100</v>
      </c>
      <c r="P72" s="66">
        <v>5</v>
      </c>
      <c r="Q72" s="13">
        <v>0</v>
      </c>
      <c r="R72" s="9">
        <v>0</v>
      </c>
      <c r="S72" s="9">
        <v>0</v>
      </c>
      <c r="T72" s="68">
        <f>100-0</f>
        <v>100</v>
      </c>
    </row>
    <row r="73" spans="1:20" x14ac:dyDescent="0.25">
      <c r="A73" s="17">
        <v>1</v>
      </c>
      <c r="B73" s="13">
        <v>5.5227000000000004</v>
      </c>
      <c r="C73" s="10">
        <f>B73/$B$83*100</f>
        <v>27.570214762822371</v>
      </c>
      <c r="D73" s="10">
        <f>C73</f>
        <v>27.570214762822371</v>
      </c>
      <c r="E73" s="23">
        <f>100-D73</f>
        <v>72.429785237177626</v>
      </c>
      <c r="F73" s="39">
        <v>1</v>
      </c>
      <c r="G73" s="14">
        <v>2.9544000000000001</v>
      </c>
      <c r="H73" s="10">
        <f t="shared" ref="H73:H82" si="41">G73/$G$83*100</f>
        <v>19.830184246736248</v>
      </c>
      <c r="I73" s="10">
        <f>H73</f>
        <v>19.830184246736248</v>
      </c>
      <c r="J73" s="50">
        <f>100-I73</f>
        <v>80.169815753263748</v>
      </c>
      <c r="K73" s="53">
        <v>1</v>
      </c>
      <c r="L73" s="13">
        <v>2.3210000000000002</v>
      </c>
      <c r="M73" s="10">
        <f t="shared" ref="M73:M82" si="42">L73/$L$83*100</f>
        <v>20.203514941548214</v>
      </c>
      <c r="N73" s="10">
        <f>M73</f>
        <v>20.203514941548214</v>
      </c>
      <c r="O73" s="58">
        <f>100-N73</f>
        <v>79.796485058451793</v>
      </c>
      <c r="P73" s="66">
        <v>1</v>
      </c>
      <c r="Q73" s="13">
        <v>5.1473000000000004</v>
      </c>
      <c r="R73" s="10">
        <f>Q73/$Q$83*100</f>
        <v>30.31282757970861</v>
      </c>
      <c r="S73" s="10">
        <f>R73</f>
        <v>30.31282757970861</v>
      </c>
      <c r="T73" s="69">
        <f>100-S73</f>
        <v>69.68717242029139</v>
      </c>
    </row>
    <row r="74" spans="1:20" x14ac:dyDescent="0.25">
      <c r="A74" s="17">
        <v>0.85</v>
      </c>
      <c r="B74" s="13">
        <v>0.83430000000000004</v>
      </c>
      <c r="C74" s="10">
        <f t="shared" ref="C74:C82" si="43">B74/$B$83*100</f>
        <v>4.1649610112123963</v>
      </c>
      <c r="D74" s="10">
        <f>C74+D73</f>
        <v>31.735175774034765</v>
      </c>
      <c r="E74" s="23">
        <f t="shared" ref="E74:E81" si="44">100-D74</f>
        <v>68.264824225965242</v>
      </c>
      <c r="F74" s="39">
        <v>0.85</v>
      </c>
      <c r="G74" s="14">
        <f>3.6301-G73</f>
        <v>0.67569999999999997</v>
      </c>
      <c r="H74" s="10">
        <f t="shared" si="41"/>
        <v>4.5353559083129174</v>
      </c>
      <c r="I74" s="10">
        <f>H74+I73</f>
        <v>24.365540155049167</v>
      </c>
      <c r="J74" s="50">
        <f t="shared" ref="J74:J81" si="45">100-I74</f>
        <v>75.63445984495084</v>
      </c>
      <c r="K74" s="53">
        <v>0.85</v>
      </c>
      <c r="L74" s="13">
        <v>0.30020000000000002</v>
      </c>
      <c r="M74" s="10">
        <f t="shared" si="42"/>
        <v>2.6131388132067097</v>
      </c>
      <c r="N74" s="10">
        <f>M74+N73</f>
        <v>22.816653754754924</v>
      </c>
      <c r="O74" s="58">
        <f t="shared" ref="O74:O81" si="46">100-N74</f>
        <v>77.183346245245076</v>
      </c>
      <c r="P74" s="66">
        <v>0.85</v>
      </c>
      <c r="Q74" s="13">
        <v>1.1997</v>
      </c>
      <c r="R74" s="10">
        <f t="shared" ref="R74:R82" si="47">Q74/$Q$83*100</f>
        <v>7.0651213738030458</v>
      </c>
      <c r="S74" s="10">
        <f>R74+S73</f>
        <v>37.377948953511655</v>
      </c>
      <c r="T74" s="69">
        <f t="shared" ref="T74:T79" si="48">100-S74</f>
        <v>62.622051046488345</v>
      </c>
    </row>
    <row r="75" spans="1:20" x14ac:dyDescent="0.25">
      <c r="A75" s="17">
        <v>0.3</v>
      </c>
      <c r="B75" s="13">
        <v>4.7161999999999997</v>
      </c>
      <c r="C75" s="10">
        <f t="shared" si="43"/>
        <v>23.544035863693995</v>
      </c>
      <c r="D75" s="10">
        <f t="shared" ref="D75:D80" si="49">C75+D74</f>
        <v>55.279211637728764</v>
      </c>
      <c r="E75" s="23">
        <f t="shared" si="44"/>
        <v>44.720788362271236</v>
      </c>
      <c r="F75" s="39">
        <v>0.3</v>
      </c>
      <c r="G75" s="14">
        <v>3.8494999999999999</v>
      </c>
      <c r="H75" s="10">
        <f t="shared" si="41"/>
        <v>25.838171628016244</v>
      </c>
      <c r="I75" s="10">
        <f t="shared" ref="I75" si="50">H75+I74</f>
        <v>50.203711783065415</v>
      </c>
      <c r="J75" s="50">
        <f t="shared" si="45"/>
        <v>49.796288216934585</v>
      </c>
      <c r="K75" s="53">
        <v>0.3</v>
      </c>
      <c r="L75" s="13">
        <v>2.1646000000000001</v>
      </c>
      <c r="M75" s="10">
        <f t="shared" si="42"/>
        <v>18.842106179437852</v>
      </c>
      <c r="N75" s="10">
        <f t="shared" ref="N75" si="51">M75+N74</f>
        <v>41.658759934192773</v>
      </c>
      <c r="O75" s="58">
        <f t="shared" si="46"/>
        <v>58.341240065807227</v>
      </c>
      <c r="P75" s="66">
        <v>0.3</v>
      </c>
      <c r="Q75" s="13">
        <v>4.8338000000000001</v>
      </c>
      <c r="R75" s="10">
        <f t="shared" si="47"/>
        <v>28.466603064673805</v>
      </c>
      <c r="S75" s="10">
        <f>R75+S74</f>
        <v>65.844552018185453</v>
      </c>
      <c r="T75" s="69">
        <f t="shared" si="48"/>
        <v>34.155447981814547</v>
      </c>
    </row>
    <row r="76" spans="1:20" x14ac:dyDescent="0.25">
      <c r="A76" s="17">
        <v>0.25</v>
      </c>
      <c r="B76" s="13">
        <v>0.8831</v>
      </c>
      <c r="C76" s="10">
        <f t="shared" si="43"/>
        <v>4.4085785317052224</v>
      </c>
      <c r="D76" s="10">
        <f t="shared" si="49"/>
        <v>59.687790169433988</v>
      </c>
      <c r="E76" s="23">
        <f t="shared" si="44"/>
        <v>40.312209830566012</v>
      </c>
      <c r="F76" s="39">
        <v>0.25</v>
      </c>
      <c r="G76" s="14">
        <v>0.56040000000000001</v>
      </c>
      <c r="H76" s="10">
        <f t="shared" si="41"/>
        <v>3.7614524952176396</v>
      </c>
      <c r="I76" s="10">
        <f>H76+I75</f>
        <v>53.965164278283055</v>
      </c>
      <c r="J76" s="50">
        <f t="shared" si="45"/>
        <v>46.034835721716945</v>
      </c>
      <c r="K76" s="53">
        <v>0.25</v>
      </c>
      <c r="L76" s="13">
        <v>0.4405</v>
      </c>
      <c r="M76" s="10">
        <f t="shared" si="42"/>
        <v>3.8344025556880599</v>
      </c>
      <c r="N76" s="10">
        <f>M76+N75</f>
        <v>45.493162489880831</v>
      </c>
      <c r="O76" s="58">
        <f t="shared" si="46"/>
        <v>54.506837510119169</v>
      </c>
      <c r="P76" s="66">
        <v>0.25</v>
      </c>
      <c r="Q76" s="13">
        <v>0.46360000000000001</v>
      </c>
      <c r="R76" s="10">
        <f t="shared" si="47"/>
        <v>2.7301744343544989</v>
      </c>
      <c r="S76" s="10">
        <f>R76+S75</f>
        <v>68.574726452539949</v>
      </c>
      <c r="T76" s="69">
        <f>100-S76</f>
        <v>31.425273547460051</v>
      </c>
    </row>
    <row r="77" spans="1:20" x14ac:dyDescent="0.25">
      <c r="A77" s="17">
        <v>0.125</v>
      </c>
      <c r="B77" s="13">
        <v>2.6166</v>
      </c>
      <c r="C77" s="10">
        <f t="shared" si="43"/>
        <v>13.062491887736252</v>
      </c>
      <c r="D77" s="10">
        <f t="shared" si="49"/>
        <v>72.750282057170239</v>
      </c>
      <c r="E77" s="23">
        <f t="shared" si="44"/>
        <v>27.249717942829761</v>
      </c>
      <c r="F77" s="39">
        <v>0.125</v>
      </c>
      <c r="G77" s="14">
        <v>2.1566000000000001</v>
      </c>
      <c r="H77" s="10">
        <f t="shared" si="41"/>
        <v>14.475282746585227</v>
      </c>
      <c r="I77" s="10">
        <f t="shared" ref="I77:I80" si="52">H77+I76</f>
        <v>68.440447024868277</v>
      </c>
      <c r="J77" s="50">
        <f t="shared" si="45"/>
        <v>31.559552975131723</v>
      </c>
      <c r="K77" s="53">
        <v>0.125</v>
      </c>
      <c r="L77" s="13">
        <v>1.6255999999999999</v>
      </c>
      <c r="M77" s="10">
        <f t="shared" si="42"/>
        <v>14.150294652727604</v>
      </c>
      <c r="N77" s="10">
        <f t="shared" ref="N77:N80" si="53">M77+N76</f>
        <v>59.643457142608433</v>
      </c>
      <c r="O77" s="58">
        <f t="shared" si="46"/>
        <v>40.356542857391567</v>
      </c>
      <c r="P77" s="66">
        <v>0.125</v>
      </c>
      <c r="Q77" s="13">
        <v>1.5576000000000001</v>
      </c>
      <c r="R77" s="10">
        <f t="shared" si="47"/>
        <v>9.172820748383451</v>
      </c>
      <c r="S77" s="10">
        <f>R77+S76</f>
        <v>77.747547200923407</v>
      </c>
      <c r="T77" s="69">
        <f t="shared" si="48"/>
        <v>22.252452799076593</v>
      </c>
    </row>
    <row r="78" spans="1:20" x14ac:dyDescent="0.25">
      <c r="A78" s="17">
        <v>6.3E-2</v>
      </c>
      <c r="B78" s="13">
        <v>1.9884999999999999</v>
      </c>
      <c r="C78" s="10">
        <f t="shared" si="43"/>
        <v>9.9269147438521514</v>
      </c>
      <c r="D78" s="10">
        <f t="shared" si="49"/>
        <v>82.67719680102239</v>
      </c>
      <c r="E78" s="23">
        <f t="shared" si="44"/>
        <v>17.32280319897761</v>
      </c>
      <c r="F78" s="39">
        <v>6.3E-2</v>
      </c>
      <c r="G78" s="14">
        <v>1.9255</v>
      </c>
      <c r="H78" s="10">
        <f t="shared" si="41"/>
        <v>12.924119877840051</v>
      </c>
      <c r="I78" s="10">
        <f t="shared" si="52"/>
        <v>81.364566902708333</v>
      </c>
      <c r="J78" s="50">
        <f t="shared" si="45"/>
        <v>18.635433097291667</v>
      </c>
      <c r="K78" s="53">
        <v>6.3E-2</v>
      </c>
      <c r="L78" s="13">
        <v>1.5315000000000001</v>
      </c>
      <c r="M78" s="10">
        <f t="shared" si="42"/>
        <v>13.331186183964277</v>
      </c>
      <c r="N78" s="10">
        <f t="shared" si="53"/>
        <v>72.974643326572703</v>
      </c>
      <c r="O78" s="58">
        <f t="shared" si="46"/>
        <v>27.025356673427297</v>
      </c>
      <c r="P78" s="66">
        <v>6.3E-2</v>
      </c>
      <c r="Q78" s="71">
        <v>1.3786</v>
      </c>
      <c r="R78" s="10">
        <f t="shared" si="47"/>
        <v>8.1186766074225876</v>
      </c>
      <c r="S78" s="10">
        <f t="shared" ref="S78:S80" si="54">R78+S77</f>
        <v>85.866223808345993</v>
      </c>
      <c r="T78" s="69">
        <f t="shared" si="48"/>
        <v>14.133776191654007</v>
      </c>
    </row>
    <row r="79" spans="1:20" x14ac:dyDescent="0.25">
      <c r="A79" s="17">
        <v>5.2999999999999999E-2</v>
      </c>
      <c r="B79" s="13">
        <v>0.43930000000000002</v>
      </c>
      <c r="C79" s="10">
        <f t="shared" si="43"/>
        <v>2.1930569006659546</v>
      </c>
      <c r="D79" s="10">
        <f t="shared" si="49"/>
        <v>84.870253701688341</v>
      </c>
      <c r="E79" s="23">
        <f t="shared" si="44"/>
        <v>15.129746298311659</v>
      </c>
      <c r="F79" s="39">
        <v>5.2999999999999999E-2</v>
      </c>
      <c r="G79" s="14">
        <v>0.42230000000000001</v>
      </c>
      <c r="H79" s="10">
        <f t="shared" si="41"/>
        <v>2.8345135416317078</v>
      </c>
      <c r="I79" s="10">
        <f t="shared" si="52"/>
        <v>84.199080444340041</v>
      </c>
      <c r="J79" s="50">
        <f t="shared" si="45"/>
        <v>15.800919555659959</v>
      </c>
      <c r="K79" s="53">
        <v>5.2999999999999999E-2</v>
      </c>
      <c r="L79" s="13">
        <v>0.47299999999999998</v>
      </c>
      <c r="M79" s="10">
        <f t="shared" si="42"/>
        <v>4.1173039928273605</v>
      </c>
      <c r="N79" s="10">
        <f t="shared" si="53"/>
        <v>77.091947319400063</v>
      </c>
      <c r="O79" s="58">
        <f t="shared" si="46"/>
        <v>22.908052680599937</v>
      </c>
      <c r="P79" s="66">
        <v>5.2999999999999999E-2</v>
      </c>
      <c r="Q79" s="71">
        <v>0.35649999999999998</v>
      </c>
      <c r="R79" s="10">
        <f t="shared" si="47"/>
        <v>2.0994546718019387</v>
      </c>
      <c r="S79" s="10">
        <f t="shared" si="54"/>
        <v>87.965678480147929</v>
      </c>
      <c r="T79" s="69">
        <f t="shared" si="48"/>
        <v>12.034321519852071</v>
      </c>
    </row>
    <row r="80" spans="1:20" x14ac:dyDescent="0.25">
      <c r="A80" s="17">
        <v>3.7999999999999999E-2</v>
      </c>
      <c r="B80" s="13">
        <v>1.1314</v>
      </c>
      <c r="C80" s="10">
        <f t="shared" si="43"/>
        <v>5.6481324320816313</v>
      </c>
      <c r="D80" s="10">
        <f t="shared" si="49"/>
        <v>90.51838613376998</v>
      </c>
      <c r="E80" s="23">
        <f t="shared" si="44"/>
        <v>9.4816138662300204</v>
      </c>
      <c r="F80" s="39">
        <v>3.7999999999999999E-2</v>
      </c>
      <c r="G80" s="14">
        <v>1.1215999999999999</v>
      </c>
      <c r="H80" s="10">
        <f t="shared" si="41"/>
        <v>7.5282746585226699</v>
      </c>
      <c r="I80" s="10">
        <f t="shared" si="52"/>
        <v>91.727355102862717</v>
      </c>
      <c r="J80" s="50">
        <f>100-I80</f>
        <v>8.2726448971372832</v>
      </c>
      <c r="K80" s="53">
        <v>3.7999999999999999E-2</v>
      </c>
      <c r="L80" s="13">
        <v>1.3050999999999999</v>
      </c>
      <c r="M80" s="10">
        <f t="shared" si="42"/>
        <v>11.360451249553886</v>
      </c>
      <c r="N80" s="10">
        <f t="shared" si="53"/>
        <v>88.452398568953953</v>
      </c>
      <c r="O80" s="58">
        <f>100-N80</f>
        <v>11.547601431046047</v>
      </c>
      <c r="P80" s="66">
        <v>3.7999999999999999E-2</v>
      </c>
      <c r="Q80" s="13">
        <v>0.94550000000000001</v>
      </c>
      <c r="R80" s="10">
        <f t="shared" si="47"/>
        <v>5.5681189121703598</v>
      </c>
      <c r="S80" s="10">
        <f t="shared" si="54"/>
        <v>93.533797392318291</v>
      </c>
      <c r="T80" s="69">
        <f>100-S80</f>
        <v>6.4662026076817085</v>
      </c>
    </row>
    <row r="81" spans="1:20" x14ac:dyDescent="0.25">
      <c r="A81" s="17">
        <v>2.5000000000000001E-2</v>
      </c>
      <c r="B81" s="13">
        <v>1.3847</v>
      </c>
      <c r="C81" s="10">
        <f t="shared" si="43"/>
        <v>6.9126471439839454</v>
      </c>
      <c r="D81" s="10">
        <f>C81+D80</f>
        <v>97.431033277753926</v>
      </c>
      <c r="E81" s="23">
        <f t="shared" si="44"/>
        <v>2.5689667222460741</v>
      </c>
      <c r="F81" s="39">
        <v>2.5000000000000001E-2</v>
      </c>
      <c r="G81" s="14">
        <v>1.0942000000000001</v>
      </c>
      <c r="H81" s="10">
        <f t="shared" si="41"/>
        <v>7.3443635265295164</v>
      </c>
      <c r="I81" s="10">
        <f>H81+I80</f>
        <v>99.071718629392237</v>
      </c>
      <c r="J81" s="50">
        <f t="shared" si="45"/>
        <v>0.92828137060776328</v>
      </c>
      <c r="K81" s="53">
        <v>2.5000000000000001E-2</v>
      </c>
      <c r="L81" s="1">
        <v>1.0627</v>
      </c>
      <c r="M81" s="10">
        <f t="shared" si="42"/>
        <v>9.2504417614749173</v>
      </c>
      <c r="N81" s="10">
        <f>M81+N80</f>
        <v>97.70284033042887</v>
      </c>
      <c r="O81" s="58">
        <f t="shared" si="46"/>
        <v>2.2971596695711298</v>
      </c>
      <c r="P81" s="66">
        <v>2.5000000000000001E-2</v>
      </c>
      <c r="Q81" s="13">
        <v>0.84299999999999997</v>
      </c>
      <c r="R81" s="10">
        <f t="shared" si="47"/>
        <v>4.9644888873184696</v>
      </c>
      <c r="S81" s="10">
        <f>R81+S80</f>
        <v>98.498286279636758</v>
      </c>
      <c r="T81" s="69">
        <f>100-S81</f>
        <v>1.5017137203632416</v>
      </c>
    </row>
    <row r="82" spans="1:20" ht="15.75" thickBot="1" x14ac:dyDescent="0.3">
      <c r="A82" s="18" t="s">
        <v>4</v>
      </c>
      <c r="B82" s="12">
        <f>B83-B84</f>
        <v>0.51460000000000505</v>
      </c>
      <c r="C82" s="10">
        <f t="shared" si="43"/>
        <v>2.5689667222460986</v>
      </c>
      <c r="D82" s="10">
        <f>C82+D81</f>
        <v>100.00000000000003</v>
      </c>
      <c r="E82" s="23">
        <f>100-D82</f>
        <v>0</v>
      </c>
      <c r="F82" s="40" t="s">
        <v>4</v>
      </c>
      <c r="G82" s="31">
        <f>G83-G84</f>
        <v>0.1382999999999992</v>
      </c>
      <c r="H82" s="10">
        <f t="shared" si="41"/>
        <v>0.92828137060777394</v>
      </c>
      <c r="I82" s="10">
        <f>H82+I81</f>
        <v>100.00000000000001</v>
      </c>
      <c r="J82" s="50">
        <f>100-I82</f>
        <v>0</v>
      </c>
      <c r="K82" s="56" t="s">
        <v>4</v>
      </c>
      <c r="L82" s="31">
        <f>L83-L84</f>
        <v>0.26389999999999958</v>
      </c>
      <c r="M82" s="10">
        <f t="shared" si="42"/>
        <v>2.2971596695711178</v>
      </c>
      <c r="N82" s="10">
        <f>M82+N81</f>
        <v>99.999999999999986</v>
      </c>
      <c r="O82" s="58">
        <f>100-N82</f>
        <v>0</v>
      </c>
      <c r="P82" s="67" t="s">
        <v>4</v>
      </c>
      <c r="Q82" s="31">
        <f>Q83-Q84</f>
        <v>0.25499999999999545</v>
      </c>
      <c r="R82" s="10">
        <f t="shared" si="47"/>
        <v>1.5017137203632114</v>
      </c>
      <c r="S82" s="10">
        <f>R82+S81</f>
        <v>99.999999999999972</v>
      </c>
      <c r="T82" s="69">
        <f>100-S82</f>
        <v>0</v>
      </c>
    </row>
    <row r="83" spans="1:20" ht="15.75" thickBot="1" x14ac:dyDescent="0.3">
      <c r="A83" s="19" t="s">
        <v>3</v>
      </c>
      <c r="B83" s="20">
        <v>20.031400000000001</v>
      </c>
      <c r="C83" s="3"/>
      <c r="D83" s="3"/>
      <c r="E83" s="4"/>
      <c r="F83" s="32" t="s">
        <v>3</v>
      </c>
      <c r="G83" s="33">
        <v>14.8985</v>
      </c>
      <c r="K83" s="54" t="s">
        <v>3</v>
      </c>
      <c r="L83" s="55">
        <v>11.488099999999999</v>
      </c>
      <c r="P83" s="64" t="s">
        <v>3</v>
      </c>
      <c r="Q83" s="65">
        <v>16.980599999999999</v>
      </c>
      <c r="R83" s="70">
        <f>SUM(R73:R82)</f>
        <v>99.999999999999972</v>
      </c>
      <c r="T83" s="24"/>
    </row>
    <row r="84" spans="1:20" ht="15.75" thickBot="1" x14ac:dyDescent="0.3">
      <c r="A84" s="5"/>
      <c r="B84" s="30">
        <f>SUM(B73:B81)</f>
        <v>19.516799999999996</v>
      </c>
      <c r="C84" s="7"/>
      <c r="D84" s="6"/>
      <c r="E84" s="8"/>
      <c r="F84" s="25"/>
      <c r="G84" s="29">
        <f>SUM(G73:G81)</f>
        <v>14.760200000000001</v>
      </c>
      <c r="H84" s="27"/>
      <c r="I84" s="27"/>
      <c r="J84" s="27"/>
      <c r="K84" s="25"/>
      <c r="L84" s="26">
        <f>SUM(L73:L81)</f>
        <v>11.2242</v>
      </c>
      <c r="M84" s="27"/>
      <c r="N84" s="27"/>
      <c r="O84" s="27"/>
      <c r="P84" s="25"/>
      <c r="Q84" s="26">
        <f>SUM(Q73:Q81)</f>
        <v>16.725600000000004</v>
      </c>
      <c r="R84" s="27"/>
      <c r="S84" s="27"/>
      <c r="T84" s="28"/>
    </row>
    <row r="85" spans="1:20" ht="15.75" thickBot="1" x14ac:dyDescent="0.3"/>
    <row r="86" spans="1:20" ht="24" thickBot="1" x14ac:dyDescent="0.4">
      <c r="A86" s="113" t="s">
        <v>44</v>
      </c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5"/>
    </row>
    <row r="87" spans="1:20" x14ac:dyDescent="0.25">
      <c r="A87" s="101" t="s">
        <v>46</v>
      </c>
      <c r="B87" s="102"/>
      <c r="C87" s="102"/>
      <c r="D87" s="102"/>
      <c r="E87" s="103"/>
      <c r="F87" s="107" t="s">
        <v>47</v>
      </c>
      <c r="G87" s="108"/>
      <c r="H87" s="108"/>
      <c r="I87" s="108"/>
      <c r="J87" s="109"/>
      <c r="K87" s="110" t="s">
        <v>48</v>
      </c>
      <c r="L87" s="111"/>
      <c r="M87" s="111"/>
      <c r="N87" s="111"/>
      <c r="O87" s="112"/>
    </row>
    <row r="88" spans="1:20" x14ac:dyDescent="0.25">
      <c r="A88" s="15" t="s">
        <v>1</v>
      </c>
      <c r="B88" s="16" t="s">
        <v>2</v>
      </c>
      <c r="C88" s="16" t="s">
        <v>14</v>
      </c>
      <c r="D88" s="16" t="s">
        <v>15</v>
      </c>
      <c r="E88" s="21" t="s">
        <v>13</v>
      </c>
      <c r="F88" s="52" t="s">
        <v>1</v>
      </c>
      <c r="G88" s="51" t="s">
        <v>2</v>
      </c>
      <c r="H88" s="44" t="s">
        <v>14</v>
      </c>
      <c r="I88" s="44" t="s">
        <v>15</v>
      </c>
      <c r="J88" s="59" t="s">
        <v>13</v>
      </c>
      <c r="K88" s="60" t="s">
        <v>1</v>
      </c>
      <c r="L88" s="61" t="s">
        <v>2</v>
      </c>
      <c r="M88" s="62" t="s">
        <v>14</v>
      </c>
      <c r="N88" s="62" t="s">
        <v>15</v>
      </c>
      <c r="O88" s="63" t="s">
        <v>13</v>
      </c>
    </row>
    <row r="89" spans="1:20" x14ac:dyDescent="0.25">
      <c r="A89" s="17">
        <v>5</v>
      </c>
      <c r="B89" s="11">
        <v>0</v>
      </c>
      <c r="C89" s="9">
        <v>0</v>
      </c>
      <c r="D89" s="9">
        <v>0</v>
      </c>
      <c r="E89" s="22">
        <f>100-0</f>
        <v>100</v>
      </c>
      <c r="F89" s="53">
        <v>5</v>
      </c>
      <c r="G89" s="13">
        <v>0</v>
      </c>
      <c r="H89" s="9">
        <v>0</v>
      </c>
      <c r="I89" s="9">
        <v>0</v>
      </c>
      <c r="J89" s="57">
        <f>100-0</f>
        <v>100</v>
      </c>
      <c r="K89" s="66">
        <v>5</v>
      </c>
      <c r="L89" s="13">
        <v>0</v>
      </c>
      <c r="M89" s="9">
        <v>0</v>
      </c>
      <c r="N89" s="9">
        <v>0</v>
      </c>
      <c r="O89" s="68">
        <f>100-0</f>
        <v>100</v>
      </c>
    </row>
    <row r="90" spans="1:20" x14ac:dyDescent="0.25">
      <c r="A90" s="17">
        <v>1</v>
      </c>
      <c r="B90" s="10">
        <v>0.20150000000000001</v>
      </c>
      <c r="C90" s="10">
        <f>B90/$B$100*100</f>
        <v>1.6196447230929989</v>
      </c>
      <c r="D90" s="10">
        <f>C90</f>
        <v>1.6196447230929989</v>
      </c>
      <c r="E90" s="23">
        <f>100-D90</f>
        <v>98.380355276906997</v>
      </c>
      <c r="F90" s="53">
        <v>1</v>
      </c>
      <c r="G90" s="13">
        <v>1.1120000000000001</v>
      </c>
      <c r="H90" s="10">
        <f>G90/$G$100*100</f>
        <v>8.0516697077649386</v>
      </c>
      <c r="I90" s="10">
        <f>H90</f>
        <v>8.0516697077649386</v>
      </c>
      <c r="J90" s="58">
        <f>100-I90</f>
        <v>91.948330292235056</v>
      </c>
      <c r="K90" s="66">
        <v>1</v>
      </c>
      <c r="L90" s="13">
        <v>1.4484999999999999</v>
      </c>
      <c r="M90" s="10">
        <f>L90/$L$100*100</f>
        <v>10.632753431696395</v>
      </c>
      <c r="N90" s="10">
        <f>M90</f>
        <v>10.632753431696395</v>
      </c>
      <c r="O90" s="69">
        <f>100-N90</f>
        <v>89.367246568303599</v>
      </c>
    </row>
    <row r="91" spans="1:20" x14ac:dyDescent="0.25">
      <c r="A91" s="17">
        <v>0.85</v>
      </c>
      <c r="B91" s="10">
        <v>0.2109</v>
      </c>
      <c r="C91" s="10">
        <f t="shared" ref="C91:C99" si="55">B91/$B$100*100</f>
        <v>1.695201350373764</v>
      </c>
      <c r="D91" s="10">
        <f>C91+D90</f>
        <v>3.3148460734667626</v>
      </c>
      <c r="E91" s="23">
        <f t="shared" ref="E91:E98" si="56">100-D91</f>
        <v>96.685153926533232</v>
      </c>
      <c r="F91" s="53">
        <v>0.85</v>
      </c>
      <c r="G91" s="1">
        <v>0.34239999999999998</v>
      </c>
      <c r="H91" s="10">
        <f t="shared" ref="H91:H99" si="57">G91/$G$100*100</f>
        <v>2.4792191618153909</v>
      </c>
      <c r="I91" s="10">
        <f>H91+I90</f>
        <v>10.53088886958033</v>
      </c>
      <c r="J91" s="58">
        <f t="shared" ref="J91:J96" si="58">100-I91</f>
        <v>89.469111130419662</v>
      </c>
      <c r="K91" s="66">
        <v>0.85</v>
      </c>
      <c r="L91" s="13">
        <v>0.69889999999999997</v>
      </c>
      <c r="M91" s="10">
        <f t="shared" ref="M91:M99" si="59">L91/$L$100*100</f>
        <v>5.1302943551346987</v>
      </c>
      <c r="N91" s="10">
        <f>M91+N90</f>
        <v>15.763047786831095</v>
      </c>
      <c r="O91" s="69">
        <f t="shared" ref="O91:O92" si="60">100-N91</f>
        <v>84.236952213168905</v>
      </c>
    </row>
    <row r="92" spans="1:20" x14ac:dyDescent="0.25">
      <c r="A92" s="17">
        <v>0.3</v>
      </c>
      <c r="B92" s="10">
        <v>4.0464000000000002</v>
      </c>
      <c r="C92" s="10">
        <f t="shared" si="55"/>
        <v>32.524716662647698</v>
      </c>
      <c r="D92" s="10">
        <f t="shared" ref="D92:D97" si="61">C92+D91</f>
        <v>35.839562736114459</v>
      </c>
      <c r="E92" s="23">
        <f t="shared" si="56"/>
        <v>64.160437263885541</v>
      </c>
      <c r="F92" s="53">
        <v>0.3</v>
      </c>
      <c r="G92" s="14">
        <v>3.6827999999999999</v>
      </c>
      <c r="H92" s="10">
        <f t="shared" si="57"/>
        <v>26.666087409853155</v>
      </c>
      <c r="I92" s="10">
        <f t="shared" ref="I92" si="62">H92+I91</f>
        <v>37.196976279433486</v>
      </c>
      <c r="J92" s="58">
        <f t="shared" si="58"/>
        <v>62.803023720566514</v>
      </c>
      <c r="K92" s="66">
        <v>0.3</v>
      </c>
      <c r="L92" s="13">
        <v>4.9008000000000003</v>
      </c>
      <c r="M92" s="10">
        <f t="shared" si="59"/>
        <v>35.974454965866556</v>
      </c>
      <c r="N92" s="10">
        <f>M92+N91</f>
        <v>51.737502752697651</v>
      </c>
      <c r="O92" s="69">
        <f t="shared" si="60"/>
        <v>48.262497247302349</v>
      </c>
    </row>
    <row r="93" spans="1:20" x14ac:dyDescent="0.25">
      <c r="A93" s="17">
        <v>0.25</v>
      </c>
      <c r="B93" s="10">
        <v>0.80300000000000005</v>
      </c>
      <c r="C93" s="10">
        <f t="shared" si="55"/>
        <v>6.4544650751547303</v>
      </c>
      <c r="D93" s="10">
        <f t="shared" si="61"/>
        <v>42.294027811269189</v>
      </c>
      <c r="E93" s="23">
        <f t="shared" si="56"/>
        <v>57.705972188730811</v>
      </c>
      <c r="F93" s="53">
        <v>0.25</v>
      </c>
      <c r="G93" s="14">
        <v>0.94520000000000004</v>
      </c>
      <c r="H93" s="10">
        <f t="shared" si="57"/>
        <v>6.8439192516001972</v>
      </c>
      <c r="I93" s="10">
        <f>H93+I92</f>
        <v>44.040895531033684</v>
      </c>
      <c r="J93" s="58">
        <f t="shared" si="58"/>
        <v>55.959104468966316</v>
      </c>
      <c r="K93" s="66">
        <v>0.25</v>
      </c>
      <c r="L93" s="13">
        <v>0.75649999999999995</v>
      </c>
      <c r="M93" s="10">
        <f t="shared" si="59"/>
        <v>5.5531087132056083</v>
      </c>
      <c r="N93" s="10">
        <f>M93+N92</f>
        <v>57.290611465903261</v>
      </c>
      <c r="O93" s="69">
        <f>100-N93</f>
        <v>42.709388534096739</v>
      </c>
    </row>
    <row r="94" spans="1:20" x14ac:dyDescent="0.25">
      <c r="A94" s="17">
        <v>0.125</v>
      </c>
      <c r="B94" s="10">
        <v>2.6398999999999999</v>
      </c>
      <c r="C94" s="10">
        <f t="shared" si="55"/>
        <v>21.219355357286389</v>
      </c>
      <c r="D94" s="10">
        <f t="shared" si="61"/>
        <v>63.513383168555578</v>
      </c>
      <c r="E94" s="23">
        <f t="shared" si="56"/>
        <v>36.486616831444422</v>
      </c>
      <c r="F94" s="53">
        <v>0.125</v>
      </c>
      <c r="G94" s="14">
        <v>3.1995</v>
      </c>
      <c r="H94" s="10">
        <f t="shared" si="57"/>
        <v>23.166652185246328</v>
      </c>
      <c r="I94" s="10">
        <f t="shared" ref="I94:I97" si="63">H94+I93</f>
        <v>67.207547716280004</v>
      </c>
      <c r="J94" s="58">
        <f t="shared" si="58"/>
        <v>32.792452283719996</v>
      </c>
      <c r="K94" s="66">
        <v>0.125</v>
      </c>
      <c r="L94" s="13">
        <v>2.2109999999999999</v>
      </c>
      <c r="M94" s="10">
        <f t="shared" si="59"/>
        <v>16.229905307201058</v>
      </c>
      <c r="N94" s="10">
        <f>M94+N93</f>
        <v>73.520516773104319</v>
      </c>
      <c r="O94" s="69">
        <f t="shared" ref="O94:O96" si="64">100-N94</f>
        <v>26.479483226895681</v>
      </c>
    </row>
    <row r="95" spans="1:20" x14ac:dyDescent="0.25">
      <c r="A95" s="17">
        <v>6.3E-2</v>
      </c>
      <c r="B95" s="10">
        <v>2.1798999999999999</v>
      </c>
      <c r="C95" s="10">
        <f t="shared" si="55"/>
        <v>17.521903383972347</v>
      </c>
      <c r="D95" s="10">
        <f t="shared" si="61"/>
        <v>81.035286552527921</v>
      </c>
      <c r="E95" s="23">
        <f t="shared" si="56"/>
        <v>18.964713447472079</v>
      </c>
      <c r="F95" s="53">
        <v>6.3E-2</v>
      </c>
      <c r="G95" s="14">
        <v>2.0068000000000001</v>
      </c>
      <c r="H95" s="10">
        <f t="shared" si="57"/>
        <v>14.530657166854926</v>
      </c>
      <c r="I95" s="10">
        <f t="shared" si="63"/>
        <v>81.738204883134927</v>
      </c>
      <c r="J95" s="58">
        <f t="shared" si="58"/>
        <v>18.261795116865073</v>
      </c>
      <c r="K95" s="66">
        <v>6.3E-2</v>
      </c>
      <c r="L95" s="71">
        <v>1.3833</v>
      </c>
      <c r="M95" s="10">
        <f t="shared" si="59"/>
        <v>10.154151068046687</v>
      </c>
      <c r="N95" s="10">
        <f t="shared" ref="N95:N97" si="65">M95+N94</f>
        <v>83.674667841151006</v>
      </c>
      <c r="O95" s="69">
        <f t="shared" si="64"/>
        <v>16.325332158848994</v>
      </c>
    </row>
    <row r="96" spans="1:20" x14ac:dyDescent="0.25">
      <c r="A96" s="17">
        <v>5.2999999999999999E-2</v>
      </c>
      <c r="B96" s="10">
        <v>1.1087</v>
      </c>
      <c r="C96" s="10">
        <f t="shared" si="55"/>
        <v>8.9116630495940825</v>
      </c>
      <c r="D96" s="10">
        <f t="shared" si="61"/>
        <v>89.946949602122004</v>
      </c>
      <c r="E96" s="23">
        <f t="shared" si="56"/>
        <v>10.053050397877996</v>
      </c>
      <c r="F96" s="53">
        <v>5.2999999999999999E-2</v>
      </c>
      <c r="G96" s="14">
        <v>0.45240000000000002</v>
      </c>
      <c r="H96" s="10">
        <f t="shared" si="57"/>
        <v>3.2756972803892608</v>
      </c>
      <c r="I96" s="10">
        <f t="shared" si="63"/>
        <v>85.013902163524193</v>
      </c>
      <c r="J96" s="58">
        <f t="shared" si="58"/>
        <v>14.986097836475807</v>
      </c>
      <c r="K96" s="66">
        <v>5.2999999999999999E-2</v>
      </c>
      <c r="L96" s="71">
        <v>0.35060000000000002</v>
      </c>
      <c r="M96" s="10">
        <f t="shared" si="59"/>
        <v>2.5735887836746683</v>
      </c>
      <c r="N96" s="10">
        <f t="shared" si="65"/>
        <v>86.248256624825672</v>
      </c>
      <c r="O96" s="69">
        <f t="shared" si="64"/>
        <v>13.751743375174328</v>
      </c>
    </row>
    <row r="97" spans="1:20" x14ac:dyDescent="0.25">
      <c r="A97" s="17">
        <v>3.7999999999999999E-2</v>
      </c>
      <c r="B97" s="10">
        <v>0.91369999999999996</v>
      </c>
      <c r="C97" s="10">
        <f t="shared" si="55"/>
        <v>7.3442649304718266</v>
      </c>
      <c r="D97" s="10">
        <f t="shared" si="61"/>
        <v>97.291214532593827</v>
      </c>
      <c r="E97" s="23">
        <f t="shared" si="56"/>
        <v>2.7087854674061731</v>
      </c>
      <c r="F97" s="53">
        <v>3.7999999999999999E-2</v>
      </c>
      <c r="G97" s="14">
        <v>1.0019</v>
      </c>
      <c r="H97" s="10">
        <f t="shared" si="57"/>
        <v>7.2544675181741818</v>
      </c>
      <c r="I97" s="10">
        <f t="shared" si="63"/>
        <v>92.268369681698374</v>
      </c>
      <c r="J97" s="58">
        <f>100-I97</f>
        <v>7.7316303183016259</v>
      </c>
      <c r="K97" s="66">
        <v>3.7999999999999999E-2</v>
      </c>
      <c r="L97" s="13">
        <v>0.79449999999999998</v>
      </c>
      <c r="M97" s="10">
        <f t="shared" si="59"/>
        <v>5.8320487410996114</v>
      </c>
      <c r="N97" s="10">
        <f t="shared" si="65"/>
        <v>92.080305365925284</v>
      </c>
      <c r="O97" s="69">
        <f>100-N97</f>
        <v>7.9196946340747161</v>
      </c>
    </row>
    <row r="98" spans="1:20" x14ac:dyDescent="0.25">
      <c r="A98" s="17">
        <v>2.5000000000000001E-2</v>
      </c>
      <c r="B98" s="10">
        <v>0.24099999999999999</v>
      </c>
      <c r="C98" s="10">
        <f t="shared" si="55"/>
        <v>1.9371433164536611</v>
      </c>
      <c r="D98" s="10">
        <f>C98+D97</f>
        <v>99.228357849047484</v>
      </c>
      <c r="E98" s="23">
        <f t="shared" si="56"/>
        <v>0.7716421509525162</v>
      </c>
      <c r="F98" s="53">
        <v>2.5000000000000001E-2</v>
      </c>
      <c r="G98" s="14">
        <v>0.99199999999999999</v>
      </c>
      <c r="H98" s="10">
        <f t="shared" si="57"/>
        <v>7.1827844875025342</v>
      </c>
      <c r="I98" s="10">
        <f>H98+I97</f>
        <v>99.451154169200905</v>
      </c>
      <c r="J98" s="58">
        <f t="shared" ref="J98" si="66">100-I98</f>
        <v>0.54884583079909532</v>
      </c>
      <c r="K98" s="66">
        <v>2.5000000000000001E-2</v>
      </c>
      <c r="L98" s="13">
        <v>0.84079999999999999</v>
      </c>
      <c r="M98" s="10">
        <f t="shared" si="59"/>
        <v>6.1719151435073041</v>
      </c>
      <c r="N98" s="10">
        <f>M98+N97</f>
        <v>98.25222050943259</v>
      </c>
      <c r="O98" s="69">
        <f>100-N98</f>
        <v>1.7477794905674102</v>
      </c>
    </row>
    <row r="99" spans="1:20" ht="15.75" thickBot="1" x14ac:dyDescent="0.3">
      <c r="A99" s="18" t="s">
        <v>4</v>
      </c>
      <c r="B99" s="96">
        <f>B100-B101</f>
        <v>9.6000000000000085E-2</v>
      </c>
      <c r="C99" s="10">
        <f t="shared" si="55"/>
        <v>0.77164215095249644</v>
      </c>
      <c r="D99" s="10">
        <f>C99+D98</f>
        <v>99.999999999999986</v>
      </c>
      <c r="E99" s="23">
        <f>100-D99</f>
        <v>0</v>
      </c>
      <c r="F99" s="56" t="s">
        <v>4</v>
      </c>
      <c r="G99" s="31">
        <f>G100-G101</f>
        <v>7.5799999999997425E-2</v>
      </c>
      <c r="H99" s="10">
        <f t="shared" si="57"/>
        <v>0.54884583079906613</v>
      </c>
      <c r="I99" s="10">
        <f>H99+I98</f>
        <v>99.999999999999972</v>
      </c>
      <c r="J99" s="58">
        <f>100-I99</f>
        <v>0</v>
      </c>
      <c r="K99" s="67" t="s">
        <v>4</v>
      </c>
      <c r="L99" s="31">
        <f>L100-L101</f>
        <v>0.23810000000000109</v>
      </c>
      <c r="M99" s="10">
        <f t="shared" si="59"/>
        <v>1.7477794905674309</v>
      </c>
      <c r="N99" s="10">
        <f>M99+N98</f>
        <v>100.00000000000001</v>
      </c>
      <c r="O99" s="69">
        <f>100-N99</f>
        <v>0</v>
      </c>
    </row>
    <row r="100" spans="1:20" ht="15.75" thickBot="1" x14ac:dyDescent="0.3">
      <c r="A100" s="19" t="s">
        <v>3</v>
      </c>
      <c r="B100" s="20">
        <v>12.441000000000001</v>
      </c>
      <c r="C100" s="3"/>
      <c r="D100" s="3"/>
      <c r="E100" s="4"/>
      <c r="F100" s="54" t="s">
        <v>3</v>
      </c>
      <c r="G100" s="55">
        <v>13.8108</v>
      </c>
      <c r="K100" s="64" t="s">
        <v>3</v>
      </c>
      <c r="L100" s="65">
        <v>13.622999999999999</v>
      </c>
      <c r="M100" s="70">
        <f>SUM(M90:M99)</f>
        <v>100.00000000000001</v>
      </c>
      <c r="O100" s="24"/>
    </row>
    <row r="101" spans="1:20" ht="15.75" thickBot="1" x14ac:dyDescent="0.3">
      <c r="A101" s="5"/>
      <c r="B101" s="73">
        <f>SUM(B90:B98)</f>
        <v>12.345000000000001</v>
      </c>
      <c r="C101" s="7"/>
      <c r="D101" s="6"/>
      <c r="E101" s="8"/>
      <c r="F101" s="25"/>
      <c r="G101" s="26">
        <f>SUM(G90:G98)</f>
        <v>13.735000000000003</v>
      </c>
      <c r="H101" s="27"/>
      <c r="I101" s="27"/>
      <c r="J101" s="27"/>
      <c r="K101" s="25"/>
      <c r="L101" s="26">
        <f>SUM(L90:L98)</f>
        <v>13.384899999999998</v>
      </c>
      <c r="M101" s="27"/>
      <c r="N101" s="27"/>
      <c r="O101" s="28"/>
    </row>
    <row r="102" spans="1:20" ht="15.75" thickBot="1" x14ac:dyDescent="0.3">
      <c r="A102" s="1"/>
      <c r="B102" s="1"/>
      <c r="C102" s="1"/>
      <c r="D102" s="1"/>
      <c r="E102" s="1"/>
      <c r="F102" s="1"/>
      <c r="G102" s="1"/>
      <c r="H102" s="1"/>
    </row>
    <row r="103" spans="1:20" ht="24" thickBot="1" x14ac:dyDescent="0.4">
      <c r="A103" s="113" t="s">
        <v>45</v>
      </c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5"/>
    </row>
    <row r="104" spans="1:20" x14ac:dyDescent="0.25">
      <c r="A104" s="101" t="s">
        <v>49</v>
      </c>
      <c r="B104" s="102"/>
      <c r="C104" s="102"/>
      <c r="D104" s="102"/>
      <c r="E104" s="103"/>
      <c r="F104" s="104" t="s">
        <v>50</v>
      </c>
      <c r="G104" s="105"/>
      <c r="H104" s="105"/>
      <c r="I104" s="105"/>
      <c r="J104" s="106"/>
      <c r="K104" s="107" t="s">
        <v>51</v>
      </c>
      <c r="L104" s="108"/>
      <c r="M104" s="108"/>
      <c r="N104" s="108"/>
      <c r="O104" s="109"/>
      <c r="P104" s="110" t="s">
        <v>52</v>
      </c>
      <c r="Q104" s="111"/>
      <c r="R104" s="111"/>
      <c r="S104" s="111"/>
      <c r="T104" s="112"/>
    </row>
    <row r="105" spans="1:20" x14ac:dyDescent="0.25">
      <c r="A105" s="15" t="s">
        <v>1</v>
      </c>
      <c r="B105" s="16" t="s">
        <v>2</v>
      </c>
      <c r="C105" s="16" t="s">
        <v>14</v>
      </c>
      <c r="D105" s="16" t="s">
        <v>15</v>
      </c>
      <c r="E105" s="21" t="s">
        <v>13</v>
      </c>
      <c r="F105" s="34" t="s">
        <v>1</v>
      </c>
      <c r="G105" s="35" t="s">
        <v>2</v>
      </c>
      <c r="H105" s="36" t="s">
        <v>14</v>
      </c>
      <c r="I105" s="36" t="s">
        <v>15</v>
      </c>
      <c r="J105" s="37" t="s">
        <v>13</v>
      </c>
      <c r="K105" s="52" t="s">
        <v>1</v>
      </c>
      <c r="L105" s="51" t="s">
        <v>2</v>
      </c>
      <c r="M105" s="44" t="s">
        <v>14</v>
      </c>
      <c r="N105" s="44" t="s">
        <v>15</v>
      </c>
      <c r="O105" s="59" t="s">
        <v>13</v>
      </c>
      <c r="P105" s="60" t="s">
        <v>1</v>
      </c>
      <c r="Q105" s="61" t="s">
        <v>2</v>
      </c>
      <c r="R105" s="62" t="s">
        <v>14</v>
      </c>
      <c r="S105" s="62" t="s">
        <v>15</v>
      </c>
      <c r="T105" s="63" t="s">
        <v>13</v>
      </c>
    </row>
    <row r="106" spans="1:20" x14ac:dyDescent="0.25">
      <c r="A106" s="17">
        <v>5</v>
      </c>
      <c r="B106" s="11"/>
      <c r="C106" s="9">
        <v>0</v>
      </c>
      <c r="D106" s="9">
        <v>0</v>
      </c>
      <c r="E106" s="22">
        <f>100-0</f>
        <v>100</v>
      </c>
      <c r="F106" s="38">
        <v>5</v>
      </c>
      <c r="G106" s="11">
        <v>0</v>
      </c>
      <c r="H106" s="9">
        <v>0</v>
      </c>
      <c r="I106" s="9">
        <v>0</v>
      </c>
      <c r="J106" s="41">
        <f>100-0</f>
        <v>100</v>
      </c>
      <c r="K106" s="53">
        <v>5</v>
      </c>
      <c r="L106" s="13">
        <v>0</v>
      </c>
      <c r="M106" s="9">
        <v>0</v>
      </c>
      <c r="N106" s="9">
        <v>0</v>
      </c>
      <c r="O106" s="57">
        <f>100-0</f>
        <v>100</v>
      </c>
      <c r="P106" s="66">
        <v>5</v>
      </c>
      <c r="Q106" s="13">
        <v>0</v>
      </c>
      <c r="R106" s="9">
        <v>0</v>
      </c>
      <c r="S106" s="9">
        <v>0</v>
      </c>
      <c r="T106" s="68">
        <f>100-0</f>
        <v>100</v>
      </c>
    </row>
    <row r="107" spans="1:20" x14ac:dyDescent="0.25">
      <c r="A107" s="17">
        <v>1</v>
      </c>
      <c r="B107" s="13"/>
      <c r="C107" s="10" t="e">
        <f>B107/$B$117*100</f>
        <v>#DIV/0!</v>
      </c>
      <c r="D107" s="10" t="e">
        <f>C107</f>
        <v>#DIV/0!</v>
      </c>
      <c r="E107" s="23" t="e">
        <f>100-D107</f>
        <v>#DIV/0!</v>
      </c>
      <c r="F107" s="39">
        <v>1</v>
      </c>
      <c r="G107" s="13">
        <v>2.3313999999999999</v>
      </c>
      <c r="H107" s="10">
        <f>G107/$G$117*100</f>
        <v>13.209214835295585</v>
      </c>
      <c r="I107" s="10">
        <f>H107</f>
        <v>13.209214835295585</v>
      </c>
      <c r="J107" s="42">
        <f>100-I107</f>
        <v>86.790785164704417</v>
      </c>
      <c r="K107" s="53">
        <v>1</v>
      </c>
      <c r="L107" s="14">
        <v>0.55530000000000002</v>
      </c>
      <c r="M107" s="10">
        <f>L107/$L$117*100</f>
        <v>6.2907830342577489</v>
      </c>
      <c r="N107" s="10">
        <f>M107</f>
        <v>6.2907830342577489</v>
      </c>
      <c r="O107" s="58">
        <f>100-N107</f>
        <v>93.709216965742257</v>
      </c>
      <c r="P107" s="66">
        <v>1</v>
      </c>
      <c r="Q107" s="13">
        <v>5.6066000000000003</v>
      </c>
      <c r="R107" s="10">
        <f>Q107/$Q$117*100</f>
        <v>37.236084452975049</v>
      </c>
      <c r="S107" s="10">
        <f>R107</f>
        <v>37.236084452975049</v>
      </c>
      <c r="T107" s="69">
        <f>100-S107</f>
        <v>62.763915547024951</v>
      </c>
    </row>
    <row r="108" spans="1:20" x14ac:dyDescent="0.25">
      <c r="A108" s="17">
        <v>0.85</v>
      </c>
      <c r="B108" s="13"/>
      <c r="C108" s="10" t="e">
        <f t="shared" ref="C108:C116" si="67">B108/$B$117*100</f>
        <v>#DIV/0!</v>
      </c>
      <c r="D108" s="10" t="e">
        <f>C108+D107</f>
        <v>#DIV/0!</v>
      </c>
      <c r="E108" s="23" t="e">
        <f t="shared" ref="E108:E115" si="68">100-D108</f>
        <v>#DIV/0!</v>
      </c>
      <c r="F108" s="39">
        <v>0.85</v>
      </c>
      <c r="G108" s="13">
        <v>1.1806000000000001</v>
      </c>
      <c r="H108" s="10">
        <f t="shared" ref="H108:H116" si="69">G108/$G$117*100</f>
        <v>6.6890276377069444</v>
      </c>
      <c r="I108" s="10">
        <f>H108+I107</f>
        <v>19.898242473002529</v>
      </c>
      <c r="J108" s="42">
        <f t="shared" ref="J108:J113" si="70">100-I108</f>
        <v>80.101757526997474</v>
      </c>
      <c r="K108" s="53">
        <v>0.85</v>
      </c>
      <c r="L108" s="14">
        <v>0.2319</v>
      </c>
      <c r="M108" s="10">
        <f t="shared" ref="M108:M116" si="71">L108/$L$117*100</f>
        <v>2.6271071234366508</v>
      </c>
      <c r="N108" s="10">
        <f>M108+N107</f>
        <v>8.9178901576943996</v>
      </c>
      <c r="O108" s="58">
        <f t="shared" ref="O108:O113" si="72">100-N108</f>
        <v>91.082109842305599</v>
      </c>
      <c r="P108" s="66">
        <v>0.85</v>
      </c>
      <c r="Q108" s="13">
        <v>0.70089999999999997</v>
      </c>
      <c r="R108" s="10">
        <f t="shared" ref="R108:R116" si="73">Q108/$Q$117*100</f>
        <v>4.655008667122714</v>
      </c>
      <c r="S108" s="10">
        <f>R108+S107</f>
        <v>41.891093120097764</v>
      </c>
      <c r="T108" s="69">
        <f t="shared" ref="T108:T109" si="74">100-S108</f>
        <v>58.108906879902236</v>
      </c>
    </row>
    <row r="109" spans="1:20" x14ac:dyDescent="0.25">
      <c r="A109" s="17">
        <v>0.3</v>
      </c>
      <c r="B109" s="13"/>
      <c r="C109" s="10" t="e">
        <f t="shared" si="67"/>
        <v>#DIV/0!</v>
      </c>
      <c r="D109" s="10" t="e">
        <f t="shared" ref="D109:D114" si="75">C109+D108</f>
        <v>#DIV/0!</v>
      </c>
      <c r="E109" s="23" t="e">
        <f t="shared" si="68"/>
        <v>#DIV/0!</v>
      </c>
      <c r="F109" s="39">
        <v>0.3</v>
      </c>
      <c r="G109" s="13">
        <v>6.8517000000000001</v>
      </c>
      <c r="H109" s="10">
        <f t="shared" si="69"/>
        <v>38.820269918072732</v>
      </c>
      <c r="I109" s="10">
        <f t="shared" ref="I109" si="76">H109+I108</f>
        <v>58.718512391075265</v>
      </c>
      <c r="J109" s="42">
        <f t="shared" si="70"/>
        <v>41.281487608924735</v>
      </c>
      <c r="K109" s="53">
        <v>0.3</v>
      </c>
      <c r="L109" s="14">
        <v>2.2936000000000001</v>
      </c>
      <c r="M109" s="10">
        <f t="shared" si="71"/>
        <v>25.983324270436835</v>
      </c>
      <c r="N109" s="10">
        <f t="shared" ref="N109" si="77">M109+N108</f>
        <v>34.901214428131233</v>
      </c>
      <c r="O109" s="58">
        <f t="shared" si="72"/>
        <v>65.098785571868774</v>
      </c>
      <c r="P109" s="66">
        <v>0.3</v>
      </c>
      <c r="Q109" s="13">
        <v>3.9556</v>
      </c>
      <c r="R109" s="10">
        <f t="shared" si="73"/>
        <v>26.271011961293496</v>
      </c>
      <c r="S109" s="10">
        <f>R109+S108</f>
        <v>68.16210508139126</v>
      </c>
      <c r="T109" s="69">
        <f t="shared" si="74"/>
        <v>31.83789491860874</v>
      </c>
    </row>
    <row r="110" spans="1:20" x14ac:dyDescent="0.25">
      <c r="A110" s="17">
        <v>0.25</v>
      </c>
      <c r="B110" s="13"/>
      <c r="C110" s="10" t="e">
        <f t="shared" si="67"/>
        <v>#DIV/0!</v>
      </c>
      <c r="D110" s="10" t="e">
        <f t="shared" si="75"/>
        <v>#DIV/0!</v>
      </c>
      <c r="E110" s="23" t="e">
        <f t="shared" si="68"/>
        <v>#DIV/0!</v>
      </c>
      <c r="F110" s="39">
        <v>0.25</v>
      </c>
      <c r="G110" s="13">
        <v>0.69350000000000001</v>
      </c>
      <c r="H110" s="10">
        <f t="shared" si="69"/>
        <v>3.9292229940282613</v>
      </c>
      <c r="I110" s="10">
        <f>H110+I109</f>
        <v>62.647735385103523</v>
      </c>
      <c r="J110" s="42">
        <f t="shared" si="70"/>
        <v>37.352264614896477</v>
      </c>
      <c r="K110" s="53">
        <v>0.25</v>
      </c>
      <c r="L110" s="14">
        <v>0.40710000000000002</v>
      </c>
      <c r="M110" s="10">
        <f t="shared" si="71"/>
        <v>4.6118814573137579</v>
      </c>
      <c r="N110" s="10">
        <f>M110+N109</f>
        <v>39.51309588544499</v>
      </c>
      <c r="O110" s="58">
        <f t="shared" si="72"/>
        <v>60.48690411455501</v>
      </c>
      <c r="P110" s="66">
        <v>0.25</v>
      </c>
      <c r="Q110" s="13">
        <v>0.52710000000000001</v>
      </c>
      <c r="R110" s="10">
        <f t="shared" si="73"/>
        <v>3.5007205998578725</v>
      </c>
      <c r="S110" s="10">
        <f>R110+S109</f>
        <v>71.662825681249132</v>
      </c>
      <c r="T110" s="69">
        <f>100-S110</f>
        <v>28.337174318750868</v>
      </c>
    </row>
    <row r="111" spans="1:20" x14ac:dyDescent="0.25">
      <c r="A111" s="17">
        <v>0.125</v>
      </c>
      <c r="B111" s="13"/>
      <c r="C111" s="10" t="e">
        <f t="shared" si="67"/>
        <v>#DIV/0!</v>
      </c>
      <c r="D111" s="10" t="e">
        <f t="shared" si="75"/>
        <v>#DIV/0!</v>
      </c>
      <c r="E111" s="23" t="e">
        <f t="shared" si="68"/>
        <v>#DIV/0!</v>
      </c>
      <c r="F111" s="39">
        <v>0.125</v>
      </c>
      <c r="G111" s="13">
        <v>1.9923</v>
      </c>
      <c r="H111" s="10">
        <f t="shared" si="69"/>
        <v>11.28794660562726</v>
      </c>
      <c r="I111" s="10">
        <f t="shared" ref="I111:I114" si="78">H111+I110</f>
        <v>73.935681990730785</v>
      </c>
      <c r="J111" s="42">
        <f t="shared" si="70"/>
        <v>26.064318009269215</v>
      </c>
      <c r="K111" s="53">
        <v>0.125</v>
      </c>
      <c r="L111" s="14">
        <v>1.5251999999999999</v>
      </c>
      <c r="M111" s="10">
        <f t="shared" si="71"/>
        <v>17.278412180532897</v>
      </c>
      <c r="N111" s="10">
        <f t="shared" ref="N111:N114" si="79">M111+N110</f>
        <v>56.791508065977887</v>
      </c>
      <c r="O111" s="58">
        <f t="shared" si="72"/>
        <v>43.208491934022113</v>
      </c>
      <c r="P111" s="66">
        <v>0.125</v>
      </c>
      <c r="Q111" s="13">
        <v>1.3781000000000001</v>
      </c>
      <c r="R111" s="10">
        <f t="shared" si="73"/>
        <v>9.1526144159820433</v>
      </c>
      <c r="S111" s="10">
        <f>R111+S110</f>
        <v>80.815440097231175</v>
      </c>
      <c r="T111" s="69">
        <f t="shared" ref="T111:T113" si="80">100-S111</f>
        <v>19.184559902768825</v>
      </c>
    </row>
    <row r="112" spans="1:20" x14ac:dyDescent="0.25">
      <c r="A112" s="17">
        <v>6.3E-2</v>
      </c>
      <c r="B112" s="13"/>
      <c r="C112" s="10" t="e">
        <f t="shared" si="67"/>
        <v>#DIV/0!</v>
      </c>
      <c r="D112" s="10" t="e">
        <f t="shared" si="75"/>
        <v>#DIV/0!</v>
      </c>
      <c r="E112" s="23" t="e">
        <f t="shared" si="68"/>
        <v>#DIV/0!</v>
      </c>
      <c r="F112" s="39">
        <v>6.3E-2</v>
      </c>
      <c r="G112" s="13">
        <v>1.5564</v>
      </c>
      <c r="H112" s="10">
        <f t="shared" si="69"/>
        <v>8.8182302349035133</v>
      </c>
      <c r="I112" s="10">
        <f t="shared" si="78"/>
        <v>82.753912225634295</v>
      </c>
      <c r="J112" s="42">
        <f t="shared" si="70"/>
        <v>17.246087774365705</v>
      </c>
      <c r="K112" s="53">
        <v>6.3E-2</v>
      </c>
      <c r="L112" s="14">
        <v>1.3475999999999999</v>
      </c>
      <c r="M112" s="10">
        <f t="shared" si="71"/>
        <v>15.266449157150625</v>
      </c>
      <c r="N112" s="10">
        <f t="shared" si="79"/>
        <v>72.057957223128511</v>
      </c>
      <c r="O112" s="58">
        <f t="shared" si="72"/>
        <v>27.942042776871489</v>
      </c>
      <c r="P112" s="66">
        <v>6.3E-2</v>
      </c>
      <c r="Q112" s="71">
        <v>0.96360000000000001</v>
      </c>
      <c r="R112" s="10">
        <f t="shared" si="73"/>
        <v>6.3997237147088715</v>
      </c>
      <c r="S112" s="10">
        <f t="shared" ref="S112:S114" si="81">R112+S111</f>
        <v>87.215163811940045</v>
      </c>
      <c r="T112" s="69">
        <f t="shared" si="80"/>
        <v>12.784836188059955</v>
      </c>
    </row>
    <row r="113" spans="1:20" x14ac:dyDescent="0.25">
      <c r="A113" s="17">
        <v>5.2999999999999999E-2</v>
      </c>
      <c r="B113" s="13"/>
      <c r="C113" s="10" t="e">
        <f t="shared" si="67"/>
        <v>#DIV/0!</v>
      </c>
      <c r="D113" s="10" t="e">
        <f t="shared" si="75"/>
        <v>#DIV/0!</v>
      </c>
      <c r="E113" s="23" t="e">
        <f t="shared" si="68"/>
        <v>#DIV/0!</v>
      </c>
      <c r="F113" s="39">
        <v>5.2999999999999999E-2</v>
      </c>
      <c r="G113" s="13">
        <v>0.39500000000000002</v>
      </c>
      <c r="H113" s="10">
        <f t="shared" si="69"/>
        <v>2.2379856995546694</v>
      </c>
      <c r="I113" s="10">
        <f t="shared" si="78"/>
        <v>84.991897925188965</v>
      </c>
      <c r="J113" s="42">
        <f t="shared" si="70"/>
        <v>15.008102074811035</v>
      </c>
      <c r="K113" s="53">
        <v>5.2999999999999999E-2</v>
      </c>
      <c r="L113" s="14">
        <v>0.373</v>
      </c>
      <c r="M113" s="10">
        <f t="shared" si="71"/>
        <v>4.2255754939278596</v>
      </c>
      <c r="N113" s="10">
        <f t="shared" si="79"/>
        <v>76.283532717056374</v>
      </c>
      <c r="O113" s="58">
        <f t="shared" si="72"/>
        <v>23.716467282943626</v>
      </c>
      <c r="P113" s="66">
        <v>5.2999999999999999E-2</v>
      </c>
      <c r="Q113" s="71">
        <v>0.2949</v>
      </c>
      <c r="R113" s="10">
        <f>Q113/$Q$117*100</f>
        <v>1.9585704892773412</v>
      </c>
      <c r="S113" s="10">
        <f t="shared" si="81"/>
        <v>89.17373430121738</v>
      </c>
      <c r="T113" s="69">
        <f t="shared" si="80"/>
        <v>10.82626569878262</v>
      </c>
    </row>
    <row r="114" spans="1:20" x14ac:dyDescent="0.25">
      <c r="A114" s="17">
        <v>3.7999999999999999E-2</v>
      </c>
      <c r="B114" s="13"/>
      <c r="C114" s="10" t="e">
        <f t="shared" si="67"/>
        <v>#DIV/0!</v>
      </c>
      <c r="D114" s="10" t="e">
        <f t="shared" si="75"/>
        <v>#DIV/0!</v>
      </c>
      <c r="E114" s="23" t="e">
        <f t="shared" si="68"/>
        <v>#DIV/0!</v>
      </c>
      <c r="F114" s="39">
        <v>3.7999999999999999E-2</v>
      </c>
      <c r="G114" s="13">
        <v>1.1064000000000001</v>
      </c>
      <c r="H114" s="10">
        <f t="shared" si="69"/>
        <v>6.268626273385534</v>
      </c>
      <c r="I114" s="10">
        <f t="shared" si="78"/>
        <v>91.260524198574501</v>
      </c>
      <c r="J114" s="42">
        <f>100-I114</f>
        <v>8.739475801425499</v>
      </c>
      <c r="K114" s="53">
        <v>3.7999999999999999E-2</v>
      </c>
      <c r="L114" s="14">
        <v>0.92179999999999995</v>
      </c>
      <c r="M114" s="10">
        <f t="shared" si="71"/>
        <v>10.442722494109118</v>
      </c>
      <c r="N114" s="10">
        <f t="shared" si="79"/>
        <v>86.726255211165494</v>
      </c>
      <c r="O114" s="58">
        <f>100-N114</f>
        <v>13.273744788834506</v>
      </c>
      <c r="P114" s="66">
        <v>3.7999999999999999E-2</v>
      </c>
      <c r="Q114" s="13">
        <v>0.64200000000000002</v>
      </c>
      <c r="R114" s="10">
        <f t="shared" si="73"/>
        <v>4.2638258871348018</v>
      </c>
      <c r="S114" s="10">
        <f t="shared" si="81"/>
        <v>93.43756018835218</v>
      </c>
      <c r="T114" s="69">
        <f>100-S114</f>
        <v>6.5624398116478204</v>
      </c>
    </row>
    <row r="115" spans="1:20" x14ac:dyDescent="0.25">
      <c r="A115" s="17">
        <v>2.5000000000000001E-2</v>
      </c>
      <c r="B115" s="13"/>
      <c r="C115" s="10" t="e">
        <f t="shared" si="67"/>
        <v>#DIV/0!</v>
      </c>
      <c r="D115" s="10" t="e">
        <f>C115+D114</f>
        <v>#DIV/0!</v>
      </c>
      <c r="E115" s="23" t="e">
        <f t="shared" si="68"/>
        <v>#DIV/0!</v>
      </c>
      <c r="F115" s="39">
        <v>2.5000000000000001E-2</v>
      </c>
      <c r="G115" s="1">
        <v>1.4730000000000001</v>
      </c>
      <c r="H115" s="10">
        <f t="shared" si="69"/>
        <v>8.3457036340355142</v>
      </c>
      <c r="I115" s="10">
        <f>H115+I114</f>
        <v>99.606227832610017</v>
      </c>
      <c r="J115" s="42">
        <f t="shared" ref="J115" si="82">100-I115</f>
        <v>0.393772167389983</v>
      </c>
      <c r="K115" s="53">
        <v>2.5000000000000001E-2</v>
      </c>
      <c r="L115" s="14">
        <v>1.0821000000000001</v>
      </c>
      <c r="M115" s="10">
        <f>L115/$L$117*100</f>
        <v>12.258700380641654</v>
      </c>
      <c r="N115" s="10">
        <f>M115+N114</f>
        <v>98.98495559180715</v>
      </c>
      <c r="O115" s="58">
        <f t="shared" ref="O115" si="83">100-N115</f>
        <v>1.0150444081928498</v>
      </c>
      <c r="P115" s="66">
        <v>2.5000000000000001E-2</v>
      </c>
      <c r="Q115" s="13">
        <v>0.64470000000000005</v>
      </c>
      <c r="R115" s="10">
        <f t="shared" si="73"/>
        <v>4.2817578651648081</v>
      </c>
      <c r="S115" s="10">
        <f>R115+S114</f>
        <v>97.719318053516986</v>
      </c>
      <c r="T115" s="69">
        <f>100-S115</f>
        <v>2.2806819464830141</v>
      </c>
    </row>
    <row r="116" spans="1:20" ht="15.75" thickBot="1" x14ac:dyDescent="0.3">
      <c r="A116" s="18" t="s">
        <v>4</v>
      </c>
      <c r="B116" s="12"/>
      <c r="C116" s="10" t="e">
        <f t="shared" si="67"/>
        <v>#DIV/0!</v>
      </c>
      <c r="D116" s="10" t="e">
        <f>C116+D115</f>
        <v>#DIV/0!</v>
      </c>
      <c r="E116" s="23" t="e">
        <f>100-D116</f>
        <v>#DIV/0!</v>
      </c>
      <c r="F116" s="40" t="s">
        <v>4</v>
      </c>
      <c r="G116" s="31">
        <f>G117-G118</f>
        <v>6.950000000000145E-2</v>
      </c>
      <c r="H116" s="10">
        <f t="shared" si="69"/>
        <v>0.39377216739000703</v>
      </c>
      <c r="I116" s="10">
        <f>H116+I115</f>
        <v>100.00000000000003</v>
      </c>
      <c r="J116" s="42">
        <f>100-I116</f>
        <v>0</v>
      </c>
      <c r="K116" s="56" t="s">
        <v>4</v>
      </c>
      <c r="L116" s="31">
        <f>L117-L118</f>
        <v>8.9599999999999014E-2</v>
      </c>
      <c r="M116" s="10">
        <f t="shared" si="71"/>
        <v>1.0150444081928471</v>
      </c>
      <c r="N116" s="10">
        <f>M116+N115</f>
        <v>100</v>
      </c>
      <c r="O116" s="58">
        <f>100-N116</f>
        <v>0</v>
      </c>
      <c r="P116" s="67" t="s">
        <v>4</v>
      </c>
      <c r="Q116" s="31">
        <f>Q117-Q118</f>
        <v>0.34340000000000082</v>
      </c>
      <c r="R116" s="10">
        <f t="shared" si="73"/>
        <v>2.2806819464830133</v>
      </c>
      <c r="S116" s="10">
        <f>R116+S115</f>
        <v>100</v>
      </c>
      <c r="T116" s="69">
        <f>100-S116</f>
        <v>0</v>
      </c>
    </row>
    <row r="117" spans="1:20" ht="15.75" thickBot="1" x14ac:dyDescent="0.3">
      <c r="A117" s="19" t="s">
        <v>3</v>
      </c>
      <c r="B117" s="20">
        <v>0</v>
      </c>
      <c r="C117" s="95"/>
      <c r="D117" s="3"/>
      <c r="E117" s="4"/>
      <c r="F117" s="32" t="s">
        <v>3</v>
      </c>
      <c r="G117" s="33">
        <v>17.649799999999999</v>
      </c>
      <c r="H117" s="92"/>
      <c r="J117" s="24"/>
      <c r="K117" s="54" t="s">
        <v>3</v>
      </c>
      <c r="L117" s="55">
        <v>8.8271999999999995</v>
      </c>
      <c r="P117" s="64" t="s">
        <v>3</v>
      </c>
      <c r="Q117" s="65">
        <v>15.056900000000001</v>
      </c>
      <c r="R117" s="70">
        <f>SUM(R107:R116)</f>
        <v>100</v>
      </c>
      <c r="T117" s="24"/>
    </row>
    <row r="118" spans="1:20" ht="15.75" thickBot="1" x14ac:dyDescent="0.3">
      <c r="A118" s="5"/>
      <c r="B118" s="30">
        <f>SUM(B107:B115)</f>
        <v>0</v>
      </c>
      <c r="C118" s="7"/>
      <c r="D118" s="6"/>
      <c r="E118" s="8"/>
      <c r="F118" s="25"/>
      <c r="G118" s="29">
        <f>SUM(G107:G115)</f>
        <v>17.580299999999998</v>
      </c>
      <c r="H118" s="27"/>
      <c r="I118" s="27"/>
      <c r="J118" s="28"/>
      <c r="K118" s="25"/>
      <c r="L118" s="26">
        <f>SUM(L107:L115)</f>
        <v>8.7376000000000005</v>
      </c>
      <c r="M118" s="27"/>
      <c r="N118" s="27"/>
      <c r="O118" s="27"/>
      <c r="P118" s="25"/>
      <c r="Q118" s="26">
        <f>SUM(Q107:Q115)</f>
        <v>14.7135</v>
      </c>
      <c r="R118" s="27"/>
      <c r="S118" s="27"/>
      <c r="T118" s="28"/>
    </row>
    <row r="119" spans="1:20" x14ac:dyDescent="0.25">
      <c r="E119" s="1"/>
    </row>
    <row r="120" spans="1:20" x14ac:dyDescent="0.25">
      <c r="E120" s="1"/>
    </row>
    <row r="121" spans="1:20" x14ac:dyDescent="0.25">
      <c r="E121" s="1"/>
    </row>
    <row r="124" spans="1:20" x14ac:dyDescent="0.25">
      <c r="E124" s="1"/>
      <c r="F124" s="1"/>
      <c r="G124" s="1"/>
      <c r="H124" s="93"/>
      <c r="I124" s="94"/>
    </row>
    <row r="125" spans="1:20" x14ac:dyDescent="0.25">
      <c r="E125" s="1"/>
      <c r="F125" s="1"/>
      <c r="G125" s="1"/>
      <c r="H125" s="93"/>
      <c r="I125" s="94"/>
    </row>
    <row r="126" spans="1:20" x14ac:dyDescent="0.25">
      <c r="E126" s="1"/>
      <c r="F126" s="1"/>
      <c r="G126" s="1"/>
      <c r="H126" s="93"/>
      <c r="I126" s="1"/>
    </row>
    <row r="129" spans="7:7" x14ac:dyDescent="0.25">
      <c r="G129" s="91"/>
    </row>
  </sheetData>
  <mergeCells count="33">
    <mergeCell ref="K87:O87"/>
    <mergeCell ref="A36:E36"/>
    <mergeCell ref="F36:J36"/>
    <mergeCell ref="A103:T103"/>
    <mergeCell ref="U18:V18"/>
    <mergeCell ref="K27:L27"/>
    <mergeCell ref="M27:N27"/>
    <mergeCell ref="A1:T1"/>
    <mergeCell ref="A19:E19"/>
    <mergeCell ref="F19:J19"/>
    <mergeCell ref="A18:J18"/>
    <mergeCell ref="A52:T52"/>
    <mergeCell ref="A35:J35"/>
    <mergeCell ref="A2:E2"/>
    <mergeCell ref="F2:J2"/>
    <mergeCell ref="K2:O2"/>
    <mergeCell ref="P2:T2"/>
    <mergeCell ref="A104:E104"/>
    <mergeCell ref="F104:J104"/>
    <mergeCell ref="K104:O104"/>
    <mergeCell ref="P104:T104"/>
    <mergeCell ref="K53:O53"/>
    <mergeCell ref="P53:T53"/>
    <mergeCell ref="A69:T69"/>
    <mergeCell ref="A70:E70"/>
    <mergeCell ref="F70:J70"/>
    <mergeCell ref="K70:O70"/>
    <mergeCell ref="P70:T70"/>
    <mergeCell ref="A53:E53"/>
    <mergeCell ref="F53:J53"/>
    <mergeCell ref="A86:O86"/>
    <mergeCell ref="A87:E87"/>
    <mergeCell ref="F87:J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3437-1C05-415C-B430-C81E8178AAA9}">
  <dimension ref="A1:I39"/>
  <sheetViews>
    <sheetView workbookViewId="0">
      <selection activeCell="H26" sqref="H26"/>
    </sheetView>
  </sheetViews>
  <sheetFormatPr defaultRowHeight="15" x14ac:dyDescent="0.25"/>
  <cols>
    <col min="1" max="1" width="19.140625" customWidth="1"/>
    <col min="2" max="2" width="21.5703125" customWidth="1"/>
    <col min="3" max="3" width="23" customWidth="1"/>
    <col min="4" max="4" width="28" customWidth="1"/>
    <col min="5" max="5" width="31.5703125" customWidth="1"/>
    <col min="6" max="6" width="32.85546875" customWidth="1"/>
    <col min="7" max="7" width="29.7109375" customWidth="1"/>
    <col min="8" max="8" width="22.7109375" customWidth="1"/>
    <col min="9" max="9" width="21.5703125" customWidth="1"/>
  </cols>
  <sheetData>
    <row r="1" spans="1:9" x14ac:dyDescent="0.25">
      <c r="A1" s="101" t="s">
        <v>0</v>
      </c>
      <c r="B1" s="102"/>
      <c r="C1" s="102"/>
      <c r="D1" s="102"/>
      <c r="E1" s="103"/>
    </row>
    <row r="2" spans="1:9" x14ac:dyDescent="0.25">
      <c r="A2" s="15" t="s">
        <v>1</v>
      </c>
      <c r="B2" s="16" t="s">
        <v>2</v>
      </c>
      <c r="C2" s="16" t="s">
        <v>14</v>
      </c>
      <c r="D2" s="16" t="s">
        <v>15</v>
      </c>
      <c r="E2" s="21" t="s">
        <v>13</v>
      </c>
      <c r="F2" s="97" t="s">
        <v>53</v>
      </c>
      <c r="G2" s="97" t="s">
        <v>56</v>
      </c>
      <c r="H2" s="97" t="s">
        <v>55</v>
      </c>
      <c r="I2" s="97"/>
    </row>
    <row r="3" spans="1:9" x14ac:dyDescent="0.25">
      <c r="A3" s="17">
        <v>5</v>
      </c>
      <c r="B3" s="11">
        <v>0</v>
      </c>
      <c r="C3" s="9">
        <v>0</v>
      </c>
      <c r="D3" s="9">
        <v>0</v>
      </c>
      <c r="E3" s="22">
        <f>100-0</f>
        <v>100</v>
      </c>
      <c r="F3" s="93">
        <f>B3</f>
        <v>0</v>
      </c>
      <c r="G3" s="1">
        <f>F3/$B$14*100</f>
        <v>0</v>
      </c>
      <c r="H3" s="1">
        <f>100 - G3</f>
        <v>100</v>
      </c>
      <c r="I3" s="1"/>
    </row>
    <row r="4" spans="1:9" x14ac:dyDescent="0.25">
      <c r="A4" s="17">
        <v>1</v>
      </c>
      <c r="B4" s="11">
        <v>26.097100000000001</v>
      </c>
      <c r="C4" s="10">
        <f>B4/$B$14*100</f>
        <v>55.508855816209113</v>
      </c>
      <c r="D4" s="10">
        <f>C4</f>
        <v>55.508855816209113</v>
      </c>
      <c r="E4" s="23">
        <f>100-D4</f>
        <v>44.491144183790887</v>
      </c>
      <c r="F4" s="94">
        <f>F3+B4</f>
        <v>26.097100000000001</v>
      </c>
      <c r="G4" s="1">
        <f t="shared" ref="G4:G13" si="0">F4/$B$14*100</f>
        <v>55.508855816209113</v>
      </c>
      <c r="H4" s="1">
        <f t="shared" ref="H4:H13" si="1">100 - G4</f>
        <v>44.491144183790887</v>
      </c>
    </row>
    <row r="5" spans="1:9" x14ac:dyDescent="0.25">
      <c r="A5" s="17">
        <v>0.85</v>
      </c>
      <c r="B5" s="11">
        <v>4.0728</v>
      </c>
      <c r="C5" s="10">
        <f>B5/$B$14*100</f>
        <v>8.66289618265081</v>
      </c>
      <c r="D5" s="10">
        <f>C5+D4</f>
        <v>64.171751998859918</v>
      </c>
      <c r="E5" s="23">
        <f t="shared" ref="E5:E12" si="2">100-D5</f>
        <v>35.828248001140082</v>
      </c>
      <c r="F5" s="94">
        <f t="shared" ref="F5:F13" si="3">F4+B5</f>
        <v>30.169900000000002</v>
      </c>
      <c r="G5" s="1">
        <f t="shared" si="0"/>
        <v>64.171751998859932</v>
      </c>
      <c r="H5" s="1">
        <f t="shared" si="1"/>
        <v>35.828248001140068</v>
      </c>
    </row>
    <row r="6" spans="1:9" x14ac:dyDescent="0.25">
      <c r="A6" s="17">
        <v>0.3</v>
      </c>
      <c r="B6" s="11">
        <v>13.277799999999999</v>
      </c>
      <c r="C6" s="10">
        <f t="shared" ref="C6:C13" si="4">B6/$B$14*100</f>
        <v>28.242045505303704</v>
      </c>
      <c r="D6" s="10">
        <f t="shared" ref="D6:D11" si="5">C6+D5</f>
        <v>92.413797504163625</v>
      </c>
      <c r="E6" s="23">
        <f t="shared" si="2"/>
        <v>7.5862024958363747</v>
      </c>
      <c r="F6" s="94">
        <f t="shared" si="3"/>
        <v>43.447699999999998</v>
      </c>
      <c r="G6" s="1">
        <f t="shared" si="0"/>
        <v>92.413797504163625</v>
      </c>
      <c r="H6" s="1">
        <f t="shared" si="1"/>
        <v>7.5862024958363747</v>
      </c>
    </row>
    <row r="7" spans="1:9" x14ac:dyDescent="0.25">
      <c r="A7" s="17">
        <v>0.25</v>
      </c>
      <c r="B7" s="11">
        <v>0.5806</v>
      </c>
      <c r="C7" s="10">
        <f t="shared" si="4"/>
        <v>1.2349434108345758</v>
      </c>
      <c r="D7" s="10">
        <f t="shared" si="5"/>
        <v>93.6487409149982</v>
      </c>
      <c r="E7" s="23">
        <f t="shared" si="2"/>
        <v>6.3512590850018</v>
      </c>
      <c r="F7" s="94">
        <f t="shared" si="3"/>
        <v>44.028299999999994</v>
      </c>
      <c r="G7" s="1">
        <f t="shared" si="0"/>
        <v>93.6487409149982</v>
      </c>
      <c r="H7" s="1">
        <f t="shared" si="1"/>
        <v>6.3512590850018</v>
      </c>
    </row>
    <row r="8" spans="1:9" x14ac:dyDescent="0.25">
      <c r="A8" s="17">
        <v>0.125</v>
      </c>
      <c r="B8" s="11">
        <v>1.2107000000000001</v>
      </c>
      <c r="C8" s="10">
        <f t="shared" si="4"/>
        <v>2.5751739364406152</v>
      </c>
      <c r="D8" s="10">
        <f t="shared" si="5"/>
        <v>96.223914851438821</v>
      </c>
      <c r="E8" s="23">
        <f t="shared" si="2"/>
        <v>3.7760851485611795</v>
      </c>
      <c r="F8" s="94">
        <f t="shared" si="3"/>
        <v>45.238999999999997</v>
      </c>
      <c r="G8" s="1">
        <f t="shared" si="0"/>
        <v>96.223914851438821</v>
      </c>
      <c r="H8" s="1">
        <f t="shared" si="1"/>
        <v>3.7760851485611795</v>
      </c>
    </row>
    <row r="9" spans="1:9" x14ac:dyDescent="0.25">
      <c r="A9" s="17">
        <v>6.3E-2</v>
      </c>
      <c r="B9" s="11">
        <v>0.61739999999999995</v>
      </c>
      <c r="C9" s="10">
        <f t="shared" si="4"/>
        <v>1.3132174678767947</v>
      </c>
      <c r="D9" s="10">
        <f t="shared" si="5"/>
        <v>97.537132319315617</v>
      </c>
      <c r="E9" s="23">
        <f t="shared" si="2"/>
        <v>2.4628676806843828</v>
      </c>
      <c r="F9" s="94">
        <f t="shared" si="3"/>
        <v>45.856399999999994</v>
      </c>
      <c r="G9" s="1">
        <f t="shared" si="0"/>
        <v>97.537132319315603</v>
      </c>
      <c r="H9" s="1">
        <f t="shared" si="1"/>
        <v>2.462867680684397</v>
      </c>
    </row>
    <row r="10" spans="1:9" x14ac:dyDescent="0.25">
      <c r="A10" s="17">
        <v>5.2999999999999999E-2</v>
      </c>
      <c r="B10" s="11">
        <v>0.15359999999999999</v>
      </c>
      <c r="C10" s="10">
        <f t="shared" si="4"/>
        <v>0.32670910765447958</v>
      </c>
      <c r="D10" s="10">
        <f t="shared" si="5"/>
        <v>97.863841426970097</v>
      </c>
      <c r="E10" s="23">
        <f t="shared" si="2"/>
        <v>2.1361585730299026</v>
      </c>
      <c r="F10" s="94">
        <f t="shared" si="3"/>
        <v>46.009999999999991</v>
      </c>
      <c r="G10" s="1">
        <f t="shared" si="0"/>
        <v>97.863841426970083</v>
      </c>
      <c r="H10" s="1">
        <f t="shared" si="1"/>
        <v>2.1361585730299169</v>
      </c>
    </row>
    <row r="11" spans="1:9" x14ac:dyDescent="0.25">
      <c r="A11" s="17">
        <v>3.7999999999999999E-2</v>
      </c>
      <c r="B11" s="11">
        <v>0.24840000000000001</v>
      </c>
      <c r="C11" s="10">
        <f t="shared" si="4"/>
        <v>0.52834988503497871</v>
      </c>
      <c r="D11" s="10">
        <f t="shared" si="5"/>
        <v>98.392191312005082</v>
      </c>
      <c r="E11" s="23">
        <f t="shared" si="2"/>
        <v>1.6078086879949183</v>
      </c>
      <c r="F11" s="94">
        <f t="shared" si="3"/>
        <v>46.258399999999988</v>
      </c>
      <c r="G11" s="1">
        <f t="shared" si="0"/>
        <v>98.392191312005053</v>
      </c>
      <c r="H11" s="1">
        <f t="shared" si="1"/>
        <v>1.6078086879949467</v>
      </c>
    </row>
    <row r="12" spans="1:9" x14ac:dyDescent="0.25">
      <c r="A12" s="17">
        <v>2.5000000000000001E-2</v>
      </c>
      <c r="B12" s="11">
        <v>0.1384</v>
      </c>
      <c r="C12" s="10">
        <f t="shared" si="4"/>
        <v>0.29437851887617172</v>
      </c>
      <c r="D12" s="10">
        <f>C12+D11</f>
        <v>98.686569830881254</v>
      </c>
      <c r="E12" s="23">
        <f t="shared" si="2"/>
        <v>1.313430169118746</v>
      </c>
      <c r="F12" s="94">
        <f t="shared" si="3"/>
        <v>46.396799999999985</v>
      </c>
      <c r="G12" s="1">
        <f t="shared" si="0"/>
        <v>98.686569830881211</v>
      </c>
      <c r="H12" s="1">
        <f t="shared" si="1"/>
        <v>1.3134301691187886</v>
      </c>
    </row>
    <row r="13" spans="1:9" ht="15.75" thickBot="1" x14ac:dyDescent="0.3">
      <c r="A13" s="18" t="s">
        <v>4</v>
      </c>
      <c r="B13" s="12">
        <f>(B14-B15)</f>
        <v>0.61750000000001393</v>
      </c>
      <c r="C13" s="10">
        <f t="shared" si="4"/>
        <v>1.3134301691187873</v>
      </c>
      <c r="D13" s="10">
        <f>C13+D12</f>
        <v>100.00000000000004</v>
      </c>
      <c r="E13" s="23">
        <f>100-D13</f>
        <v>0</v>
      </c>
      <c r="F13" s="94">
        <f t="shared" si="3"/>
        <v>47.014299999999999</v>
      </c>
      <c r="G13" s="1">
        <f t="shared" si="0"/>
        <v>100</v>
      </c>
      <c r="H13" s="1">
        <f t="shared" si="1"/>
        <v>0</v>
      </c>
    </row>
    <row r="14" spans="1:9" ht="15.75" thickBot="1" x14ac:dyDescent="0.3">
      <c r="A14" s="19" t="s">
        <v>3</v>
      </c>
      <c r="B14" s="20">
        <v>47.014299999999999</v>
      </c>
      <c r="C14" s="2" t="s">
        <v>19</v>
      </c>
      <c r="D14" s="72">
        <f>A6+(10-E6)*((A5-A6)/(E5-E6))</f>
        <v>0.34700752383678013</v>
      </c>
      <c r="E14" s="4"/>
    </row>
    <row r="15" spans="1:9" ht="15.75" thickBot="1" x14ac:dyDescent="0.3">
      <c r="A15" s="5"/>
      <c r="B15" s="30">
        <f>SUM(B4:B12)</f>
        <v>46.396799999999985</v>
      </c>
      <c r="C15" s="6" t="s">
        <v>23</v>
      </c>
      <c r="D15" s="73">
        <f>A4+(60-E4)*((A3-A4)/(E3-E4))</f>
        <v>2.1175770487908618</v>
      </c>
      <c r="E15" s="8"/>
    </row>
    <row r="17" spans="2:9" x14ac:dyDescent="0.25">
      <c r="B17" s="1" t="s">
        <v>54</v>
      </c>
      <c r="C17" s="1" t="s">
        <v>57</v>
      </c>
      <c r="D17" s="1" t="s">
        <v>61</v>
      </c>
      <c r="G17" s="1" t="s">
        <v>62</v>
      </c>
      <c r="H17" s="1" t="s">
        <v>59</v>
      </c>
    </row>
    <row r="18" spans="2:9" x14ac:dyDescent="0.25">
      <c r="B18" s="1">
        <v>5</v>
      </c>
      <c r="C18" s="1">
        <f>A8+(5-E8)*((A7-A8)/(E7-E8))</f>
        <v>0.18440932931362022</v>
      </c>
      <c r="D18" s="1">
        <f>-LOG(C18,2)</f>
        <v>2.4390164509745964</v>
      </c>
      <c r="F18" s="1" t="s">
        <v>58</v>
      </c>
      <c r="G18" s="1">
        <f>(D21+D28+D35)/3</f>
        <v>-0.43926409517308196</v>
      </c>
      <c r="H18" s="1">
        <f>2^(G18*-1)</f>
        <v>1.3559125131223242</v>
      </c>
    </row>
    <row r="19" spans="2:9" x14ac:dyDescent="0.25">
      <c r="B19" s="1">
        <v>10</v>
      </c>
      <c r="C19" s="1">
        <f>A6+(10-E6)*((A5-A6)/(E5-E6))</f>
        <v>0.34700752383678013</v>
      </c>
      <c r="D19" s="1">
        <f t="shared" ref="D19:D39" si="6">-LOG(C19,2)</f>
        <v>1.5269611511491425</v>
      </c>
      <c r="F19" s="1" t="s">
        <v>60</v>
      </c>
      <c r="G19" s="1">
        <f>(D35-D21)/4 + (D38-D18)/6.6</f>
        <v>-1.4680073544820293</v>
      </c>
      <c r="H19" s="1">
        <f>2^(G19*-1)</f>
        <v>2.7663953603460727</v>
      </c>
      <c r="I19" s="1" t="s">
        <v>63</v>
      </c>
    </row>
    <row r="20" spans="2:9" x14ac:dyDescent="0.25">
      <c r="B20" s="1">
        <f>B19+5</f>
        <v>15</v>
      </c>
      <c r="C20" s="1">
        <f>A6+(15-E6)*((A5-A6)/(E5-E6))</f>
        <v>0.44438007425928994</v>
      </c>
      <c r="D20" s="1">
        <f t="shared" si="6"/>
        <v>1.1701339663057058</v>
      </c>
      <c r="F20" s="1" t="s">
        <v>64</v>
      </c>
      <c r="G20" s="1">
        <f>(D21+D35-2*D28)/(2*(D35-D21))+(D18+D38-2*D28)/(2*(D38-D18))</f>
        <v>-0.1489817028193697</v>
      </c>
      <c r="H20" s="1">
        <f>2^(G20*-1)</f>
        <v>1.1087865811737738</v>
      </c>
      <c r="I20" s="1" t="s">
        <v>65</v>
      </c>
    </row>
    <row r="21" spans="2:9" x14ac:dyDescent="0.25">
      <c r="B21" s="98">
        <v>16</v>
      </c>
      <c r="C21" s="98">
        <f>A6+(16-E6)*((A5-A6)/(E5-E6))</f>
        <v>0.46385458434379184</v>
      </c>
      <c r="D21" s="1">
        <f t="shared" si="6"/>
        <v>1.1082554949799299</v>
      </c>
      <c r="F21" s="1" t="s">
        <v>66</v>
      </c>
      <c r="G21" s="1">
        <f>(D38-D18)/(2.44*(D33-D23))</f>
        <v>0.82083817526371117</v>
      </c>
      <c r="H21" s="1">
        <f>2^(G21*-1)</f>
        <v>0.56611294745484975</v>
      </c>
      <c r="I21" s="99" t="s">
        <v>67</v>
      </c>
    </row>
    <row r="22" spans="2:9" x14ac:dyDescent="0.25">
      <c r="B22" s="1">
        <f>B20+5</f>
        <v>20</v>
      </c>
      <c r="C22" s="1">
        <f>A6+(20-E6)*((A5-A6)/(E5-E6))</f>
        <v>0.54175262468179963</v>
      </c>
      <c r="D22" s="1">
        <f t="shared" si="6"/>
        <v>0.88429385698605356</v>
      </c>
    </row>
    <row r="23" spans="2:9" x14ac:dyDescent="0.25">
      <c r="B23" s="1">
        <f t="shared" ref="B23:B34" si="7">B22+5</f>
        <v>25</v>
      </c>
      <c r="C23" s="1">
        <f>A6+(25-E6)*((A5-A6)/(E5-E6))</f>
        <v>0.63912517510430944</v>
      </c>
      <c r="D23" s="1">
        <f t="shared" si="6"/>
        <v>0.64582957871273927</v>
      </c>
    </row>
    <row r="24" spans="2:9" x14ac:dyDescent="0.25">
      <c r="B24" s="1">
        <f t="shared" si="7"/>
        <v>30</v>
      </c>
      <c r="C24" s="1">
        <f>A6+(30-E6)*((A5-A6)/(E5-E6))</f>
        <v>0.73649772552681925</v>
      </c>
      <c r="D24" s="1">
        <f t="shared" si="6"/>
        <v>0.441247024991133</v>
      </c>
    </row>
    <row r="25" spans="2:9" x14ac:dyDescent="0.25">
      <c r="B25" s="1">
        <f t="shared" si="7"/>
        <v>35</v>
      </c>
      <c r="C25" s="1">
        <f>A6+(35-E6)*((A5-A6)/(E5-E6))</f>
        <v>0.83387027594932883</v>
      </c>
      <c r="D25" s="1">
        <f t="shared" si="6"/>
        <v>0.26210513184253253</v>
      </c>
    </row>
    <row r="26" spans="2:9" x14ac:dyDescent="0.25">
      <c r="B26" s="1">
        <f t="shared" si="7"/>
        <v>40</v>
      </c>
      <c r="C26" s="1">
        <f>A5+(40-E5)*((A4-A5)/(E4-E5))</f>
        <v>0.92223482616381847</v>
      </c>
      <c r="D26" s="1">
        <f t="shared" si="6"/>
        <v>0.11679394791310851</v>
      </c>
    </row>
    <row r="27" spans="2:9" x14ac:dyDescent="0.25">
      <c r="B27" s="1">
        <f t="shared" si="7"/>
        <v>45</v>
      </c>
      <c r="C27" s="1">
        <f>A4+(45-E4)*((A3-A4)/(E3-E4))</f>
        <v>1.0366684420874352</v>
      </c>
      <c r="D27" s="1">
        <f t="shared" si="6"/>
        <v>-5.1954550427530326E-2</v>
      </c>
    </row>
    <row r="28" spans="2:9" x14ac:dyDescent="0.25">
      <c r="B28" s="98">
        <f t="shared" si="7"/>
        <v>50</v>
      </c>
      <c r="C28" s="98">
        <f>A4+(50-E4)*((A3-A4)/(E3-E4))</f>
        <v>1.3969713109885775</v>
      </c>
      <c r="D28" s="1">
        <f t="shared" si="6"/>
        <v>-0.48230239303119593</v>
      </c>
    </row>
    <row r="29" spans="2:9" x14ac:dyDescent="0.25">
      <c r="B29" s="1">
        <f t="shared" si="7"/>
        <v>55</v>
      </c>
      <c r="C29" s="1">
        <f>A4+(55-E4)*((A3-A4)/(E3-E4))</f>
        <v>1.7572741798897198</v>
      </c>
      <c r="D29" s="1">
        <f t="shared" si="6"/>
        <v>-0.81333930637588836</v>
      </c>
    </row>
    <row r="30" spans="2:9" x14ac:dyDescent="0.25">
      <c r="B30" s="1">
        <f t="shared" si="7"/>
        <v>60</v>
      </c>
      <c r="C30" s="1">
        <f>A4+(60-E4)*((A3-A4)/(E3-E4))</f>
        <v>2.1175770487908618</v>
      </c>
      <c r="D30" s="1">
        <f t="shared" si="6"/>
        <v>-1.0824144634824793</v>
      </c>
    </row>
    <row r="31" spans="2:9" x14ac:dyDescent="0.25">
      <c r="B31" s="1">
        <f t="shared" si="7"/>
        <v>65</v>
      </c>
      <c r="C31" s="1">
        <f>A4+(65-E4)*((A3-A4)/(E3-E4))</f>
        <v>2.4778799176920043</v>
      </c>
      <c r="D31" s="1">
        <f t="shared" si="6"/>
        <v>-1.3091062736980539</v>
      </c>
    </row>
    <row r="32" spans="2:9" x14ac:dyDescent="0.25">
      <c r="B32" s="1">
        <f t="shared" si="7"/>
        <v>70</v>
      </c>
      <c r="C32" s="1">
        <f>A4+(70-E4)*((A3-A4)/(E3-E4))</f>
        <v>2.8381827865931468</v>
      </c>
      <c r="D32" s="1">
        <f t="shared" si="6"/>
        <v>-1.504967505825394</v>
      </c>
    </row>
    <row r="33" spans="2:4" x14ac:dyDescent="0.25">
      <c r="B33" s="1">
        <f t="shared" si="7"/>
        <v>75</v>
      </c>
      <c r="C33" s="1">
        <f>A4+(75-E4)*((A3-A4)/(E3-E4))</f>
        <v>3.1984856554942889</v>
      </c>
      <c r="D33" s="1">
        <f t="shared" si="6"/>
        <v>-1.6773890131075573</v>
      </c>
    </row>
    <row r="34" spans="2:4" x14ac:dyDescent="0.25">
      <c r="B34" s="1">
        <f t="shared" si="7"/>
        <v>80</v>
      </c>
      <c r="C34" s="1">
        <f>A4+(80-E4)*((A3-A4)/(E3-E4))</f>
        <v>3.5587885243954309</v>
      </c>
      <c r="D34" s="1">
        <f t="shared" si="6"/>
        <v>-1.8313862054324979</v>
      </c>
    </row>
    <row r="35" spans="2:4" x14ac:dyDescent="0.25">
      <c r="B35" s="98">
        <v>84</v>
      </c>
      <c r="C35" s="98">
        <f>A4+(84-E4)*((A3-A4)/(E3-E4))</f>
        <v>3.8470308195163447</v>
      </c>
      <c r="D35" s="1">
        <f t="shared" si="6"/>
        <v>-1.94374538746798</v>
      </c>
    </row>
    <row r="36" spans="2:4" x14ac:dyDescent="0.25">
      <c r="B36" s="1">
        <f>B34+5</f>
        <v>85</v>
      </c>
      <c r="C36" s="1">
        <f>A4+(85-E4)*((A3-A4)/(E3-E4))</f>
        <v>3.9190913932965734</v>
      </c>
      <c r="D36" s="1">
        <f t="shared" si="6"/>
        <v>-1.9705192170121619</v>
      </c>
    </row>
    <row r="37" spans="2:4" x14ac:dyDescent="0.25">
      <c r="B37" s="1">
        <f>B36+5</f>
        <v>90</v>
      </c>
      <c r="C37" s="1">
        <f>A4+(90-E4)*((A3-A4)/(E3-E4))</f>
        <v>4.2793942621977159</v>
      </c>
      <c r="D37" s="1">
        <f t="shared" si="6"/>
        <v>-2.097406601119562</v>
      </c>
    </row>
    <row r="38" spans="2:4" x14ac:dyDescent="0.25">
      <c r="B38" s="1">
        <f>B37+5</f>
        <v>95</v>
      </c>
      <c r="C38" s="1">
        <f>A4+(95-E4)*((A3-A4)/(E3-E4))</f>
        <v>4.639697131098858</v>
      </c>
      <c r="D38" s="1">
        <f t="shared" si="6"/>
        <v>-2.214030632567745</v>
      </c>
    </row>
    <row r="39" spans="2:4" x14ac:dyDescent="0.25">
      <c r="B39" s="1">
        <f>B38+5</f>
        <v>100</v>
      </c>
      <c r="C39" s="1">
        <f>A4+(100-E4)*((A3-A4)/(E3-E4))</f>
        <v>5</v>
      </c>
      <c r="D39" s="1">
        <f t="shared" si="6"/>
        <v>-2.3219280948873622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1C46-4D00-4594-8EE7-EDB99F6D681B}">
  <dimension ref="A1:BC45"/>
  <sheetViews>
    <sheetView workbookViewId="0">
      <selection activeCell="AO14" sqref="AO14"/>
    </sheetView>
  </sheetViews>
  <sheetFormatPr defaultRowHeight="15" x14ac:dyDescent="0.25"/>
  <cols>
    <col min="1" max="2" width="10.7109375" customWidth="1"/>
    <col min="3" max="3" width="10.85546875" customWidth="1"/>
  </cols>
  <sheetData>
    <row r="1" spans="1:55" x14ac:dyDescent="0.25">
      <c r="A1" s="74" t="s">
        <v>16</v>
      </c>
      <c r="B1" s="75" t="s">
        <v>17</v>
      </c>
      <c r="C1" s="75" t="s">
        <v>18</v>
      </c>
      <c r="D1" s="77"/>
      <c r="E1" s="75" t="s">
        <v>24</v>
      </c>
      <c r="F1" s="78">
        <v>9.85</v>
      </c>
      <c r="G1" s="76"/>
      <c r="H1" s="74" t="s">
        <v>16</v>
      </c>
      <c r="I1" s="75" t="s">
        <v>17</v>
      </c>
      <c r="J1" s="75" t="s">
        <v>18</v>
      </c>
      <c r="K1" s="77"/>
      <c r="L1" s="75" t="s">
        <v>24</v>
      </c>
      <c r="M1" s="78">
        <v>9.14</v>
      </c>
      <c r="N1" s="76"/>
      <c r="O1" s="74" t="s">
        <v>16</v>
      </c>
      <c r="P1" s="75" t="s">
        <v>17</v>
      </c>
      <c r="Q1" s="75" t="s">
        <v>18</v>
      </c>
      <c r="R1" s="77"/>
      <c r="S1" s="75" t="s">
        <v>24</v>
      </c>
      <c r="T1" s="78">
        <v>7.92</v>
      </c>
      <c r="U1" s="76"/>
      <c r="V1" s="74" t="s">
        <v>16</v>
      </c>
      <c r="W1" s="75" t="s">
        <v>17</v>
      </c>
      <c r="X1" s="75" t="s">
        <v>18</v>
      </c>
      <c r="Y1" s="77"/>
      <c r="Z1" s="75" t="s">
        <v>24</v>
      </c>
      <c r="AA1" s="78">
        <v>10.88</v>
      </c>
      <c r="AB1" s="76"/>
      <c r="AC1" s="74" t="s">
        <v>16</v>
      </c>
      <c r="AD1" s="75" t="s">
        <v>17</v>
      </c>
      <c r="AE1" s="75" t="s">
        <v>18</v>
      </c>
      <c r="AF1" s="77"/>
      <c r="AG1" s="75" t="s">
        <v>24</v>
      </c>
      <c r="AH1" s="78">
        <v>11.53</v>
      </c>
      <c r="AI1" s="76"/>
      <c r="AJ1" s="74" t="s">
        <v>16</v>
      </c>
      <c r="AK1" s="75" t="s">
        <v>17</v>
      </c>
      <c r="AL1" s="75" t="s">
        <v>18</v>
      </c>
      <c r="AM1" s="77"/>
      <c r="AN1" s="75" t="s">
        <v>24</v>
      </c>
      <c r="AO1" s="78">
        <v>8.98</v>
      </c>
      <c r="AP1" s="76"/>
      <c r="AQ1" s="74" t="s">
        <v>16</v>
      </c>
      <c r="AR1" s="75" t="s">
        <v>17</v>
      </c>
      <c r="AS1" s="75" t="s">
        <v>18</v>
      </c>
      <c r="AT1" s="77"/>
      <c r="AU1" s="75" t="s">
        <v>24</v>
      </c>
      <c r="AV1" s="78">
        <v>11.01</v>
      </c>
      <c r="AW1" s="76"/>
      <c r="AX1" s="74" t="s">
        <v>16</v>
      </c>
      <c r="AY1" s="75" t="s">
        <v>17</v>
      </c>
      <c r="AZ1" s="75" t="s">
        <v>18</v>
      </c>
      <c r="BA1" s="77"/>
      <c r="BB1" s="75" t="s">
        <v>24</v>
      </c>
      <c r="BC1" s="78">
        <v>7.92</v>
      </c>
    </row>
    <row r="2" spans="1:55" x14ac:dyDescent="0.25">
      <c r="A2" s="79">
        <v>0.37</v>
      </c>
      <c r="B2" s="80">
        <v>0.19</v>
      </c>
      <c r="C2" s="80">
        <v>0.06</v>
      </c>
      <c r="D2" s="76"/>
      <c r="E2" s="81" t="s">
        <v>25</v>
      </c>
      <c r="F2" s="82">
        <v>25.06</v>
      </c>
      <c r="G2" s="76"/>
      <c r="H2" s="79">
        <v>0.37</v>
      </c>
      <c r="I2" s="80">
        <v>0.27</v>
      </c>
      <c r="J2" s="80">
        <v>0.08</v>
      </c>
      <c r="K2" s="76"/>
      <c r="L2" s="81" t="s">
        <v>25</v>
      </c>
      <c r="M2" s="82">
        <v>21.99</v>
      </c>
      <c r="N2" s="76"/>
      <c r="O2" s="79">
        <v>0.37</v>
      </c>
      <c r="P2" s="80">
        <v>0.21</v>
      </c>
      <c r="Q2" s="80">
        <v>7.0000000000000007E-2</v>
      </c>
      <c r="R2" s="76"/>
      <c r="S2" s="81" t="s">
        <v>25</v>
      </c>
      <c r="T2" s="82">
        <v>19.12</v>
      </c>
      <c r="U2" s="76"/>
      <c r="V2" s="79">
        <v>0.37</v>
      </c>
      <c r="W2" s="80">
        <v>0.08</v>
      </c>
      <c r="X2" s="80">
        <v>0.06</v>
      </c>
      <c r="Y2" s="76"/>
      <c r="Z2" s="81" t="s">
        <v>25</v>
      </c>
      <c r="AA2" s="82">
        <v>24.27</v>
      </c>
      <c r="AB2" s="76"/>
      <c r="AC2" s="79">
        <v>0.37</v>
      </c>
      <c r="AD2" s="80">
        <v>0.17</v>
      </c>
      <c r="AE2" s="80">
        <v>0.06</v>
      </c>
      <c r="AF2" s="76"/>
      <c r="AG2" s="81" t="s">
        <v>25</v>
      </c>
      <c r="AH2" s="82">
        <v>25.92</v>
      </c>
      <c r="AI2" s="76"/>
      <c r="AJ2" s="79">
        <v>0.37</v>
      </c>
      <c r="AK2" s="80">
        <v>0.18</v>
      </c>
      <c r="AL2" s="80">
        <v>0.06</v>
      </c>
      <c r="AM2" s="76"/>
      <c r="AN2" s="81" t="s">
        <v>25</v>
      </c>
      <c r="AO2" s="82">
        <v>22.39</v>
      </c>
      <c r="AP2" s="76"/>
      <c r="AQ2" s="79">
        <v>0.37</v>
      </c>
      <c r="AR2" s="80">
        <v>0.19</v>
      </c>
      <c r="AS2" s="80">
        <v>7.0000000000000007E-2</v>
      </c>
      <c r="AT2" s="76"/>
      <c r="AU2" s="81" t="s">
        <v>25</v>
      </c>
      <c r="AV2" s="82">
        <v>25.42</v>
      </c>
      <c r="AW2" s="76"/>
      <c r="AX2" s="79">
        <v>0.37</v>
      </c>
      <c r="AY2" s="80">
        <v>0.19</v>
      </c>
      <c r="AZ2" s="80">
        <v>0.08</v>
      </c>
      <c r="BA2" s="76"/>
      <c r="BB2" s="81" t="s">
        <v>25</v>
      </c>
      <c r="BC2" s="82">
        <v>19.04</v>
      </c>
    </row>
    <row r="3" spans="1:55" x14ac:dyDescent="0.25">
      <c r="A3" s="79">
        <v>0.44</v>
      </c>
      <c r="B3" s="80">
        <v>0.19</v>
      </c>
      <c r="C3" s="80">
        <v>0.12</v>
      </c>
      <c r="D3" s="76"/>
      <c r="E3" s="81" t="s">
        <v>26</v>
      </c>
      <c r="F3" s="82">
        <v>45.16</v>
      </c>
      <c r="G3" s="76"/>
      <c r="H3" s="79">
        <v>0.44</v>
      </c>
      <c r="I3" s="80">
        <v>0.27</v>
      </c>
      <c r="J3" s="80">
        <v>0.15</v>
      </c>
      <c r="K3" s="76"/>
      <c r="L3" s="81" t="s">
        <v>26</v>
      </c>
      <c r="M3" s="82">
        <v>34.9</v>
      </c>
      <c r="N3" s="76"/>
      <c r="O3" s="79">
        <v>0.44</v>
      </c>
      <c r="P3" s="80">
        <v>0.21</v>
      </c>
      <c r="Q3" s="80">
        <v>0.15</v>
      </c>
      <c r="R3" s="76"/>
      <c r="S3" s="81" t="s">
        <v>26</v>
      </c>
      <c r="T3" s="82">
        <v>32.18</v>
      </c>
      <c r="U3" s="76"/>
      <c r="V3" s="79">
        <v>0.44</v>
      </c>
      <c r="W3" s="80">
        <v>0.08</v>
      </c>
      <c r="X3" s="80">
        <v>0.12</v>
      </c>
      <c r="Y3" s="76"/>
      <c r="Z3" s="81" t="s">
        <v>26</v>
      </c>
      <c r="AA3" s="82">
        <v>38.26</v>
      </c>
      <c r="AB3" s="76"/>
      <c r="AC3" s="79">
        <v>0.44</v>
      </c>
      <c r="AD3" s="80">
        <v>0.17</v>
      </c>
      <c r="AE3" s="80">
        <v>0.12</v>
      </c>
      <c r="AF3" s="76"/>
      <c r="AG3" s="81" t="s">
        <v>26</v>
      </c>
      <c r="AH3" s="82">
        <v>40.57</v>
      </c>
      <c r="AI3" s="76"/>
      <c r="AJ3" s="79">
        <v>0.44</v>
      </c>
      <c r="AK3" s="80">
        <v>0.19</v>
      </c>
      <c r="AL3" s="80">
        <v>0.13</v>
      </c>
      <c r="AM3" s="76"/>
      <c r="AN3" s="81" t="s">
        <v>26</v>
      </c>
      <c r="AO3" s="82">
        <v>39.1</v>
      </c>
      <c r="AP3" s="76"/>
      <c r="AQ3" s="79">
        <v>0.44</v>
      </c>
      <c r="AR3" s="80">
        <v>0.19</v>
      </c>
      <c r="AS3" s="80">
        <v>0.13</v>
      </c>
      <c r="AT3" s="76"/>
      <c r="AU3" s="81" t="s">
        <v>26</v>
      </c>
      <c r="AV3" s="82">
        <v>39.590000000000003</v>
      </c>
      <c r="AW3" s="76"/>
      <c r="AX3" s="79">
        <v>0.44</v>
      </c>
      <c r="AY3" s="80">
        <v>0.19</v>
      </c>
      <c r="AZ3" s="80">
        <v>0.16</v>
      </c>
      <c r="BA3" s="76"/>
      <c r="BB3" s="81" t="s">
        <v>26</v>
      </c>
      <c r="BC3" s="82">
        <v>30.4</v>
      </c>
    </row>
    <row r="4" spans="1:55" x14ac:dyDescent="0.25">
      <c r="A4" s="79">
        <v>0.52</v>
      </c>
      <c r="B4" s="80">
        <v>0.19</v>
      </c>
      <c r="C4" s="80">
        <v>0.18</v>
      </c>
      <c r="D4" s="76"/>
      <c r="E4" s="81" t="s">
        <v>27</v>
      </c>
      <c r="F4" s="82">
        <v>74.650000000000006</v>
      </c>
      <c r="G4" s="76"/>
      <c r="H4" s="79">
        <v>0.52</v>
      </c>
      <c r="I4" s="80">
        <v>0.27</v>
      </c>
      <c r="J4" s="80">
        <v>0.23</v>
      </c>
      <c r="K4" s="76"/>
      <c r="L4" s="81" t="s">
        <v>27</v>
      </c>
      <c r="M4" s="82">
        <v>52.04</v>
      </c>
      <c r="N4" s="76"/>
      <c r="O4" s="79">
        <v>0.52</v>
      </c>
      <c r="P4" s="80">
        <v>0.21</v>
      </c>
      <c r="Q4" s="80">
        <v>0.22</v>
      </c>
      <c r="R4" s="76"/>
      <c r="S4" s="81" t="s">
        <v>27</v>
      </c>
      <c r="T4" s="82">
        <v>51.56</v>
      </c>
      <c r="U4" s="76"/>
      <c r="V4" s="79">
        <v>0.52</v>
      </c>
      <c r="W4" s="80">
        <v>0.08</v>
      </c>
      <c r="X4" s="80">
        <v>0.19</v>
      </c>
      <c r="Y4" s="76"/>
      <c r="Z4" s="81" t="s">
        <v>27</v>
      </c>
      <c r="AA4" s="82">
        <v>56.68</v>
      </c>
      <c r="AB4" s="76"/>
      <c r="AC4" s="79">
        <v>0.52</v>
      </c>
      <c r="AD4" s="80">
        <v>0.17</v>
      </c>
      <c r="AE4" s="80">
        <v>0.18</v>
      </c>
      <c r="AF4" s="76"/>
      <c r="AG4" s="81" t="s">
        <v>27</v>
      </c>
      <c r="AH4" s="82">
        <v>59.83</v>
      </c>
      <c r="AI4" s="76"/>
      <c r="AJ4" s="79">
        <v>0.52</v>
      </c>
      <c r="AK4" s="80">
        <v>0.19</v>
      </c>
      <c r="AL4" s="80">
        <v>0.19</v>
      </c>
      <c r="AM4" s="76"/>
      <c r="AN4" s="81" t="s">
        <v>27</v>
      </c>
      <c r="AO4" s="82">
        <v>62.45</v>
      </c>
      <c r="AP4" s="76"/>
      <c r="AQ4" s="79">
        <v>0.52</v>
      </c>
      <c r="AR4" s="80">
        <v>0.19</v>
      </c>
      <c r="AS4" s="80">
        <v>0.2</v>
      </c>
      <c r="AT4" s="76"/>
      <c r="AU4" s="81" t="s">
        <v>27</v>
      </c>
      <c r="AV4" s="82">
        <v>57.26</v>
      </c>
      <c r="AW4" s="76"/>
      <c r="AX4" s="79">
        <v>0.52</v>
      </c>
      <c r="AY4" s="80">
        <v>0.19</v>
      </c>
      <c r="AZ4" s="80">
        <v>0.24</v>
      </c>
      <c r="BA4" s="76"/>
      <c r="BB4" s="81" t="s">
        <v>27</v>
      </c>
      <c r="BC4" s="82">
        <v>45.37</v>
      </c>
    </row>
    <row r="5" spans="1:55" x14ac:dyDescent="0.25">
      <c r="A5" s="79">
        <v>0.61</v>
      </c>
      <c r="B5" s="80">
        <v>0.18</v>
      </c>
      <c r="C5" s="80">
        <v>0.24</v>
      </c>
      <c r="D5" s="76"/>
      <c r="E5" s="81" t="s">
        <v>28</v>
      </c>
      <c r="F5" s="82">
        <v>161.86000000000001</v>
      </c>
      <c r="G5" s="76"/>
      <c r="H5" s="79">
        <v>0.61</v>
      </c>
      <c r="I5" s="80">
        <v>0.27</v>
      </c>
      <c r="J5" s="80">
        <v>0.3</v>
      </c>
      <c r="K5" s="76"/>
      <c r="L5" s="81" t="s">
        <v>28</v>
      </c>
      <c r="M5" s="82">
        <v>102.57</v>
      </c>
      <c r="N5" s="76"/>
      <c r="O5" s="79">
        <v>0.61</v>
      </c>
      <c r="P5" s="80">
        <v>0.21</v>
      </c>
      <c r="Q5" s="80">
        <v>0.3</v>
      </c>
      <c r="R5" s="76"/>
      <c r="S5" s="81" t="s">
        <v>28</v>
      </c>
      <c r="T5" s="82">
        <v>105.96</v>
      </c>
      <c r="U5" s="76"/>
      <c r="V5" s="79">
        <v>0.61</v>
      </c>
      <c r="W5" s="80">
        <v>0.08</v>
      </c>
      <c r="X5" s="80">
        <v>0.25</v>
      </c>
      <c r="Y5" s="76"/>
      <c r="Z5" s="81" t="s">
        <v>28</v>
      </c>
      <c r="AA5" s="82">
        <v>112.9</v>
      </c>
      <c r="AB5" s="76"/>
      <c r="AC5" s="79">
        <v>0.61</v>
      </c>
      <c r="AD5" s="80">
        <v>0.17</v>
      </c>
      <c r="AE5" s="80">
        <v>0.24</v>
      </c>
      <c r="AF5" s="76"/>
      <c r="AG5" s="81" t="s">
        <v>28</v>
      </c>
      <c r="AH5" s="82">
        <v>118.19</v>
      </c>
      <c r="AI5" s="76"/>
      <c r="AJ5" s="79">
        <v>0.61</v>
      </c>
      <c r="AK5" s="80">
        <v>0.2</v>
      </c>
      <c r="AL5" s="80">
        <v>0.26</v>
      </c>
      <c r="AM5" s="76"/>
      <c r="AN5" s="81" t="s">
        <v>28</v>
      </c>
      <c r="AO5" s="82">
        <v>123.78</v>
      </c>
      <c r="AP5" s="76"/>
      <c r="AQ5" s="79">
        <v>0.61</v>
      </c>
      <c r="AR5" s="80">
        <v>0.19</v>
      </c>
      <c r="AS5" s="80">
        <v>0.26</v>
      </c>
      <c r="AT5" s="76"/>
      <c r="AU5" s="81" t="s">
        <v>28</v>
      </c>
      <c r="AV5" s="82">
        <v>105.25</v>
      </c>
      <c r="AW5" s="76"/>
      <c r="AX5" s="79">
        <v>0.61</v>
      </c>
      <c r="AY5" s="80">
        <v>0.19</v>
      </c>
      <c r="AZ5" s="80">
        <v>0.32</v>
      </c>
      <c r="BA5" s="76"/>
      <c r="BB5" s="81" t="s">
        <v>28</v>
      </c>
      <c r="BC5" s="82">
        <v>85.79</v>
      </c>
    </row>
    <row r="6" spans="1:55" x14ac:dyDescent="0.25">
      <c r="A6" s="79">
        <v>0.72</v>
      </c>
      <c r="B6" s="80">
        <v>0.18</v>
      </c>
      <c r="C6" s="80">
        <v>0.3</v>
      </c>
      <c r="D6" s="76"/>
      <c r="E6" s="81" t="s">
        <v>29</v>
      </c>
      <c r="F6" s="82">
        <v>204.23</v>
      </c>
      <c r="G6" s="76"/>
      <c r="H6" s="79">
        <v>0.72</v>
      </c>
      <c r="I6" s="80">
        <v>0.27</v>
      </c>
      <c r="J6" s="80">
        <v>0.38</v>
      </c>
      <c r="K6" s="76"/>
      <c r="L6" s="81" t="s">
        <v>29</v>
      </c>
      <c r="M6" s="82">
        <v>132.91</v>
      </c>
      <c r="N6" s="76"/>
      <c r="O6" s="79">
        <v>0.72</v>
      </c>
      <c r="P6" s="80">
        <v>0.21</v>
      </c>
      <c r="Q6" s="80">
        <v>0.37</v>
      </c>
      <c r="R6" s="76"/>
      <c r="S6" s="81" t="s">
        <v>29</v>
      </c>
      <c r="T6" s="82">
        <v>134.69999999999999</v>
      </c>
      <c r="U6" s="76"/>
      <c r="V6" s="79">
        <v>0.72</v>
      </c>
      <c r="W6" s="80">
        <v>0.08</v>
      </c>
      <c r="X6" s="80">
        <v>0.31</v>
      </c>
      <c r="Y6" s="76"/>
      <c r="Z6" s="81" t="s">
        <v>29</v>
      </c>
      <c r="AA6" s="82">
        <v>146.41</v>
      </c>
      <c r="AB6" s="76"/>
      <c r="AC6" s="79">
        <v>0.72</v>
      </c>
      <c r="AD6" s="80">
        <v>0.17</v>
      </c>
      <c r="AE6" s="80">
        <v>0.3</v>
      </c>
      <c r="AF6" s="76"/>
      <c r="AG6" s="81" t="s">
        <v>29</v>
      </c>
      <c r="AH6" s="82">
        <v>152.68</v>
      </c>
      <c r="AI6" s="76"/>
      <c r="AJ6" s="79">
        <v>0.72</v>
      </c>
      <c r="AK6" s="80">
        <v>0.21</v>
      </c>
      <c r="AL6" s="80">
        <v>0.33</v>
      </c>
      <c r="AM6" s="76"/>
      <c r="AN6" s="81" t="s">
        <v>29</v>
      </c>
      <c r="AO6" s="82">
        <v>154.44</v>
      </c>
      <c r="AP6" s="76"/>
      <c r="AQ6" s="79">
        <v>0.72</v>
      </c>
      <c r="AR6" s="80">
        <v>0.19</v>
      </c>
      <c r="AS6" s="80">
        <v>0.33</v>
      </c>
      <c r="AT6" s="76"/>
      <c r="AU6" s="81" t="s">
        <v>29</v>
      </c>
      <c r="AV6" s="82">
        <v>130.41999999999999</v>
      </c>
      <c r="AW6" s="76"/>
      <c r="AX6" s="79">
        <v>0.72</v>
      </c>
      <c r="AY6" s="80">
        <v>0.2</v>
      </c>
      <c r="AZ6" s="80">
        <v>0.4</v>
      </c>
      <c r="BA6" s="76"/>
      <c r="BB6" s="81" t="s">
        <v>29</v>
      </c>
      <c r="BC6" s="82">
        <v>107.46</v>
      </c>
    </row>
    <row r="7" spans="1:55" x14ac:dyDescent="0.25">
      <c r="A7" s="79">
        <v>0.85</v>
      </c>
      <c r="B7" s="80">
        <v>0.19</v>
      </c>
      <c r="C7" s="80">
        <v>0.36</v>
      </c>
      <c r="D7" s="76"/>
      <c r="E7" s="81" t="s">
        <v>30</v>
      </c>
      <c r="F7" s="82">
        <v>287.02999999999997</v>
      </c>
      <c r="G7" s="76"/>
      <c r="H7" s="79">
        <v>0.85</v>
      </c>
      <c r="I7" s="80">
        <v>0.28999999999999998</v>
      </c>
      <c r="J7" s="80">
        <v>0.46</v>
      </c>
      <c r="K7" s="76"/>
      <c r="L7" s="81" t="s">
        <v>30</v>
      </c>
      <c r="M7" s="82">
        <v>209.81</v>
      </c>
      <c r="N7" s="76"/>
      <c r="O7" s="79">
        <v>0.85</v>
      </c>
      <c r="P7" s="80">
        <v>0.23</v>
      </c>
      <c r="Q7" s="80">
        <v>0.46</v>
      </c>
      <c r="R7" s="76"/>
      <c r="S7" s="81" t="s">
        <v>30</v>
      </c>
      <c r="T7" s="82">
        <v>202.48</v>
      </c>
      <c r="U7" s="76"/>
      <c r="V7" s="79">
        <v>0.85</v>
      </c>
      <c r="W7" s="80">
        <v>0.09</v>
      </c>
      <c r="X7" s="80">
        <v>0.38</v>
      </c>
      <c r="Y7" s="76"/>
      <c r="Z7" s="81" t="s">
        <v>30</v>
      </c>
      <c r="AA7" s="82">
        <v>226.76</v>
      </c>
      <c r="AB7" s="76"/>
      <c r="AC7" s="79">
        <v>0.85</v>
      </c>
      <c r="AD7" s="80">
        <v>0.18</v>
      </c>
      <c r="AE7" s="80">
        <v>0.37</v>
      </c>
      <c r="AF7" s="76"/>
      <c r="AG7" s="81" t="s">
        <v>30</v>
      </c>
      <c r="AH7" s="82">
        <v>231.31</v>
      </c>
      <c r="AI7" s="76"/>
      <c r="AJ7" s="79">
        <v>0.85</v>
      </c>
      <c r="AK7" s="80">
        <v>0.23</v>
      </c>
      <c r="AL7" s="80">
        <v>0.4</v>
      </c>
      <c r="AM7" s="76"/>
      <c r="AN7" s="81" t="s">
        <v>30</v>
      </c>
      <c r="AO7" s="82">
        <v>223.2</v>
      </c>
      <c r="AP7" s="76"/>
      <c r="AQ7" s="79">
        <v>0.85</v>
      </c>
      <c r="AR7" s="80">
        <v>0.21</v>
      </c>
      <c r="AS7" s="80">
        <v>0.4</v>
      </c>
      <c r="AT7" s="76"/>
      <c r="AU7" s="81" t="s">
        <v>30</v>
      </c>
      <c r="AV7" s="82">
        <v>188.39</v>
      </c>
      <c r="AW7" s="76"/>
      <c r="AX7" s="79">
        <v>0.85</v>
      </c>
      <c r="AY7" s="80">
        <v>0.22</v>
      </c>
      <c r="AZ7" s="80">
        <v>0.49</v>
      </c>
      <c r="BA7" s="76"/>
      <c r="BB7" s="81" t="s">
        <v>30</v>
      </c>
      <c r="BC7" s="82">
        <v>160.72</v>
      </c>
    </row>
    <row r="8" spans="1:55" x14ac:dyDescent="0.25">
      <c r="A8" s="79">
        <v>1.01</v>
      </c>
      <c r="B8" s="80">
        <v>0.24</v>
      </c>
      <c r="C8" s="80">
        <v>0.44</v>
      </c>
      <c r="D8" s="76"/>
      <c r="E8" s="81" t="s">
        <v>31</v>
      </c>
      <c r="F8" s="82">
        <v>356.29</v>
      </c>
      <c r="G8" s="76"/>
      <c r="H8" s="79">
        <v>1.01</v>
      </c>
      <c r="I8" s="80">
        <v>0.36</v>
      </c>
      <c r="J8" s="80">
        <v>0.56000000000000005</v>
      </c>
      <c r="K8" s="76"/>
      <c r="L8" s="81" t="s">
        <v>31</v>
      </c>
      <c r="M8" s="82">
        <v>291.68</v>
      </c>
      <c r="N8" s="76"/>
      <c r="O8" s="79">
        <v>1.01</v>
      </c>
      <c r="P8" s="80">
        <v>0.28999999999999998</v>
      </c>
      <c r="Q8" s="80">
        <v>0.56000000000000005</v>
      </c>
      <c r="R8" s="76"/>
      <c r="S8" s="81" t="s">
        <v>31</v>
      </c>
      <c r="T8" s="82">
        <v>278.61</v>
      </c>
      <c r="U8" s="76"/>
      <c r="V8" s="79">
        <v>1.01</v>
      </c>
      <c r="W8" s="80">
        <v>0.11</v>
      </c>
      <c r="X8" s="80">
        <v>0.47</v>
      </c>
      <c r="Y8" s="76"/>
      <c r="Z8" s="81" t="s">
        <v>31</v>
      </c>
      <c r="AA8" s="82">
        <v>302.38</v>
      </c>
      <c r="AB8" s="76"/>
      <c r="AC8" s="79">
        <v>1.01</v>
      </c>
      <c r="AD8" s="80">
        <v>0.23</v>
      </c>
      <c r="AE8" s="80">
        <v>0.45</v>
      </c>
      <c r="AF8" s="76"/>
      <c r="AG8" s="81" t="s">
        <v>31</v>
      </c>
      <c r="AH8" s="82">
        <v>303.86</v>
      </c>
      <c r="AI8" s="76"/>
      <c r="AJ8" s="79">
        <v>1.01</v>
      </c>
      <c r="AK8" s="80">
        <v>0.28999999999999998</v>
      </c>
      <c r="AL8" s="80">
        <v>0.5</v>
      </c>
      <c r="AM8" s="76"/>
      <c r="AN8" s="81" t="s">
        <v>31</v>
      </c>
      <c r="AO8" s="82">
        <v>295.52999999999997</v>
      </c>
      <c r="AP8" s="76"/>
      <c r="AQ8" s="79">
        <v>1.01</v>
      </c>
      <c r="AR8" s="80">
        <v>0.26</v>
      </c>
      <c r="AS8" s="80">
        <v>0.49</v>
      </c>
      <c r="AT8" s="76"/>
      <c r="AU8" s="81" t="s">
        <v>31</v>
      </c>
      <c r="AV8" s="82">
        <v>255.19</v>
      </c>
      <c r="AW8" s="76"/>
      <c r="AX8" s="79">
        <v>1.01</v>
      </c>
      <c r="AY8" s="80">
        <v>0.27</v>
      </c>
      <c r="AZ8" s="80">
        <v>0.61</v>
      </c>
      <c r="BA8" s="76"/>
      <c r="BB8" s="81" t="s">
        <v>31</v>
      </c>
      <c r="BC8" s="82">
        <v>224.33</v>
      </c>
    </row>
    <row r="9" spans="1:55" x14ac:dyDescent="0.25">
      <c r="A9" s="79">
        <v>1.19</v>
      </c>
      <c r="B9" s="80">
        <v>0.37</v>
      </c>
      <c r="C9" s="80">
        <v>0.56000000000000005</v>
      </c>
      <c r="D9" s="76"/>
      <c r="E9" s="81" t="s">
        <v>32</v>
      </c>
      <c r="F9" s="82">
        <v>419.94</v>
      </c>
      <c r="G9" s="76"/>
      <c r="H9" s="79">
        <v>1.19</v>
      </c>
      <c r="I9" s="80">
        <v>0.51</v>
      </c>
      <c r="J9" s="80">
        <v>0.7</v>
      </c>
      <c r="K9" s="76"/>
      <c r="L9" s="81" t="s">
        <v>32</v>
      </c>
      <c r="M9" s="82">
        <v>359.97</v>
      </c>
      <c r="N9" s="76"/>
      <c r="O9" s="79">
        <v>1.19</v>
      </c>
      <c r="P9" s="80">
        <v>0.42</v>
      </c>
      <c r="Q9" s="80">
        <v>0.71</v>
      </c>
      <c r="R9" s="76"/>
      <c r="S9" s="81" t="s">
        <v>32</v>
      </c>
      <c r="T9" s="82">
        <v>349.17</v>
      </c>
      <c r="U9" s="76"/>
      <c r="V9" s="79">
        <v>1.19</v>
      </c>
      <c r="W9" s="80">
        <v>0.16</v>
      </c>
      <c r="X9" s="80">
        <v>0.59</v>
      </c>
      <c r="Y9" s="76"/>
      <c r="Z9" s="81" t="s">
        <v>32</v>
      </c>
      <c r="AA9" s="82">
        <v>369.7</v>
      </c>
      <c r="AB9" s="76"/>
      <c r="AC9" s="79">
        <v>1.19</v>
      </c>
      <c r="AD9" s="80">
        <v>0.33</v>
      </c>
      <c r="AE9" s="80">
        <v>0.56999999999999995</v>
      </c>
      <c r="AF9" s="76"/>
      <c r="AG9" s="81" t="s">
        <v>32</v>
      </c>
      <c r="AH9" s="82">
        <v>369.15</v>
      </c>
      <c r="AI9" s="76"/>
      <c r="AJ9" s="79">
        <v>1.19</v>
      </c>
      <c r="AK9" s="80">
        <v>0.41</v>
      </c>
      <c r="AL9" s="80">
        <v>0.64</v>
      </c>
      <c r="AM9" s="76"/>
      <c r="AN9" s="81" t="s">
        <v>32</v>
      </c>
      <c r="AO9" s="82">
        <v>361.18</v>
      </c>
      <c r="AP9" s="76"/>
      <c r="AQ9" s="79">
        <v>1.19</v>
      </c>
      <c r="AR9" s="80">
        <v>0.37</v>
      </c>
      <c r="AS9" s="80">
        <v>0.62</v>
      </c>
      <c r="AT9" s="76"/>
      <c r="AU9" s="81" t="s">
        <v>32</v>
      </c>
      <c r="AV9" s="82">
        <v>327.2</v>
      </c>
      <c r="AW9" s="76"/>
      <c r="AX9" s="79">
        <v>1.19</v>
      </c>
      <c r="AY9" s="80">
        <v>0.39</v>
      </c>
      <c r="AZ9" s="80">
        <v>0.77</v>
      </c>
      <c r="BA9" s="76"/>
      <c r="BB9" s="81" t="s">
        <v>32</v>
      </c>
      <c r="BC9" s="82">
        <v>302.33</v>
      </c>
    </row>
    <row r="10" spans="1:55" x14ac:dyDescent="0.25">
      <c r="A10" s="79">
        <v>1.4</v>
      </c>
      <c r="B10" s="80">
        <v>0.56999999999999995</v>
      </c>
      <c r="C10" s="80">
        <v>0.74</v>
      </c>
      <c r="D10" s="76"/>
      <c r="E10" s="81" t="s">
        <v>33</v>
      </c>
      <c r="F10" s="82">
        <v>481.52</v>
      </c>
      <c r="G10" s="76"/>
      <c r="H10" s="79">
        <v>1.4</v>
      </c>
      <c r="I10" s="80">
        <v>0.73</v>
      </c>
      <c r="J10" s="80">
        <v>0.91</v>
      </c>
      <c r="K10" s="76"/>
      <c r="L10" s="81" t="s">
        <v>33</v>
      </c>
      <c r="M10" s="82">
        <v>432.2</v>
      </c>
      <c r="N10" s="76"/>
      <c r="O10" s="79">
        <v>1.4</v>
      </c>
      <c r="P10" s="80">
        <v>0.6</v>
      </c>
      <c r="Q10" s="80">
        <v>0.93</v>
      </c>
      <c r="R10" s="76"/>
      <c r="S10" s="81" t="s">
        <v>33</v>
      </c>
      <c r="T10" s="82">
        <v>425.9</v>
      </c>
      <c r="U10" s="76"/>
      <c r="V10" s="79">
        <v>1.4</v>
      </c>
      <c r="W10" s="80">
        <v>0.22</v>
      </c>
      <c r="X10" s="80">
        <v>0.77</v>
      </c>
      <c r="Y10" s="76"/>
      <c r="Z10" s="81" t="s">
        <v>33</v>
      </c>
      <c r="AA10" s="82">
        <v>442.99</v>
      </c>
      <c r="AB10" s="76"/>
      <c r="AC10" s="79">
        <v>1.4</v>
      </c>
      <c r="AD10" s="80">
        <v>0.46</v>
      </c>
      <c r="AE10" s="80">
        <v>0.73</v>
      </c>
      <c r="AF10" s="76"/>
      <c r="AG10" s="81" t="s">
        <v>33</v>
      </c>
      <c r="AH10" s="82">
        <v>442.03</v>
      </c>
      <c r="AI10" s="76"/>
      <c r="AJ10" s="79">
        <v>1.4</v>
      </c>
      <c r="AK10" s="80">
        <v>0.59</v>
      </c>
      <c r="AL10" s="80">
        <v>0.84</v>
      </c>
      <c r="AM10" s="76"/>
      <c r="AN10" s="81" t="s">
        <v>33</v>
      </c>
      <c r="AO10" s="82">
        <v>433.56</v>
      </c>
      <c r="AP10" s="76"/>
      <c r="AQ10" s="79">
        <v>1.4</v>
      </c>
      <c r="AR10" s="80">
        <v>0.51</v>
      </c>
      <c r="AS10" s="80">
        <v>0.79</v>
      </c>
      <c r="AT10" s="76"/>
      <c r="AU10" s="81" t="s">
        <v>33</v>
      </c>
      <c r="AV10" s="82">
        <v>410.16</v>
      </c>
      <c r="AW10" s="76"/>
      <c r="AX10" s="79">
        <v>1.4</v>
      </c>
      <c r="AY10" s="80">
        <v>0.54</v>
      </c>
      <c r="AZ10" s="80">
        <v>0.99</v>
      </c>
      <c r="BA10" s="76"/>
      <c r="BB10" s="81" t="s">
        <v>33</v>
      </c>
      <c r="BC10" s="82">
        <v>394.17</v>
      </c>
    </row>
    <row r="11" spans="1:55" x14ac:dyDescent="0.25">
      <c r="A11" s="79">
        <v>1.65</v>
      </c>
      <c r="B11" s="80">
        <v>0.72</v>
      </c>
      <c r="C11" s="80">
        <v>0.97</v>
      </c>
      <c r="D11" s="76"/>
      <c r="E11" s="81" t="s">
        <v>34</v>
      </c>
      <c r="F11" s="82">
        <v>8.15</v>
      </c>
      <c r="G11" s="76"/>
      <c r="H11" s="79">
        <v>1.65</v>
      </c>
      <c r="I11" s="80">
        <v>0.9</v>
      </c>
      <c r="J11" s="80">
        <v>1.1599999999999999</v>
      </c>
      <c r="K11" s="76"/>
      <c r="L11" s="81" t="s">
        <v>34</v>
      </c>
      <c r="M11" s="82">
        <v>6.04</v>
      </c>
      <c r="N11" s="76"/>
      <c r="O11" s="79">
        <v>1.65</v>
      </c>
      <c r="P11" s="80">
        <v>0.74</v>
      </c>
      <c r="Q11" s="80">
        <v>1.2</v>
      </c>
      <c r="R11" s="76"/>
      <c r="S11" s="81" t="s">
        <v>34</v>
      </c>
      <c r="T11" s="82">
        <v>7.05</v>
      </c>
      <c r="U11" s="76"/>
      <c r="V11" s="79">
        <v>1.65</v>
      </c>
      <c r="W11" s="80">
        <v>0.27</v>
      </c>
      <c r="X11" s="80">
        <v>0.98</v>
      </c>
      <c r="Y11" s="76"/>
      <c r="Z11" s="81" t="s">
        <v>34</v>
      </c>
      <c r="AA11" s="82">
        <v>6.03</v>
      </c>
      <c r="AB11" s="76"/>
      <c r="AC11" s="79">
        <v>1.65</v>
      </c>
      <c r="AD11" s="80">
        <v>0.56000000000000005</v>
      </c>
      <c r="AE11" s="80">
        <v>0.94</v>
      </c>
      <c r="AF11" s="76"/>
      <c r="AG11" s="81" t="s">
        <v>34</v>
      </c>
      <c r="AH11" s="82">
        <v>5.89</v>
      </c>
      <c r="AI11" s="76"/>
      <c r="AJ11" s="79">
        <v>1.65</v>
      </c>
      <c r="AK11" s="80">
        <v>0.72</v>
      </c>
      <c r="AL11" s="80">
        <v>1.08</v>
      </c>
      <c r="AM11" s="76"/>
      <c r="AN11" s="81" t="s">
        <v>34</v>
      </c>
      <c r="AO11" s="82">
        <v>6.9</v>
      </c>
      <c r="AP11" s="76"/>
      <c r="AQ11" s="79">
        <v>1.65</v>
      </c>
      <c r="AR11" s="80">
        <v>0.62</v>
      </c>
      <c r="AS11" s="80">
        <v>1.01</v>
      </c>
      <c r="AT11" s="76"/>
      <c r="AU11" s="81" t="s">
        <v>34</v>
      </c>
      <c r="AV11" s="82">
        <v>5.13</v>
      </c>
      <c r="AW11" s="76"/>
      <c r="AX11" s="79">
        <v>1.65</v>
      </c>
      <c r="AY11" s="80">
        <v>0.65</v>
      </c>
      <c r="AZ11" s="80">
        <v>1.27</v>
      </c>
      <c r="BA11" s="76"/>
      <c r="BB11" s="81" t="s">
        <v>34</v>
      </c>
      <c r="BC11" s="82">
        <v>5.64</v>
      </c>
    </row>
    <row r="12" spans="1:55" x14ac:dyDescent="0.25">
      <c r="A12" s="79">
        <v>1.95</v>
      </c>
      <c r="B12" s="80">
        <v>0.88</v>
      </c>
      <c r="C12" s="80">
        <v>1.26</v>
      </c>
      <c r="D12" s="76"/>
      <c r="E12" s="76"/>
      <c r="F12" s="83"/>
      <c r="G12" s="76"/>
      <c r="H12" s="79">
        <v>1.95</v>
      </c>
      <c r="I12" s="80">
        <v>1.03</v>
      </c>
      <c r="J12" s="80">
        <v>1.45</v>
      </c>
      <c r="K12" s="76"/>
      <c r="L12" s="76"/>
      <c r="M12" s="84"/>
      <c r="N12" s="76"/>
      <c r="O12" s="79">
        <v>1.95</v>
      </c>
      <c r="P12" s="80">
        <v>0.86</v>
      </c>
      <c r="Q12" s="80">
        <v>1.5</v>
      </c>
      <c r="R12" s="76"/>
      <c r="S12" s="76"/>
      <c r="T12" s="84"/>
      <c r="U12" s="76"/>
      <c r="V12" s="79">
        <v>1.95</v>
      </c>
      <c r="W12" s="80">
        <v>0.32</v>
      </c>
      <c r="X12" s="80">
        <v>1.23</v>
      </c>
      <c r="Y12" s="76"/>
      <c r="Z12" s="76"/>
      <c r="AA12" s="84"/>
      <c r="AB12" s="76"/>
      <c r="AC12" s="79">
        <v>1.95</v>
      </c>
      <c r="AD12" s="80">
        <v>0.66</v>
      </c>
      <c r="AE12" s="80">
        <v>1.17</v>
      </c>
      <c r="AF12" s="76"/>
      <c r="AG12" s="76"/>
      <c r="AH12" s="84"/>
      <c r="AI12" s="76"/>
      <c r="AJ12" s="79">
        <v>1.95</v>
      </c>
      <c r="AK12" s="80">
        <v>0.84</v>
      </c>
      <c r="AL12" s="80">
        <v>1.36</v>
      </c>
      <c r="AM12" s="76"/>
      <c r="AN12" s="76"/>
      <c r="AO12" s="84"/>
      <c r="AP12" s="76"/>
      <c r="AQ12" s="79">
        <v>1.95</v>
      </c>
      <c r="AR12" s="80">
        <v>0.71</v>
      </c>
      <c r="AS12" s="80">
        <v>1.26</v>
      </c>
      <c r="AT12" s="76"/>
      <c r="AU12" s="76"/>
      <c r="AV12" s="84"/>
      <c r="AW12" s="76"/>
      <c r="AX12" s="79">
        <v>1.95</v>
      </c>
      <c r="AY12" s="80">
        <v>0.75</v>
      </c>
      <c r="AZ12" s="80">
        <v>1.58</v>
      </c>
      <c r="BA12" s="76"/>
      <c r="BB12" s="76"/>
      <c r="BC12" s="84"/>
    </row>
    <row r="13" spans="1:55" x14ac:dyDescent="0.25">
      <c r="A13" s="79">
        <v>2.2999999999999998</v>
      </c>
      <c r="B13" s="80">
        <v>1</v>
      </c>
      <c r="C13" s="80">
        <v>1.58</v>
      </c>
      <c r="D13" s="76"/>
      <c r="E13" s="76"/>
      <c r="F13" s="83"/>
      <c r="G13" s="76"/>
      <c r="H13" s="79">
        <v>2.2999999999999998</v>
      </c>
      <c r="I13" s="80">
        <v>1.1499999999999999</v>
      </c>
      <c r="J13" s="80">
        <v>1.77</v>
      </c>
      <c r="K13" s="76"/>
      <c r="L13" s="76"/>
      <c r="M13" s="84"/>
      <c r="N13" s="76"/>
      <c r="O13" s="79">
        <v>2.2999999999999998</v>
      </c>
      <c r="P13" s="80">
        <v>0.97</v>
      </c>
      <c r="Q13" s="80">
        <v>1.85</v>
      </c>
      <c r="R13" s="76"/>
      <c r="S13" s="76"/>
      <c r="T13" s="84"/>
      <c r="U13" s="76"/>
      <c r="V13" s="79">
        <v>2.2999999999999998</v>
      </c>
      <c r="W13" s="80">
        <v>0.35</v>
      </c>
      <c r="X13" s="80">
        <v>1.51</v>
      </c>
      <c r="Y13" s="76"/>
      <c r="Z13" s="76"/>
      <c r="AA13" s="84"/>
      <c r="AB13" s="76"/>
      <c r="AC13" s="79">
        <v>2.2999999999999998</v>
      </c>
      <c r="AD13" s="80">
        <v>0.74</v>
      </c>
      <c r="AE13" s="80">
        <v>1.43</v>
      </c>
      <c r="AF13" s="76"/>
      <c r="AG13" s="76"/>
      <c r="AH13" s="84"/>
      <c r="AI13" s="76"/>
      <c r="AJ13" s="79">
        <v>2.2999999999999998</v>
      </c>
      <c r="AK13" s="80">
        <v>0.95</v>
      </c>
      <c r="AL13" s="80">
        <v>1.68</v>
      </c>
      <c r="AM13" s="76"/>
      <c r="AN13" s="76"/>
      <c r="AO13" s="84"/>
      <c r="AP13" s="76"/>
      <c r="AQ13" s="79">
        <v>2.2999999999999998</v>
      </c>
      <c r="AR13" s="80">
        <v>0.79</v>
      </c>
      <c r="AS13" s="80">
        <v>1.53</v>
      </c>
      <c r="AT13" s="76"/>
      <c r="AU13" s="76"/>
      <c r="AV13" s="84"/>
      <c r="AW13" s="76"/>
      <c r="AX13" s="79">
        <v>2.2999999999999998</v>
      </c>
      <c r="AY13" s="80">
        <v>0.83</v>
      </c>
      <c r="AZ13" s="80">
        <v>1.93</v>
      </c>
      <c r="BA13" s="76"/>
      <c r="BB13" s="76"/>
      <c r="BC13" s="84"/>
    </row>
    <row r="14" spans="1:55" x14ac:dyDescent="0.25">
      <c r="A14" s="79">
        <v>2.72</v>
      </c>
      <c r="B14" s="80">
        <v>1.07</v>
      </c>
      <c r="C14" s="80">
        <v>1.92</v>
      </c>
      <c r="D14" s="76"/>
      <c r="E14" s="81" t="s">
        <v>35</v>
      </c>
      <c r="F14" s="82" t="s">
        <v>20</v>
      </c>
      <c r="G14" s="76"/>
      <c r="H14" s="79">
        <v>2.72</v>
      </c>
      <c r="I14" s="80">
        <v>1.24</v>
      </c>
      <c r="J14" s="80">
        <v>2.12</v>
      </c>
      <c r="K14" s="76"/>
      <c r="L14" s="85" t="s">
        <v>35</v>
      </c>
      <c r="M14" s="82" t="s">
        <v>36</v>
      </c>
      <c r="N14" s="76"/>
      <c r="O14" s="79">
        <v>2.72</v>
      </c>
      <c r="P14" s="80">
        <v>1.05</v>
      </c>
      <c r="Q14" s="80">
        <v>2.23</v>
      </c>
      <c r="R14" s="76"/>
      <c r="S14" s="85" t="s">
        <v>35</v>
      </c>
      <c r="T14" s="82" t="s">
        <v>37</v>
      </c>
      <c r="U14" s="76"/>
      <c r="V14" s="79">
        <v>2.72</v>
      </c>
      <c r="W14" s="80">
        <v>0.38</v>
      </c>
      <c r="X14" s="80">
        <v>1.81</v>
      </c>
      <c r="Y14" s="76"/>
      <c r="Z14" s="85" t="s">
        <v>35</v>
      </c>
      <c r="AA14" s="82" t="s">
        <v>38</v>
      </c>
      <c r="AB14" s="76"/>
      <c r="AC14" s="79">
        <v>2.72</v>
      </c>
      <c r="AD14" s="80">
        <v>0.8</v>
      </c>
      <c r="AE14" s="80">
        <v>1.72</v>
      </c>
      <c r="AF14" s="76"/>
      <c r="AG14" s="85" t="s">
        <v>35</v>
      </c>
      <c r="AH14" s="86" t="s">
        <v>39</v>
      </c>
      <c r="AI14" s="76"/>
      <c r="AJ14" s="79">
        <v>2.72</v>
      </c>
      <c r="AK14" s="80">
        <v>1.03</v>
      </c>
      <c r="AL14" s="80">
        <v>2.0299999999999998</v>
      </c>
      <c r="AM14" s="76"/>
      <c r="AN14" s="85" t="s">
        <v>35</v>
      </c>
      <c r="AO14" s="82" t="s">
        <v>40</v>
      </c>
      <c r="AP14" s="76"/>
      <c r="AQ14" s="79">
        <v>2.72</v>
      </c>
      <c r="AR14" s="80">
        <v>0.84</v>
      </c>
      <c r="AS14" s="80">
        <v>1.82</v>
      </c>
      <c r="AT14" s="76"/>
      <c r="AU14" s="85" t="s">
        <v>35</v>
      </c>
      <c r="AV14" s="82" t="s">
        <v>41</v>
      </c>
      <c r="AW14" s="76"/>
      <c r="AX14" s="79">
        <v>2.72</v>
      </c>
      <c r="AY14" s="80">
        <v>0.89</v>
      </c>
      <c r="AZ14" s="80">
        <v>2.2999999999999998</v>
      </c>
      <c r="BA14" s="76"/>
      <c r="BB14" s="85" t="s">
        <v>35</v>
      </c>
      <c r="BC14" s="82" t="s">
        <v>42</v>
      </c>
    </row>
    <row r="15" spans="1:55" x14ac:dyDescent="0.25">
      <c r="A15" s="79">
        <v>3.2</v>
      </c>
      <c r="B15" s="80">
        <v>1.1100000000000001</v>
      </c>
      <c r="C15" s="80">
        <v>2.2799999999999998</v>
      </c>
      <c r="D15" s="76"/>
      <c r="E15" s="76"/>
      <c r="F15" s="83"/>
      <c r="G15" s="76"/>
      <c r="H15" s="79">
        <v>3.2</v>
      </c>
      <c r="I15" s="80">
        <v>1.31</v>
      </c>
      <c r="J15" s="80">
        <v>2.4900000000000002</v>
      </c>
      <c r="K15" s="76"/>
      <c r="L15" s="76"/>
      <c r="M15" s="83"/>
      <c r="N15" s="76"/>
      <c r="O15" s="79">
        <v>3.2</v>
      </c>
      <c r="P15" s="80">
        <v>1.1299999999999999</v>
      </c>
      <c r="Q15" s="80">
        <v>2.63</v>
      </c>
      <c r="R15" s="76"/>
      <c r="S15" s="76"/>
      <c r="T15" s="83"/>
      <c r="U15" s="76"/>
      <c r="V15" s="79">
        <v>3.2</v>
      </c>
      <c r="W15" s="80">
        <v>0.41</v>
      </c>
      <c r="X15" s="80">
        <v>2.14</v>
      </c>
      <c r="Y15" s="76"/>
      <c r="Z15" s="76"/>
      <c r="AA15" s="83"/>
      <c r="AB15" s="76"/>
      <c r="AC15" s="79">
        <v>3.2</v>
      </c>
      <c r="AD15" s="80">
        <v>0.86</v>
      </c>
      <c r="AE15" s="80">
        <v>2.0299999999999998</v>
      </c>
      <c r="AF15" s="76"/>
      <c r="AG15" s="76"/>
      <c r="AH15" s="84" t="s">
        <v>43</v>
      </c>
      <c r="AI15" s="76"/>
      <c r="AJ15" s="79">
        <v>3.2</v>
      </c>
      <c r="AK15" s="80">
        <v>1.1000000000000001</v>
      </c>
      <c r="AL15" s="80">
        <v>2.4</v>
      </c>
      <c r="AM15" s="76"/>
      <c r="AN15" s="76"/>
      <c r="AO15" s="83"/>
      <c r="AP15" s="76"/>
      <c r="AQ15" s="79">
        <v>3.2</v>
      </c>
      <c r="AR15" s="80">
        <v>0.9</v>
      </c>
      <c r="AS15" s="80">
        <v>2.14</v>
      </c>
      <c r="AT15" s="76"/>
      <c r="AU15" s="76"/>
      <c r="AV15" s="83"/>
      <c r="AW15" s="76"/>
      <c r="AX15" s="79">
        <v>3.2</v>
      </c>
      <c r="AY15" s="80">
        <v>0.95</v>
      </c>
      <c r="AZ15" s="80">
        <v>2.7</v>
      </c>
      <c r="BA15" s="76"/>
      <c r="BB15" s="76"/>
      <c r="BC15" s="83"/>
    </row>
    <row r="16" spans="1:55" x14ac:dyDescent="0.25">
      <c r="A16" s="79">
        <v>3.78</v>
      </c>
      <c r="B16" s="80">
        <v>1.17</v>
      </c>
      <c r="C16" s="80">
        <v>2.65</v>
      </c>
      <c r="D16" s="76"/>
      <c r="E16" s="76"/>
      <c r="F16" s="83"/>
      <c r="G16" s="76"/>
      <c r="H16" s="79">
        <v>3.78</v>
      </c>
      <c r="I16" s="80">
        <v>1.39</v>
      </c>
      <c r="J16" s="80">
        <v>2.88</v>
      </c>
      <c r="K16" s="76"/>
      <c r="L16" s="76"/>
      <c r="M16" s="83"/>
      <c r="N16" s="76"/>
      <c r="O16" s="79">
        <v>3.78</v>
      </c>
      <c r="P16" s="80">
        <v>1.23</v>
      </c>
      <c r="Q16" s="80">
        <v>3.08</v>
      </c>
      <c r="R16" s="76"/>
      <c r="S16" s="76"/>
      <c r="T16" s="83"/>
      <c r="U16" s="76"/>
      <c r="V16" s="79">
        <v>3.78</v>
      </c>
      <c r="W16" s="80">
        <v>0.44</v>
      </c>
      <c r="X16" s="80">
        <v>2.4900000000000002</v>
      </c>
      <c r="Y16" s="76"/>
      <c r="Z16" s="76"/>
      <c r="AA16" s="83"/>
      <c r="AB16" s="76"/>
      <c r="AC16" s="79">
        <v>3.78</v>
      </c>
      <c r="AD16" s="80">
        <v>0.93</v>
      </c>
      <c r="AE16" s="80">
        <v>2.36</v>
      </c>
      <c r="AF16" s="76"/>
      <c r="AG16" s="76"/>
      <c r="AH16" s="83"/>
      <c r="AI16" s="76"/>
      <c r="AJ16" s="79">
        <v>3.78</v>
      </c>
      <c r="AK16" s="80">
        <v>1.19</v>
      </c>
      <c r="AL16" s="80">
        <v>2.8</v>
      </c>
      <c r="AM16" s="76"/>
      <c r="AN16" s="76"/>
      <c r="AO16" s="83"/>
      <c r="AP16" s="76"/>
      <c r="AQ16" s="79">
        <v>3.78</v>
      </c>
      <c r="AR16" s="80">
        <v>0.97</v>
      </c>
      <c r="AS16" s="80">
        <v>2.4700000000000002</v>
      </c>
      <c r="AT16" s="76"/>
      <c r="AU16" s="76"/>
      <c r="AV16" s="83"/>
      <c r="AW16" s="76"/>
      <c r="AX16" s="79">
        <v>3.78</v>
      </c>
      <c r="AY16" s="80">
        <v>1.03</v>
      </c>
      <c r="AZ16" s="80">
        <v>3.13</v>
      </c>
      <c r="BA16" s="76"/>
      <c r="BB16" s="76"/>
      <c r="BC16" s="83"/>
    </row>
    <row r="17" spans="1:55" x14ac:dyDescent="0.25">
      <c r="A17" s="79">
        <v>4.46</v>
      </c>
      <c r="B17" s="80">
        <v>1.29</v>
      </c>
      <c r="C17" s="80">
        <v>3.07</v>
      </c>
      <c r="D17" s="76"/>
      <c r="E17" s="76"/>
      <c r="F17" s="83"/>
      <c r="G17" s="76"/>
      <c r="H17" s="79">
        <v>4.46</v>
      </c>
      <c r="I17" s="80">
        <v>1.5</v>
      </c>
      <c r="J17" s="80">
        <v>3.3</v>
      </c>
      <c r="K17" s="76"/>
      <c r="L17" s="76"/>
      <c r="M17" s="83"/>
      <c r="N17" s="76"/>
      <c r="O17" s="79">
        <v>4.46</v>
      </c>
      <c r="P17" s="80">
        <v>1.37</v>
      </c>
      <c r="Q17" s="80">
        <v>3.57</v>
      </c>
      <c r="R17" s="76"/>
      <c r="S17" s="76"/>
      <c r="T17" s="83"/>
      <c r="U17" s="76"/>
      <c r="V17" s="79">
        <v>4.46</v>
      </c>
      <c r="W17" s="80">
        <v>0.48</v>
      </c>
      <c r="X17" s="80">
        <v>2.87</v>
      </c>
      <c r="Y17" s="76"/>
      <c r="Z17" s="76"/>
      <c r="AA17" s="83"/>
      <c r="AB17" s="76"/>
      <c r="AC17" s="79">
        <v>4.46</v>
      </c>
      <c r="AD17" s="80">
        <v>1.01</v>
      </c>
      <c r="AE17" s="80">
        <v>2.72</v>
      </c>
      <c r="AF17" s="76"/>
      <c r="AG17" s="76"/>
      <c r="AH17" s="83"/>
      <c r="AI17" s="76"/>
      <c r="AJ17" s="79">
        <v>4.46</v>
      </c>
      <c r="AK17" s="80">
        <v>1.32</v>
      </c>
      <c r="AL17" s="80">
        <v>3.24</v>
      </c>
      <c r="AM17" s="76"/>
      <c r="AN17" s="76"/>
      <c r="AO17" s="83"/>
      <c r="AP17" s="76"/>
      <c r="AQ17" s="79">
        <v>4.46</v>
      </c>
      <c r="AR17" s="80">
        <v>1.06</v>
      </c>
      <c r="AS17" s="80">
        <v>2.84</v>
      </c>
      <c r="AT17" s="76"/>
      <c r="AU17" s="76"/>
      <c r="AV17" s="83"/>
      <c r="AW17" s="76"/>
      <c r="AX17" s="79">
        <v>4.46</v>
      </c>
      <c r="AY17" s="80">
        <v>1.1299999999999999</v>
      </c>
      <c r="AZ17" s="80">
        <v>3.6</v>
      </c>
      <c r="BA17" s="76"/>
      <c r="BB17" s="76"/>
      <c r="BC17" s="83"/>
    </row>
    <row r="18" spans="1:55" x14ac:dyDescent="0.25">
      <c r="A18" s="79">
        <v>5.27</v>
      </c>
      <c r="B18" s="80">
        <v>1.4</v>
      </c>
      <c r="C18" s="80">
        <v>3.52</v>
      </c>
      <c r="D18" s="76"/>
      <c r="E18" s="76"/>
      <c r="F18" s="83"/>
      <c r="G18" s="76"/>
      <c r="H18" s="79">
        <v>5.27</v>
      </c>
      <c r="I18" s="80">
        <v>1.62</v>
      </c>
      <c r="J18" s="80">
        <v>3.75</v>
      </c>
      <c r="K18" s="76"/>
      <c r="L18" s="76"/>
      <c r="M18" s="83"/>
      <c r="N18" s="76"/>
      <c r="O18" s="79">
        <v>5.27</v>
      </c>
      <c r="P18" s="80">
        <v>1.51</v>
      </c>
      <c r="Q18" s="80">
        <v>4.1100000000000003</v>
      </c>
      <c r="R18" s="76"/>
      <c r="S18" s="76"/>
      <c r="T18" s="83"/>
      <c r="U18" s="76"/>
      <c r="V18" s="79">
        <v>5.27</v>
      </c>
      <c r="W18" s="80">
        <v>0.52</v>
      </c>
      <c r="X18" s="80">
        <v>3.28</v>
      </c>
      <c r="Y18" s="76"/>
      <c r="Z18" s="76"/>
      <c r="AA18" s="83"/>
      <c r="AB18" s="76"/>
      <c r="AC18" s="79">
        <v>5.27</v>
      </c>
      <c r="AD18" s="80">
        <v>1.1100000000000001</v>
      </c>
      <c r="AE18" s="80">
        <v>3.12</v>
      </c>
      <c r="AF18" s="76"/>
      <c r="AG18" s="21" t="s">
        <v>13</v>
      </c>
      <c r="AH18" s="83"/>
      <c r="AI18" s="76"/>
      <c r="AJ18" s="79">
        <v>5.27</v>
      </c>
      <c r="AK18" s="80">
        <v>1.46</v>
      </c>
      <c r="AL18" s="80">
        <v>3.73</v>
      </c>
      <c r="AM18" s="76"/>
      <c r="AN18" s="76"/>
      <c r="AO18" s="83"/>
      <c r="AP18" s="76"/>
      <c r="AQ18" s="79">
        <v>5.27</v>
      </c>
      <c r="AR18" s="80">
        <v>1.17</v>
      </c>
      <c r="AS18" s="80">
        <v>3.25</v>
      </c>
      <c r="AT18" s="76"/>
      <c r="AU18" s="76"/>
      <c r="AV18" s="83"/>
      <c r="AW18" s="76"/>
      <c r="AX18" s="79">
        <v>5.27</v>
      </c>
      <c r="AY18" s="80">
        <v>1.25</v>
      </c>
      <c r="AZ18" s="80">
        <v>4.13</v>
      </c>
      <c r="BA18" s="76"/>
      <c r="BB18" s="76"/>
      <c r="BC18" s="83"/>
    </row>
    <row r="19" spans="1:55" x14ac:dyDescent="0.25">
      <c r="A19" s="79">
        <v>6.21</v>
      </c>
      <c r="B19" s="80">
        <v>1.53</v>
      </c>
      <c r="C19" s="80">
        <v>4.01</v>
      </c>
      <c r="D19" s="76"/>
      <c r="E19" s="76"/>
      <c r="F19" s="83"/>
      <c r="G19" s="76"/>
      <c r="H19" s="79">
        <v>6.21</v>
      </c>
      <c r="I19" s="80">
        <v>1.78</v>
      </c>
      <c r="J19" s="80">
        <v>4.25</v>
      </c>
      <c r="K19" s="76"/>
      <c r="L19" s="76"/>
      <c r="M19" s="83"/>
      <c r="N19" s="76"/>
      <c r="O19" s="79">
        <v>6.21</v>
      </c>
      <c r="P19" s="80">
        <v>1.66</v>
      </c>
      <c r="Q19" s="80">
        <v>4.7</v>
      </c>
      <c r="R19" s="76"/>
      <c r="S19" s="76"/>
      <c r="T19" s="83"/>
      <c r="U19" s="76"/>
      <c r="V19" s="79">
        <v>6.21</v>
      </c>
      <c r="W19" s="80">
        <v>0.56999999999999995</v>
      </c>
      <c r="X19" s="80">
        <v>3.73</v>
      </c>
      <c r="Y19" s="76"/>
      <c r="Z19" s="76"/>
      <c r="AA19" s="83"/>
      <c r="AB19" s="76"/>
      <c r="AC19" s="79">
        <v>6.21</v>
      </c>
      <c r="AD19" s="80">
        <v>1.22</v>
      </c>
      <c r="AE19" s="80">
        <v>3.56</v>
      </c>
      <c r="AF19" s="76"/>
      <c r="AG19" s="22">
        <f>100-0</f>
        <v>100</v>
      </c>
      <c r="AH19" s="83"/>
      <c r="AI19" s="76"/>
      <c r="AJ19" s="79">
        <v>6.21</v>
      </c>
      <c r="AK19" s="80">
        <v>1.6</v>
      </c>
      <c r="AL19" s="80">
        <v>4.2699999999999996</v>
      </c>
      <c r="AM19" s="76"/>
      <c r="AN19" s="76"/>
      <c r="AO19" s="83"/>
      <c r="AP19" s="76"/>
      <c r="AQ19" s="79">
        <v>6.21</v>
      </c>
      <c r="AR19" s="80">
        <v>1.29</v>
      </c>
      <c r="AS19" s="80">
        <v>3.69</v>
      </c>
      <c r="AT19" s="76"/>
      <c r="AU19" s="76"/>
      <c r="AV19" s="83"/>
      <c r="AW19" s="76"/>
      <c r="AX19" s="79">
        <v>6.21</v>
      </c>
      <c r="AY19" s="80">
        <v>1.38</v>
      </c>
      <c r="AZ19" s="80">
        <v>4.7</v>
      </c>
      <c r="BA19" s="76"/>
      <c r="BB19" s="76"/>
      <c r="BC19" s="83"/>
    </row>
    <row r="20" spans="1:55" x14ac:dyDescent="0.25">
      <c r="A20" s="79">
        <v>7.33</v>
      </c>
      <c r="B20" s="80">
        <v>1.67</v>
      </c>
      <c r="C20" s="80">
        <v>4.54</v>
      </c>
      <c r="D20" s="76"/>
      <c r="E20" s="76"/>
      <c r="F20" s="83"/>
      <c r="G20" s="76"/>
      <c r="H20" s="79">
        <v>7.33</v>
      </c>
      <c r="I20" s="80">
        <v>1.96</v>
      </c>
      <c r="J20" s="80">
        <v>2.48</v>
      </c>
      <c r="K20" s="76"/>
      <c r="L20" s="76"/>
      <c r="M20" s="83"/>
      <c r="N20" s="76"/>
      <c r="O20" s="79">
        <v>7.33</v>
      </c>
      <c r="P20" s="80">
        <v>1.81</v>
      </c>
      <c r="Q20" s="80">
        <v>5.35</v>
      </c>
      <c r="R20" s="76"/>
      <c r="S20" s="76"/>
      <c r="T20" s="83"/>
      <c r="U20" s="76"/>
      <c r="V20" s="79">
        <v>7.33</v>
      </c>
      <c r="W20" s="80">
        <v>0.63</v>
      </c>
      <c r="X20" s="80">
        <v>4.22</v>
      </c>
      <c r="Y20" s="76"/>
      <c r="Z20" s="76"/>
      <c r="AA20" s="83"/>
      <c r="AB20" s="76"/>
      <c r="AC20" s="79">
        <v>7.33</v>
      </c>
      <c r="AD20" s="80">
        <v>1.34</v>
      </c>
      <c r="AE20" s="80">
        <v>4.03</v>
      </c>
      <c r="AF20" s="76"/>
      <c r="AG20" s="23">
        <v>95</v>
      </c>
      <c r="AH20" s="83"/>
      <c r="AI20" s="76"/>
      <c r="AJ20" s="79">
        <v>7.33</v>
      </c>
      <c r="AK20" s="80">
        <v>1.75</v>
      </c>
      <c r="AL20" s="80">
        <v>7.86</v>
      </c>
      <c r="AM20" s="76"/>
      <c r="AN20" s="76"/>
      <c r="AO20" s="83"/>
      <c r="AP20" s="76"/>
      <c r="AQ20" s="79">
        <v>7.33</v>
      </c>
      <c r="AR20" s="80">
        <v>1.41</v>
      </c>
      <c r="AS20" s="80">
        <v>4.1900000000000004</v>
      </c>
      <c r="AT20" s="76"/>
      <c r="AU20" s="76"/>
      <c r="AV20" s="83"/>
      <c r="AW20" s="76"/>
      <c r="AX20" s="79">
        <v>7.33</v>
      </c>
      <c r="AY20" s="80">
        <v>1.53</v>
      </c>
      <c r="AZ20" s="80">
        <v>5.34</v>
      </c>
      <c r="BA20" s="76"/>
      <c r="BB20" s="76"/>
      <c r="BC20" s="83"/>
    </row>
    <row r="21" spans="1:55" x14ac:dyDescent="0.25">
      <c r="A21" s="79">
        <v>8.65</v>
      </c>
      <c r="B21" s="80">
        <v>1.81</v>
      </c>
      <c r="C21" s="80">
        <v>5.13</v>
      </c>
      <c r="D21" s="76"/>
      <c r="E21" s="76"/>
      <c r="F21" s="83"/>
      <c r="G21" s="76"/>
      <c r="H21" s="79">
        <v>8.65</v>
      </c>
      <c r="I21" s="80">
        <v>2.1800000000000002</v>
      </c>
      <c r="J21" s="80">
        <v>5.41</v>
      </c>
      <c r="K21" s="76"/>
      <c r="L21" s="76"/>
      <c r="M21" s="83"/>
      <c r="N21" s="76"/>
      <c r="O21" s="79">
        <v>8.65</v>
      </c>
      <c r="P21" s="80">
        <v>2.0099999999999998</v>
      </c>
      <c r="Q21" s="80">
        <v>6.07</v>
      </c>
      <c r="R21" s="76"/>
      <c r="S21" s="76"/>
      <c r="T21" s="83"/>
      <c r="U21" s="76"/>
      <c r="V21" s="79">
        <v>8.65</v>
      </c>
      <c r="W21" s="80">
        <v>0.69</v>
      </c>
      <c r="X21" s="80">
        <v>4.7699999999999996</v>
      </c>
      <c r="Y21" s="76"/>
      <c r="Z21" s="76"/>
      <c r="AA21" s="83"/>
      <c r="AB21" s="76"/>
      <c r="AC21" s="79">
        <v>8.65</v>
      </c>
      <c r="AD21" s="80">
        <v>1.48</v>
      </c>
      <c r="AE21" s="80">
        <v>4.5599999999999996</v>
      </c>
      <c r="AF21" s="76"/>
      <c r="AG21" s="23">
        <f t="shared" ref="AG21:AG28" si="0">100-AF21</f>
        <v>100</v>
      </c>
      <c r="AH21" s="83"/>
      <c r="AI21" s="76"/>
      <c r="AJ21" s="79">
        <v>8.65</v>
      </c>
      <c r="AK21" s="80">
        <v>1.91</v>
      </c>
      <c r="AL21" s="80">
        <v>5.5</v>
      </c>
      <c r="AM21" s="76"/>
      <c r="AN21" s="76"/>
      <c r="AO21" s="83"/>
      <c r="AP21" s="76"/>
      <c r="AQ21" s="79">
        <v>8.65</v>
      </c>
      <c r="AR21" s="80">
        <v>1.56</v>
      </c>
      <c r="AS21" s="80">
        <v>4.7300000000000004</v>
      </c>
      <c r="AT21" s="76"/>
      <c r="AU21" s="76"/>
      <c r="AV21" s="83"/>
      <c r="AW21" s="76"/>
      <c r="AX21" s="79">
        <v>8.65</v>
      </c>
      <c r="AY21" s="80">
        <v>1.71</v>
      </c>
      <c r="AZ21" s="80">
        <v>6.06</v>
      </c>
      <c r="BA21" s="76"/>
      <c r="BB21" s="76"/>
      <c r="BC21" s="83"/>
    </row>
    <row r="22" spans="1:55" x14ac:dyDescent="0.25">
      <c r="A22" s="79">
        <v>10.210000000000001</v>
      </c>
      <c r="B22" s="80">
        <v>2</v>
      </c>
      <c r="C22" s="80">
        <v>5.77</v>
      </c>
      <c r="D22" s="76"/>
      <c r="E22" s="76"/>
      <c r="F22" s="83"/>
      <c r="G22" s="76"/>
      <c r="H22" s="79">
        <v>10.210000000000001</v>
      </c>
      <c r="I22" s="80">
        <v>2.4300000000000002</v>
      </c>
      <c r="J22" s="80">
        <v>6.09</v>
      </c>
      <c r="K22" s="76"/>
      <c r="L22" s="76"/>
      <c r="M22" s="83"/>
      <c r="N22" s="76"/>
      <c r="O22" s="79">
        <v>10.210000000000001</v>
      </c>
      <c r="P22" s="80">
        <v>2.27</v>
      </c>
      <c r="Q22" s="80">
        <v>6.88</v>
      </c>
      <c r="R22" s="76"/>
      <c r="S22" s="76"/>
      <c r="T22" s="83"/>
      <c r="U22" s="76"/>
      <c r="V22" s="79">
        <v>10.210000000000001</v>
      </c>
      <c r="W22" s="80">
        <v>0.78</v>
      </c>
      <c r="X22" s="80">
        <v>5.38</v>
      </c>
      <c r="Y22" s="76"/>
      <c r="Z22" s="76"/>
      <c r="AA22" s="83"/>
      <c r="AB22" s="76"/>
      <c r="AC22" s="79">
        <v>10.210000000000001</v>
      </c>
      <c r="AD22" s="80">
        <v>1.67</v>
      </c>
      <c r="AE22" s="80">
        <v>5.16</v>
      </c>
      <c r="AF22" s="76"/>
      <c r="AG22" s="23">
        <f t="shared" si="0"/>
        <v>100</v>
      </c>
      <c r="AH22" s="83"/>
      <c r="AI22" s="76"/>
      <c r="AJ22" s="79">
        <v>10.210000000000001</v>
      </c>
      <c r="AK22" s="80">
        <v>2.1</v>
      </c>
      <c r="AL22" s="80">
        <v>6.21</v>
      </c>
      <c r="AM22" s="76"/>
      <c r="AN22" s="76"/>
      <c r="AO22" s="83"/>
      <c r="AP22" s="76"/>
      <c r="AQ22" s="79">
        <v>10.210000000000001</v>
      </c>
      <c r="AR22" s="80">
        <v>1.73</v>
      </c>
      <c r="AS22" s="80">
        <v>5.33</v>
      </c>
      <c r="AT22" s="76"/>
      <c r="AU22" s="76"/>
      <c r="AV22" s="83"/>
      <c r="AW22" s="76"/>
      <c r="AX22" s="79">
        <v>10.210000000000001</v>
      </c>
      <c r="AY22" s="80">
        <v>1.93</v>
      </c>
      <c r="AZ22" s="80">
        <v>6.87</v>
      </c>
      <c r="BA22" s="76"/>
      <c r="BB22" s="76"/>
      <c r="BC22" s="83"/>
    </row>
    <row r="23" spans="1:55" x14ac:dyDescent="0.25">
      <c r="A23" s="79">
        <v>12.05</v>
      </c>
      <c r="B23" s="80">
        <v>2.2400000000000002</v>
      </c>
      <c r="C23" s="80">
        <v>6.49</v>
      </c>
      <c r="D23" s="76"/>
      <c r="E23" s="76"/>
      <c r="F23" s="83"/>
      <c r="G23" s="76"/>
      <c r="H23" s="79">
        <v>12.05</v>
      </c>
      <c r="I23" s="80">
        <v>2.81</v>
      </c>
      <c r="J23" s="80">
        <v>6.88</v>
      </c>
      <c r="K23" s="76"/>
      <c r="L23" s="76"/>
      <c r="M23" s="83"/>
      <c r="N23" s="76"/>
      <c r="O23" s="79">
        <v>12.05</v>
      </c>
      <c r="P23" s="80">
        <v>2.6</v>
      </c>
      <c r="Q23" s="80">
        <v>7.82</v>
      </c>
      <c r="R23" s="76"/>
      <c r="S23" s="76"/>
      <c r="T23" s="83"/>
      <c r="U23" s="76"/>
      <c r="V23" s="79">
        <v>12.05</v>
      </c>
      <c r="W23" s="80">
        <v>0.91</v>
      </c>
      <c r="X23" s="80">
        <v>6.1</v>
      </c>
      <c r="Y23" s="76"/>
      <c r="Z23" s="76"/>
      <c r="AA23" s="83"/>
      <c r="AB23" s="76"/>
      <c r="AC23" s="79">
        <v>12.05</v>
      </c>
      <c r="AD23" s="80">
        <v>1.93</v>
      </c>
      <c r="AE23" s="80">
        <v>5.85</v>
      </c>
      <c r="AF23" s="76"/>
      <c r="AG23" s="23">
        <f t="shared" si="0"/>
        <v>100</v>
      </c>
      <c r="AH23" s="83"/>
      <c r="AI23" s="76"/>
      <c r="AJ23" s="79">
        <v>12.05</v>
      </c>
      <c r="AK23" s="80">
        <v>2.35</v>
      </c>
      <c r="AL23" s="80">
        <v>7</v>
      </c>
      <c r="AM23" s="76"/>
      <c r="AN23" s="76"/>
      <c r="AO23" s="83"/>
      <c r="AP23" s="76"/>
      <c r="AQ23" s="79">
        <v>12.05</v>
      </c>
      <c r="AR23" s="80">
        <v>1.97</v>
      </c>
      <c r="AS23" s="80">
        <v>6.01</v>
      </c>
      <c r="AT23" s="76"/>
      <c r="AU23" s="76"/>
      <c r="AV23" s="83"/>
      <c r="AW23" s="76"/>
      <c r="AX23" s="79">
        <v>12.05</v>
      </c>
      <c r="AY23" s="80">
        <v>2.23</v>
      </c>
      <c r="AZ23" s="80">
        <v>7.8</v>
      </c>
      <c r="BA23" s="76"/>
      <c r="BB23" s="76"/>
      <c r="BC23" s="83"/>
    </row>
    <row r="24" spans="1:55" x14ac:dyDescent="0.25">
      <c r="A24" s="79">
        <v>14.22</v>
      </c>
      <c r="B24" s="80">
        <v>2.59</v>
      </c>
      <c r="C24" s="80">
        <v>7.32</v>
      </c>
      <c r="D24" s="76"/>
      <c r="E24" s="76"/>
      <c r="F24" s="83"/>
      <c r="G24" s="76"/>
      <c r="H24" s="79">
        <v>14.22</v>
      </c>
      <c r="I24" s="80">
        <v>3.43</v>
      </c>
      <c r="J24" s="80">
        <v>7.84</v>
      </c>
      <c r="K24" s="76"/>
      <c r="L24" s="76"/>
      <c r="M24" s="83"/>
      <c r="N24" s="76"/>
      <c r="O24" s="79">
        <v>14.22</v>
      </c>
      <c r="P24" s="80">
        <v>3.12</v>
      </c>
      <c r="Q24" s="80">
        <v>8.93</v>
      </c>
      <c r="R24" s="76"/>
      <c r="S24" s="76"/>
      <c r="T24" s="83"/>
      <c r="U24" s="76"/>
      <c r="V24" s="79">
        <v>14.22</v>
      </c>
      <c r="W24" s="80">
        <v>1.1299999999999999</v>
      </c>
      <c r="X24" s="80">
        <v>6.99</v>
      </c>
      <c r="Y24" s="76"/>
      <c r="Z24" s="76"/>
      <c r="AA24" s="83"/>
      <c r="AB24" s="76"/>
      <c r="AC24" s="79">
        <v>14.22</v>
      </c>
      <c r="AD24" s="80">
        <v>2.33</v>
      </c>
      <c r="AE24" s="80">
        <v>6.68</v>
      </c>
      <c r="AF24" s="76"/>
      <c r="AG24" s="23">
        <f t="shared" si="0"/>
        <v>100</v>
      </c>
      <c r="AH24" s="83"/>
      <c r="AI24" s="76"/>
      <c r="AJ24" s="79">
        <v>14.22</v>
      </c>
      <c r="AK24" s="80">
        <v>2.75</v>
      </c>
      <c r="AL24" s="80">
        <v>7.93</v>
      </c>
      <c r="AM24" s="76"/>
      <c r="AN24" s="76"/>
      <c r="AO24" s="83"/>
      <c r="AP24" s="76"/>
      <c r="AQ24" s="79">
        <v>14.22</v>
      </c>
      <c r="AR24" s="80">
        <v>2.38</v>
      </c>
      <c r="AS24" s="80">
        <v>6.84</v>
      </c>
      <c r="AT24" s="76"/>
      <c r="AU24" s="76"/>
      <c r="AV24" s="83"/>
      <c r="AW24" s="76"/>
      <c r="AX24" s="79">
        <v>14.22</v>
      </c>
      <c r="AY24" s="80">
        <v>2.71</v>
      </c>
      <c r="AZ24" s="80">
        <v>8.93</v>
      </c>
      <c r="BA24" s="76"/>
      <c r="BB24" s="76"/>
      <c r="BC24" s="83"/>
    </row>
    <row r="25" spans="1:55" x14ac:dyDescent="0.25">
      <c r="A25" s="79">
        <v>16.78</v>
      </c>
      <c r="B25" s="80">
        <v>3.04</v>
      </c>
      <c r="C25" s="80">
        <v>8.3000000000000007</v>
      </c>
      <c r="D25" s="76"/>
      <c r="E25" s="76"/>
      <c r="F25" s="83"/>
      <c r="G25" s="76"/>
      <c r="H25" s="79">
        <v>16.78</v>
      </c>
      <c r="I25" s="80">
        <v>4.29</v>
      </c>
      <c r="J25" s="80">
        <v>9.0399999999999991</v>
      </c>
      <c r="K25" s="76"/>
      <c r="L25" s="76"/>
      <c r="M25" s="83"/>
      <c r="N25" s="76"/>
      <c r="O25" s="79">
        <v>16.78</v>
      </c>
      <c r="P25" s="80">
        <v>3.78</v>
      </c>
      <c r="Q25" s="80">
        <v>10.29</v>
      </c>
      <c r="R25" s="76"/>
      <c r="S25" s="76"/>
      <c r="T25" s="83"/>
      <c r="U25" s="76"/>
      <c r="V25" s="79">
        <v>16.78</v>
      </c>
      <c r="W25" s="80">
        <v>1.45</v>
      </c>
      <c r="X25" s="80">
        <v>8.14</v>
      </c>
      <c r="Y25" s="76"/>
      <c r="Z25" s="76"/>
      <c r="AA25" s="83"/>
      <c r="AB25" s="76"/>
      <c r="AC25" s="79">
        <v>16.78</v>
      </c>
      <c r="AD25" s="80">
        <v>2.89</v>
      </c>
      <c r="AE25" s="80">
        <v>7.72</v>
      </c>
      <c r="AF25" s="76"/>
      <c r="AG25" s="23">
        <f t="shared" si="0"/>
        <v>100</v>
      </c>
      <c r="AH25" s="83"/>
      <c r="AI25" s="76"/>
      <c r="AJ25" s="79">
        <v>16.78</v>
      </c>
      <c r="AK25" s="80">
        <v>3.27</v>
      </c>
      <c r="AL25" s="80">
        <v>9.0299999999999994</v>
      </c>
      <c r="AM25" s="76"/>
      <c r="AN25" s="76"/>
      <c r="AO25" s="83"/>
      <c r="AP25" s="76"/>
      <c r="AQ25" s="79">
        <v>16.78</v>
      </c>
      <c r="AR25" s="80">
        <v>2.97</v>
      </c>
      <c r="AS25" s="80">
        <v>7.87</v>
      </c>
      <c r="AT25" s="76"/>
      <c r="AU25" s="76"/>
      <c r="AV25" s="83"/>
      <c r="AW25" s="76"/>
      <c r="AX25" s="79">
        <v>16.78</v>
      </c>
      <c r="AY25" s="80">
        <v>3.37</v>
      </c>
      <c r="AZ25" s="80">
        <v>10.34</v>
      </c>
      <c r="BA25" s="76"/>
      <c r="BB25" s="76"/>
      <c r="BC25" s="83"/>
    </row>
    <row r="26" spans="1:55" x14ac:dyDescent="0.25">
      <c r="A26" s="79">
        <v>19.809999999999999</v>
      </c>
      <c r="B26" s="80">
        <v>3.57</v>
      </c>
      <c r="C26" s="80">
        <v>9.44</v>
      </c>
      <c r="D26" s="76"/>
      <c r="E26" s="76"/>
      <c r="F26" s="83"/>
      <c r="G26" s="76"/>
      <c r="H26" s="79">
        <v>19.809999999999999</v>
      </c>
      <c r="I26" s="80">
        <v>5.43</v>
      </c>
      <c r="J26" s="80">
        <v>10.56</v>
      </c>
      <c r="K26" s="76"/>
      <c r="L26" s="76"/>
      <c r="M26" s="83"/>
      <c r="N26" s="76"/>
      <c r="O26" s="79">
        <v>19.809999999999999</v>
      </c>
      <c r="P26" s="80">
        <v>4.6100000000000003</v>
      </c>
      <c r="Q26" s="80">
        <v>11.94</v>
      </c>
      <c r="R26" s="76"/>
      <c r="S26" s="76"/>
      <c r="T26" s="83"/>
      <c r="U26" s="76"/>
      <c r="V26" s="79">
        <v>19.809999999999999</v>
      </c>
      <c r="W26" s="80">
        <v>1.85</v>
      </c>
      <c r="X26" s="80">
        <v>9.59</v>
      </c>
      <c r="Y26" s="76"/>
      <c r="Z26" s="76"/>
      <c r="AA26" s="83"/>
      <c r="AB26" s="76"/>
      <c r="AC26" s="79">
        <v>19.809999999999999</v>
      </c>
      <c r="AD26" s="80">
        <v>3.61</v>
      </c>
      <c r="AE26" s="80">
        <v>9.01</v>
      </c>
      <c r="AF26" s="76"/>
      <c r="AG26" s="23">
        <f t="shared" si="0"/>
        <v>100</v>
      </c>
      <c r="AH26" s="83"/>
      <c r="AI26" s="76"/>
      <c r="AJ26" s="79">
        <v>19.809999999999999</v>
      </c>
      <c r="AK26" s="80">
        <v>3.88</v>
      </c>
      <c r="AL26" s="80">
        <v>10.34</v>
      </c>
      <c r="AM26" s="76"/>
      <c r="AN26" s="76"/>
      <c r="AO26" s="83"/>
      <c r="AP26" s="76"/>
      <c r="AQ26" s="79">
        <v>19.809999999999999</v>
      </c>
      <c r="AR26" s="80">
        <v>3.76</v>
      </c>
      <c r="AS26" s="80">
        <v>9.18</v>
      </c>
      <c r="AT26" s="76"/>
      <c r="AU26" s="76"/>
      <c r="AV26" s="83"/>
      <c r="AW26" s="76"/>
      <c r="AX26" s="79">
        <v>19.809999999999999</v>
      </c>
      <c r="AY26" s="80">
        <v>4.3</v>
      </c>
      <c r="AZ26" s="80">
        <v>12.13</v>
      </c>
      <c r="BA26" s="76"/>
      <c r="BB26" s="76"/>
      <c r="BC26" s="83"/>
    </row>
    <row r="27" spans="1:55" x14ac:dyDescent="0.25">
      <c r="A27" s="79">
        <v>23.37</v>
      </c>
      <c r="B27" s="80">
        <v>4.09</v>
      </c>
      <c r="C27" s="80">
        <v>10.76</v>
      </c>
      <c r="D27" s="76"/>
      <c r="E27" s="76"/>
      <c r="F27" s="83"/>
      <c r="G27" s="76"/>
      <c r="H27" s="79">
        <v>23.37</v>
      </c>
      <c r="I27" s="80">
        <v>6.71</v>
      </c>
      <c r="J27" s="80">
        <v>12.44</v>
      </c>
      <c r="K27" s="76"/>
      <c r="L27" s="76"/>
      <c r="M27" s="83"/>
      <c r="N27" s="76"/>
      <c r="O27" s="79">
        <v>23.37</v>
      </c>
      <c r="P27" s="80">
        <v>5.42</v>
      </c>
      <c r="Q27" s="80">
        <v>13.88</v>
      </c>
      <c r="R27" s="76"/>
      <c r="S27" s="76"/>
      <c r="T27" s="83"/>
      <c r="U27" s="76"/>
      <c r="V27" s="79">
        <v>23.37</v>
      </c>
      <c r="W27" s="80">
        <v>2.2599999999999998</v>
      </c>
      <c r="X27" s="80">
        <v>11.37</v>
      </c>
      <c r="Y27" s="76"/>
      <c r="Z27" s="76"/>
      <c r="AA27" s="83"/>
      <c r="AB27" s="76"/>
      <c r="AC27" s="79">
        <v>23.37</v>
      </c>
      <c r="AD27" s="80">
        <v>4.45</v>
      </c>
      <c r="AE27" s="80">
        <v>10.6</v>
      </c>
      <c r="AF27" s="76"/>
      <c r="AG27" s="23">
        <f t="shared" si="0"/>
        <v>100</v>
      </c>
      <c r="AH27" s="83"/>
      <c r="AI27" s="76"/>
      <c r="AJ27" s="79">
        <v>23.37</v>
      </c>
      <c r="AK27" s="80">
        <v>4.51</v>
      </c>
      <c r="AL27" s="80">
        <v>11.86</v>
      </c>
      <c r="AM27" s="76"/>
      <c r="AN27" s="76"/>
      <c r="AO27" s="83"/>
      <c r="AP27" s="76"/>
      <c r="AQ27" s="79">
        <v>23.37</v>
      </c>
      <c r="AR27" s="80">
        <v>4.66</v>
      </c>
      <c r="AS27" s="80">
        <v>10.8</v>
      </c>
      <c r="AT27" s="76"/>
      <c r="AU27" s="76"/>
      <c r="AV27" s="83"/>
      <c r="AW27" s="76"/>
      <c r="AX27" s="79">
        <v>23.37</v>
      </c>
      <c r="AY27" s="80">
        <v>5.34</v>
      </c>
      <c r="AZ27" s="80">
        <v>14.36</v>
      </c>
      <c r="BA27" s="76"/>
      <c r="BB27" s="76"/>
      <c r="BC27" s="83"/>
    </row>
    <row r="28" spans="1:55" x14ac:dyDescent="0.25">
      <c r="A28" s="79">
        <v>27.58</v>
      </c>
      <c r="B28" s="80">
        <v>4.7</v>
      </c>
      <c r="C28" s="80">
        <v>12.27</v>
      </c>
      <c r="D28" s="76"/>
      <c r="E28" s="76"/>
      <c r="F28" s="83"/>
      <c r="G28" s="76"/>
      <c r="H28" s="79">
        <v>27.58</v>
      </c>
      <c r="I28" s="80">
        <v>8.34</v>
      </c>
      <c r="J28" s="80">
        <v>14.78</v>
      </c>
      <c r="K28" s="76"/>
      <c r="L28" s="76"/>
      <c r="M28" s="83"/>
      <c r="N28" s="76"/>
      <c r="O28" s="79">
        <v>27.58</v>
      </c>
      <c r="P28" s="80">
        <v>6.35</v>
      </c>
      <c r="Q28" s="80">
        <v>16.149999999999999</v>
      </c>
      <c r="R28" s="76"/>
      <c r="S28" s="76"/>
      <c r="T28" s="83"/>
      <c r="U28" s="76"/>
      <c r="V28" s="79">
        <v>27.58</v>
      </c>
      <c r="W28" s="80">
        <v>2.69</v>
      </c>
      <c r="X28" s="80">
        <v>13.5</v>
      </c>
      <c r="Y28" s="76"/>
      <c r="Z28" s="76"/>
      <c r="AA28" s="83"/>
      <c r="AB28" s="76"/>
      <c r="AC28" s="79">
        <v>27.58</v>
      </c>
      <c r="AD28" s="80">
        <v>5.49</v>
      </c>
      <c r="AE28" s="80">
        <v>12.56</v>
      </c>
      <c r="AF28" s="76"/>
      <c r="AG28" s="23">
        <f t="shared" si="0"/>
        <v>100</v>
      </c>
      <c r="AH28" s="83"/>
      <c r="AI28" s="76"/>
      <c r="AJ28" s="79">
        <v>27.58</v>
      </c>
      <c r="AK28" s="80">
        <v>5.27</v>
      </c>
      <c r="AL28" s="80">
        <v>13.63</v>
      </c>
      <c r="AM28" s="76"/>
      <c r="AN28" s="76"/>
      <c r="AO28" s="83"/>
      <c r="AP28" s="76"/>
      <c r="AQ28" s="79">
        <v>27.58</v>
      </c>
      <c r="AR28" s="80">
        <v>5.85</v>
      </c>
      <c r="AS28" s="80">
        <v>12.83</v>
      </c>
      <c r="AT28" s="76"/>
      <c r="AU28" s="76"/>
      <c r="AV28" s="83"/>
      <c r="AW28" s="76"/>
      <c r="AX28" s="79">
        <v>27.58</v>
      </c>
      <c r="AY28" s="80">
        <v>6.66</v>
      </c>
      <c r="AZ28" s="80">
        <v>17.149999999999999</v>
      </c>
      <c r="BA28" s="76"/>
      <c r="BB28" s="76"/>
      <c r="BC28" s="83"/>
    </row>
    <row r="29" spans="1:55" x14ac:dyDescent="0.25">
      <c r="A29" s="79">
        <v>32.549999999999997</v>
      </c>
      <c r="B29" s="80">
        <v>5.38</v>
      </c>
      <c r="C29" s="80">
        <v>14</v>
      </c>
      <c r="D29" s="76"/>
      <c r="E29" s="76"/>
      <c r="F29" s="83"/>
      <c r="G29" s="76"/>
      <c r="H29" s="79">
        <v>32.549999999999997</v>
      </c>
      <c r="I29" s="80">
        <v>10.32</v>
      </c>
      <c r="J29" s="80">
        <v>17.670000000000002</v>
      </c>
      <c r="K29" s="76"/>
      <c r="L29" s="76"/>
      <c r="M29" s="83"/>
      <c r="N29" s="76"/>
      <c r="O29" s="79">
        <v>32.549999999999997</v>
      </c>
      <c r="P29" s="80">
        <v>7.44</v>
      </c>
      <c r="Q29" s="80">
        <v>18.82</v>
      </c>
      <c r="R29" s="76"/>
      <c r="S29" s="76"/>
      <c r="T29" s="83"/>
      <c r="U29" s="76"/>
      <c r="V29" s="79">
        <v>32.549999999999997</v>
      </c>
      <c r="W29" s="80">
        <v>3.25</v>
      </c>
      <c r="X29" s="80">
        <v>16.059999999999999</v>
      </c>
      <c r="Y29" s="76"/>
      <c r="Z29" s="76"/>
      <c r="AA29" s="83"/>
      <c r="AB29" s="76"/>
      <c r="AC29" s="79">
        <v>32.549999999999997</v>
      </c>
      <c r="AD29" s="80">
        <v>6.79</v>
      </c>
      <c r="AE29" s="80">
        <v>14.99</v>
      </c>
      <c r="AF29" s="76"/>
      <c r="AG29" s="23">
        <f>100-AF29</f>
        <v>100</v>
      </c>
      <c r="AH29" s="83"/>
      <c r="AI29" s="76"/>
      <c r="AJ29" s="79">
        <v>32.549999999999997</v>
      </c>
      <c r="AK29" s="80">
        <v>6.22</v>
      </c>
      <c r="AL29" s="80">
        <v>15.73</v>
      </c>
      <c r="AM29" s="76"/>
      <c r="AN29" s="76"/>
      <c r="AO29" s="83"/>
      <c r="AP29" s="76"/>
      <c r="AQ29" s="79">
        <v>32.549999999999997</v>
      </c>
      <c r="AR29" s="80">
        <v>7.39</v>
      </c>
      <c r="AS29" s="80">
        <v>15.4</v>
      </c>
      <c r="AT29" s="76"/>
      <c r="AU29" s="76"/>
      <c r="AV29" s="83"/>
      <c r="AW29" s="76"/>
      <c r="AX29" s="79">
        <v>32.549999999999997</v>
      </c>
      <c r="AY29" s="80">
        <v>8.31</v>
      </c>
      <c r="AZ29" s="80">
        <v>20.62</v>
      </c>
      <c r="BA29" s="76"/>
      <c r="BB29" s="76"/>
      <c r="BC29" s="83"/>
    </row>
    <row r="30" spans="1:55" x14ac:dyDescent="0.25">
      <c r="A30" s="79">
        <v>38.409999999999997</v>
      </c>
      <c r="B30" s="80">
        <v>6.36</v>
      </c>
      <c r="C30" s="80">
        <v>16.05</v>
      </c>
      <c r="D30" s="76"/>
      <c r="E30" s="76"/>
      <c r="F30" s="83"/>
      <c r="G30" s="76"/>
      <c r="H30" s="79">
        <v>38.409999999999997</v>
      </c>
      <c r="I30" s="80">
        <v>12.87</v>
      </c>
      <c r="J30" s="80">
        <v>21.28</v>
      </c>
      <c r="K30" s="76"/>
      <c r="L30" s="76"/>
      <c r="M30" s="83"/>
      <c r="N30" s="76"/>
      <c r="O30" s="79">
        <v>38.409999999999997</v>
      </c>
      <c r="P30" s="80">
        <v>8.89</v>
      </c>
      <c r="Q30" s="80">
        <v>22</v>
      </c>
      <c r="R30" s="76"/>
      <c r="S30" s="76"/>
      <c r="T30" s="83"/>
      <c r="U30" s="76"/>
      <c r="V30" s="79">
        <v>38.409999999999997</v>
      </c>
      <c r="W30" s="80">
        <v>4.09</v>
      </c>
      <c r="X30" s="80">
        <v>19.29</v>
      </c>
      <c r="Y30" s="76"/>
      <c r="Z30" s="76"/>
      <c r="AA30" s="83"/>
      <c r="AB30" s="76"/>
      <c r="AC30" s="79">
        <v>38.409999999999997</v>
      </c>
      <c r="AD30" s="80">
        <v>8.5399999999999991</v>
      </c>
      <c r="AE30" s="80">
        <v>18.04</v>
      </c>
      <c r="AF30" s="76"/>
      <c r="AG30" s="76"/>
      <c r="AH30" s="83"/>
      <c r="AI30" s="76"/>
      <c r="AJ30" s="79">
        <v>38.409999999999997</v>
      </c>
      <c r="AK30" s="80">
        <v>7.53</v>
      </c>
      <c r="AL30" s="80">
        <v>18.260000000000002</v>
      </c>
      <c r="AM30" s="76"/>
      <c r="AN30" s="76"/>
      <c r="AO30" s="83"/>
      <c r="AP30" s="76"/>
      <c r="AQ30" s="79">
        <v>38.409999999999997</v>
      </c>
      <c r="AR30" s="80">
        <v>9.44</v>
      </c>
      <c r="AS30" s="80">
        <v>18.68</v>
      </c>
      <c r="AT30" s="76"/>
      <c r="AU30" s="76"/>
      <c r="AV30" s="83"/>
      <c r="AW30" s="76"/>
      <c r="AX30" s="79">
        <v>38.409999999999997</v>
      </c>
      <c r="AY30" s="80">
        <v>10.42</v>
      </c>
      <c r="AZ30" s="80">
        <v>24.97</v>
      </c>
      <c r="BA30" s="76"/>
      <c r="BB30" s="76"/>
      <c r="BC30" s="83"/>
    </row>
    <row r="31" spans="1:55" x14ac:dyDescent="0.25">
      <c r="A31" s="79">
        <v>45.32</v>
      </c>
      <c r="B31" s="80">
        <v>7.68</v>
      </c>
      <c r="C31" s="80">
        <v>18.510000000000002</v>
      </c>
      <c r="D31" s="76"/>
      <c r="E31" s="76"/>
      <c r="F31" s="83"/>
      <c r="G31" s="76"/>
      <c r="H31" s="79">
        <v>45.32</v>
      </c>
      <c r="I31" s="80">
        <v>15.91</v>
      </c>
      <c r="J31" s="80">
        <v>25.74</v>
      </c>
      <c r="K31" s="76"/>
      <c r="L31" s="76"/>
      <c r="M31" s="83"/>
      <c r="N31" s="76"/>
      <c r="O31" s="79">
        <v>45.32</v>
      </c>
      <c r="P31" s="80">
        <v>10.75</v>
      </c>
      <c r="Q31" s="80">
        <v>25.85</v>
      </c>
      <c r="R31" s="76"/>
      <c r="S31" s="76"/>
      <c r="T31" s="83"/>
      <c r="U31" s="76"/>
      <c r="V31" s="79">
        <v>45.32</v>
      </c>
      <c r="W31" s="80">
        <v>5.0999999999999996</v>
      </c>
      <c r="X31" s="80">
        <v>23.31</v>
      </c>
      <c r="Y31" s="76"/>
      <c r="Z31" s="76"/>
      <c r="AA31" s="83"/>
      <c r="AB31" s="76"/>
      <c r="AC31" s="79">
        <v>45.32</v>
      </c>
      <c r="AD31" s="80">
        <v>10.7</v>
      </c>
      <c r="AE31" s="80">
        <v>21.87</v>
      </c>
      <c r="AF31" s="76"/>
      <c r="AG31" s="76"/>
      <c r="AH31" s="83"/>
      <c r="AI31" s="76"/>
      <c r="AJ31" s="79">
        <v>45.32</v>
      </c>
      <c r="AK31" s="80">
        <v>9.34</v>
      </c>
      <c r="AL31" s="80">
        <v>21.41</v>
      </c>
      <c r="AM31" s="76"/>
      <c r="AN31" s="76"/>
      <c r="AO31" s="83"/>
      <c r="AP31" s="76"/>
      <c r="AQ31" s="79">
        <v>45.32</v>
      </c>
      <c r="AR31" s="80">
        <v>12.08</v>
      </c>
      <c r="AS31" s="80">
        <v>22.87</v>
      </c>
      <c r="AT31" s="76"/>
      <c r="AU31" s="76"/>
      <c r="AV31" s="83"/>
      <c r="AW31" s="76"/>
      <c r="AX31" s="79">
        <v>45.32</v>
      </c>
      <c r="AY31" s="80">
        <v>12.86</v>
      </c>
      <c r="AZ31" s="80">
        <v>30.34</v>
      </c>
      <c r="BA31" s="76"/>
      <c r="BB31" s="76"/>
      <c r="BC31" s="83"/>
    </row>
    <row r="32" spans="1:55" x14ac:dyDescent="0.25">
      <c r="A32" s="79">
        <v>53.48</v>
      </c>
      <c r="B32" s="80">
        <v>9.06</v>
      </c>
      <c r="C32" s="80">
        <v>21.42</v>
      </c>
      <c r="D32" s="76"/>
      <c r="E32" s="76"/>
      <c r="F32" s="83"/>
      <c r="G32" s="76"/>
      <c r="H32" s="79">
        <v>53.48</v>
      </c>
      <c r="I32" s="80">
        <v>18.75</v>
      </c>
      <c r="J32" s="80">
        <v>30.99</v>
      </c>
      <c r="K32" s="76"/>
      <c r="L32" s="76"/>
      <c r="M32" s="83"/>
      <c r="N32" s="76"/>
      <c r="O32" s="79">
        <v>53.48</v>
      </c>
      <c r="P32" s="80">
        <v>12.79</v>
      </c>
      <c r="Q32" s="80">
        <v>30.44</v>
      </c>
      <c r="R32" s="76"/>
      <c r="S32" s="76"/>
      <c r="T32" s="83"/>
      <c r="U32" s="76"/>
      <c r="V32" s="79">
        <v>53.48</v>
      </c>
      <c r="W32" s="80">
        <v>6.13</v>
      </c>
      <c r="X32" s="80">
        <v>28.14</v>
      </c>
      <c r="Y32" s="76"/>
      <c r="Z32" s="76"/>
      <c r="AA32" s="83"/>
      <c r="AB32" s="76"/>
      <c r="AC32" s="79">
        <v>53.48</v>
      </c>
      <c r="AD32" s="80">
        <v>12.92</v>
      </c>
      <c r="AE32" s="80">
        <v>26.49</v>
      </c>
      <c r="AF32" s="76"/>
      <c r="AG32" s="76"/>
      <c r="AH32" s="83"/>
      <c r="AI32" s="76"/>
      <c r="AJ32" s="79">
        <v>53.48</v>
      </c>
      <c r="AK32" s="80">
        <v>11.38</v>
      </c>
      <c r="AL32" s="80">
        <v>25.24</v>
      </c>
      <c r="AM32" s="76"/>
      <c r="AN32" s="76"/>
      <c r="AO32" s="83"/>
      <c r="AP32" s="76"/>
      <c r="AQ32" s="79">
        <v>53.48</v>
      </c>
      <c r="AR32" s="80">
        <v>14.85</v>
      </c>
      <c r="AS32" s="80">
        <v>28.03</v>
      </c>
      <c r="AT32" s="76"/>
      <c r="AU32" s="76"/>
      <c r="AV32" s="83"/>
      <c r="AW32" s="76"/>
      <c r="AX32" s="79">
        <v>53.48</v>
      </c>
      <c r="AY32" s="80">
        <v>15.05</v>
      </c>
      <c r="AZ32" s="80">
        <v>36.630000000000003</v>
      </c>
      <c r="BA32" s="76"/>
      <c r="BB32" s="76"/>
      <c r="BC32" s="83"/>
    </row>
    <row r="33" spans="1:55" x14ac:dyDescent="0.25">
      <c r="A33" s="79">
        <v>63.11</v>
      </c>
      <c r="B33" s="80">
        <v>10.95</v>
      </c>
      <c r="C33" s="80">
        <v>24.94</v>
      </c>
      <c r="D33" s="76"/>
      <c r="E33" s="76"/>
      <c r="F33" s="83"/>
      <c r="G33" s="76"/>
      <c r="H33" s="79">
        <v>63.11</v>
      </c>
      <c r="I33" s="80">
        <v>21.74</v>
      </c>
      <c r="J33" s="80">
        <v>37.08</v>
      </c>
      <c r="K33" s="76"/>
      <c r="L33" s="76"/>
      <c r="M33" s="83"/>
      <c r="N33" s="76"/>
      <c r="O33" s="79">
        <v>63.11</v>
      </c>
      <c r="P33" s="80">
        <v>15.29</v>
      </c>
      <c r="Q33" s="80">
        <v>35.909999999999997</v>
      </c>
      <c r="R33" s="76"/>
      <c r="S33" s="76"/>
      <c r="T33" s="83"/>
      <c r="U33" s="76"/>
      <c r="V33" s="79">
        <v>63.11</v>
      </c>
      <c r="W33" s="80">
        <v>7.19</v>
      </c>
      <c r="X33" s="80">
        <v>33.81</v>
      </c>
      <c r="Y33" s="76"/>
      <c r="Z33" s="76"/>
      <c r="AA33" s="83"/>
      <c r="AB33" s="76"/>
      <c r="AC33" s="79">
        <v>63.11</v>
      </c>
      <c r="AD33" s="80">
        <v>15.42</v>
      </c>
      <c r="AE33" s="80">
        <v>32.01</v>
      </c>
      <c r="AF33" s="76"/>
      <c r="AG33" s="76"/>
      <c r="AH33" s="83"/>
      <c r="AI33" s="76"/>
      <c r="AJ33" s="79">
        <v>63.11</v>
      </c>
      <c r="AK33" s="80">
        <v>14.12</v>
      </c>
      <c r="AL33" s="80">
        <v>30</v>
      </c>
      <c r="AM33" s="76"/>
      <c r="AN33" s="76"/>
      <c r="AO33" s="83"/>
      <c r="AP33" s="76"/>
      <c r="AQ33" s="79">
        <v>63.11</v>
      </c>
      <c r="AR33" s="80">
        <v>18.079999999999998</v>
      </c>
      <c r="AS33" s="80">
        <v>34.31</v>
      </c>
      <c r="AT33" s="76"/>
      <c r="AU33" s="76"/>
      <c r="AV33" s="83"/>
      <c r="AW33" s="76"/>
      <c r="AX33" s="79">
        <v>63.11</v>
      </c>
      <c r="AY33" s="80">
        <v>16.98</v>
      </c>
      <c r="AZ33" s="80">
        <v>43.72</v>
      </c>
      <c r="BA33" s="76"/>
      <c r="BB33" s="76"/>
      <c r="BC33" s="83"/>
    </row>
    <row r="34" spans="1:55" x14ac:dyDescent="0.25">
      <c r="A34" s="79">
        <v>74.48</v>
      </c>
      <c r="B34" s="80">
        <v>12.65</v>
      </c>
      <c r="C34" s="80">
        <v>29.01</v>
      </c>
      <c r="D34" s="76"/>
      <c r="E34" s="76"/>
      <c r="F34" s="83"/>
      <c r="G34" s="76"/>
      <c r="H34" s="79">
        <v>74.48</v>
      </c>
      <c r="I34" s="80">
        <v>23.29</v>
      </c>
      <c r="J34" s="80">
        <v>43.6</v>
      </c>
      <c r="K34" s="76"/>
      <c r="L34" s="76"/>
      <c r="M34" s="83"/>
      <c r="N34" s="76"/>
      <c r="O34" s="79">
        <v>74.48</v>
      </c>
      <c r="P34" s="80">
        <v>17.34</v>
      </c>
      <c r="Q34" s="80">
        <v>42.13</v>
      </c>
      <c r="R34" s="76"/>
      <c r="S34" s="76"/>
      <c r="T34" s="83"/>
      <c r="U34" s="76"/>
      <c r="V34" s="79">
        <v>74.48</v>
      </c>
      <c r="W34" s="80">
        <v>7.78</v>
      </c>
      <c r="X34" s="80">
        <v>39.94</v>
      </c>
      <c r="Y34" s="76"/>
      <c r="Z34" s="76"/>
      <c r="AA34" s="83"/>
      <c r="AB34" s="76"/>
      <c r="AC34" s="79">
        <v>74.48</v>
      </c>
      <c r="AD34" s="80">
        <v>17.07</v>
      </c>
      <c r="AE34" s="80">
        <v>38.11</v>
      </c>
      <c r="AF34" s="76"/>
      <c r="AG34" s="76"/>
      <c r="AH34" s="83"/>
      <c r="AI34" s="76"/>
      <c r="AJ34" s="79">
        <v>74.48</v>
      </c>
      <c r="AK34" s="80">
        <v>16.690000000000001</v>
      </c>
      <c r="AL34" s="80">
        <v>35.619999999999997</v>
      </c>
      <c r="AM34" s="76"/>
      <c r="AN34" s="76"/>
      <c r="AO34" s="83"/>
      <c r="AP34" s="76"/>
      <c r="AQ34" s="79">
        <v>74.48</v>
      </c>
      <c r="AR34" s="80">
        <v>20.48</v>
      </c>
      <c r="AS34" s="80">
        <v>41.43</v>
      </c>
      <c r="AT34" s="76"/>
      <c r="AU34" s="76"/>
      <c r="AV34" s="83"/>
      <c r="AW34" s="76"/>
      <c r="AX34" s="79">
        <v>74.48</v>
      </c>
      <c r="AY34" s="80">
        <v>17.59</v>
      </c>
      <c r="AZ34" s="80">
        <v>51.07</v>
      </c>
      <c r="BA34" s="76"/>
      <c r="BB34" s="76"/>
      <c r="BC34" s="83"/>
    </row>
    <row r="35" spans="1:55" x14ac:dyDescent="0.25">
      <c r="A35" s="79">
        <v>87.89</v>
      </c>
      <c r="B35" s="80">
        <v>15.15</v>
      </c>
      <c r="C35" s="80">
        <v>33.880000000000003</v>
      </c>
      <c r="D35" s="76"/>
      <c r="E35" s="76"/>
      <c r="F35" s="83"/>
      <c r="G35" s="76"/>
      <c r="H35" s="79">
        <v>87.89</v>
      </c>
      <c r="I35" s="80">
        <v>24.49</v>
      </c>
      <c r="J35" s="80">
        <v>50.46</v>
      </c>
      <c r="K35" s="76"/>
      <c r="L35" s="76"/>
      <c r="M35" s="83"/>
      <c r="N35" s="76"/>
      <c r="O35" s="79">
        <v>87.89</v>
      </c>
      <c r="P35" s="80">
        <v>19.47</v>
      </c>
      <c r="Q35" s="80">
        <v>49.1</v>
      </c>
      <c r="R35" s="76"/>
      <c r="S35" s="76"/>
      <c r="T35" s="83"/>
      <c r="U35" s="76"/>
      <c r="V35" s="79">
        <v>87.89</v>
      </c>
      <c r="W35" s="80">
        <v>8.5299999999999994</v>
      </c>
      <c r="X35" s="80">
        <v>46.67</v>
      </c>
      <c r="Y35" s="76"/>
      <c r="Z35" s="76"/>
      <c r="AA35" s="83"/>
      <c r="AB35" s="76"/>
      <c r="AC35" s="79">
        <v>87.89</v>
      </c>
      <c r="AD35" s="80">
        <v>18.649999999999999</v>
      </c>
      <c r="AE35" s="80">
        <v>44.78</v>
      </c>
      <c r="AF35" s="76"/>
      <c r="AG35" s="76"/>
      <c r="AH35" s="83"/>
      <c r="AI35" s="76"/>
      <c r="AJ35" s="79">
        <v>87.89</v>
      </c>
      <c r="AK35" s="80">
        <v>19.78</v>
      </c>
      <c r="AL35" s="80">
        <v>42.29</v>
      </c>
      <c r="AM35" s="76"/>
      <c r="AN35" s="76"/>
      <c r="AO35" s="83"/>
      <c r="AP35" s="76"/>
      <c r="AQ35" s="79">
        <v>87.89</v>
      </c>
      <c r="AR35" s="80">
        <v>22.69</v>
      </c>
      <c r="AS35" s="80">
        <v>49.31</v>
      </c>
      <c r="AT35" s="76"/>
      <c r="AU35" s="76"/>
      <c r="AV35" s="83"/>
      <c r="AW35" s="76"/>
      <c r="AX35" s="79">
        <v>87.89</v>
      </c>
      <c r="AY35" s="80">
        <v>17.87</v>
      </c>
      <c r="AZ35" s="80">
        <v>58.54</v>
      </c>
      <c r="BA35" s="76"/>
      <c r="BB35" s="76"/>
      <c r="BC35" s="83"/>
    </row>
    <row r="36" spans="1:55" x14ac:dyDescent="0.25">
      <c r="A36" s="79">
        <v>103.72</v>
      </c>
      <c r="B36" s="80">
        <v>16.86</v>
      </c>
      <c r="C36" s="80">
        <v>39.29</v>
      </c>
      <c r="D36" s="76"/>
      <c r="E36" s="76"/>
      <c r="F36" s="83"/>
      <c r="G36" s="76"/>
      <c r="H36" s="79">
        <v>103.72</v>
      </c>
      <c r="I36" s="80">
        <v>23.19</v>
      </c>
      <c r="J36" s="80">
        <v>56.96</v>
      </c>
      <c r="K36" s="76"/>
      <c r="L36" s="76"/>
      <c r="M36" s="83"/>
      <c r="N36" s="76"/>
      <c r="O36" s="79">
        <v>103.72</v>
      </c>
      <c r="P36" s="80">
        <v>19.46</v>
      </c>
      <c r="Q36" s="80">
        <v>56.07</v>
      </c>
      <c r="R36" s="76"/>
      <c r="S36" s="76"/>
      <c r="T36" s="83"/>
      <c r="U36" s="76"/>
      <c r="V36" s="79">
        <v>103.72</v>
      </c>
      <c r="W36" s="80">
        <v>8.26</v>
      </c>
      <c r="X36" s="80">
        <v>53.17</v>
      </c>
      <c r="Y36" s="76"/>
      <c r="Z36" s="76"/>
      <c r="AA36" s="83"/>
      <c r="AB36" s="76"/>
      <c r="AC36" s="79">
        <v>103.72</v>
      </c>
      <c r="AD36" s="80">
        <v>18.489999999999998</v>
      </c>
      <c r="AE36" s="80">
        <v>51.4</v>
      </c>
      <c r="AF36" s="76"/>
      <c r="AG36" s="76"/>
      <c r="AH36" s="83"/>
      <c r="AI36" s="76"/>
      <c r="AJ36" s="79">
        <v>103.72</v>
      </c>
      <c r="AK36" s="80">
        <v>21.37</v>
      </c>
      <c r="AL36" s="80">
        <v>49.49</v>
      </c>
      <c r="AM36" s="76"/>
      <c r="AN36" s="76"/>
      <c r="AO36" s="83"/>
      <c r="AP36" s="76"/>
      <c r="AQ36" s="79">
        <v>103.72</v>
      </c>
      <c r="AR36" s="80">
        <v>22.49</v>
      </c>
      <c r="AS36" s="80">
        <v>57.12</v>
      </c>
      <c r="AT36" s="76"/>
      <c r="AU36" s="76"/>
      <c r="AV36" s="83"/>
      <c r="AW36" s="76"/>
      <c r="AX36" s="79">
        <v>103.72</v>
      </c>
      <c r="AY36" s="80">
        <v>16.350000000000001</v>
      </c>
      <c r="AZ36" s="80">
        <v>65.37</v>
      </c>
      <c r="BA36" s="76"/>
      <c r="BB36" s="76"/>
      <c r="BC36" s="83"/>
    </row>
    <row r="37" spans="1:55" x14ac:dyDescent="0.25">
      <c r="A37" s="79">
        <v>122.39</v>
      </c>
      <c r="B37" s="80">
        <v>19.03</v>
      </c>
      <c r="C37" s="80">
        <v>45.41</v>
      </c>
      <c r="D37" s="76"/>
      <c r="E37" s="76"/>
      <c r="F37" s="83"/>
      <c r="G37" s="76"/>
      <c r="H37" s="79">
        <v>122.39</v>
      </c>
      <c r="I37" s="80">
        <v>21.82</v>
      </c>
      <c r="J37" s="80">
        <v>63.07</v>
      </c>
      <c r="K37" s="76"/>
      <c r="L37" s="76"/>
      <c r="M37" s="83"/>
      <c r="N37" s="76"/>
      <c r="O37" s="79">
        <v>122.39</v>
      </c>
      <c r="P37" s="80">
        <v>18.940000000000001</v>
      </c>
      <c r="Q37" s="80">
        <v>62.86</v>
      </c>
      <c r="R37" s="76"/>
      <c r="S37" s="76"/>
      <c r="T37" s="83"/>
      <c r="U37" s="76"/>
      <c r="V37" s="79">
        <v>122.39</v>
      </c>
      <c r="W37" s="80">
        <v>8.0500000000000007</v>
      </c>
      <c r="X37" s="80">
        <v>59.52</v>
      </c>
      <c r="Y37" s="76"/>
      <c r="Z37" s="76"/>
      <c r="AA37" s="83"/>
      <c r="AB37" s="76"/>
      <c r="AC37" s="79">
        <v>122.39</v>
      </c>
      <c r="AD37" s="80">
        <v>18.23</v>
      </c>
      <c r="AE37" s="80">
        <v>57.91</v>
      </c>
      <c r="AF37" s="76"/>
      <c r="AG37" s="76"/>
      <c r="AH37" s="83"/>
      <c r="AI37" s="76"/>
      <c r="AJ37" s="79">
        <v>122.39</v>
      </c>
      <c r="AK37" s="80">
        <v>22.35</v>
      </c>
      <c r="AL37" s="80">
        <v>57.02</v>
      </c>
      <c r="AM37" s="76"/>
      <c r="AN37" s="76"/>
      <c r="AO37" s="83"/>
      <c r="AP37" s="76"/>
      <c r="AQ37" s="79">
        <v>122.39</v>
      </c>
      <c r="AR37" s="80">
        <v>21.63</v>
      </c>
      <c r="AS37" s="80">
        <v>64.63</v>
      </c>
      <c r="AT37" s="76"/>
      <c r="AU37" s="76"/>
      <c r="AV37" s="83"/>
      <c r="AW37" s="76"/>
      <c r="AX37" s="79">
        <v>122.39</v>
      </c>
      <c r="AY37" s="80">
        <v>14.8</v>
      </c>
      <c r="AZ37" s="80">
        <v>71.55</v>
      </c>
      <c r="BA37" s="76"/>
      <c r="BB37" s="76"/>
      <c r="BC37" s="83"/>
    </row>
    <row r="38" spans="1:55" x14ac:dyDescent="0.25">
      <c r="A38" s="79">
        <v>144.43</v>
      </c>
      <c r="B38" s="80">
        <v>20.76</v>
      </c>
      <c r="C38" s="80">
        <v>52.08</v>
      </c>
      <c r="D38" s="76"/>
      <c r="E38" s="76"/>
      <c r="F38" s="83"/>
      <c r="G38" s="76"/>
      <c r="H38" s="79">
        <v>144.43</v>
      </c>
      <c r="I38" s="80">
        <v>19.86</v>
      </c>
      <c r="J38" s="80">
        <v>68.63</v>
      </c>
      <c r="K38" s="76"/>
      <c r="L38" s="76"/>
      <c r="M38" s="83"/>
      <c r="N38" s="76"/>
      <c r="O38" s="79">
        <v>144.43</v>
      </c>
      <c r="P38" s="80">
        <v>17.41</v>
      </c>
      <c r="Q38" s="80">
        <v>69.09</v>
      </c>
      <c r="R38" s="76"/>
      <c r="S38" s="76"/>
      <c r="T38" s="83"/>
      <c r="U38" s="76"/>
      <c r="V38" s="79">
        <v>144.43</v>
      </c>
      <c r="W38" s="80">
        <v>7.46</v>
      </c>
      <c r="X38" s="80">
        <v>65.39</v>
      </c>
      <c r="Y38" s="76"/>
      <c r="Z38" s="76"/>
      <c r="AA38" s="83"/>
      <c r="AB38" s="76"/>
      <c r="AC38" s="79">
        <v>144.43</v>
      </c>
      <c r="AD38" s="80">
        <v>17.38</v>
      </c>
      <c r="AE38" s="80">
        <v>64.13</v>
      </c>
      <c r="AF38" s="76"/>
      <c r="AG38" s="76"/>
      <c r="AH38" s="83"/>
      <c r="AI38" s="76"/>
      <c r="AJ38" s="79">
        <v>144.43</v>
      </c>
      <c r="AK38" s="80">
        <v>21.88</v>
      </c>
      <c r="AL38" s="80">
        <v>64.39</v>
      </c>
      <c r="AM38" s="76"/>
      <c r="AN38" s="76"/>
      <c r="AO38" s="83"/>
      <c r="AP38" s="76"/>
      <c r="AQ38" s="79">
        <v>144.43</v>
      </c>
      <c r="AR38" s="80">
        <v>19.489999999999998</v>
      </c>
      <c r="AS38" s="80">
        <v>71.400000000000006</v>
      </c>
      <c r="AT38" s="76"/>
      <c r="AU38" s="76"/>
      <c r="AV38" s="83"/>
      <c r="AW38" s="76"/>
      <c r="AX38" s="79">
        <v>144.43</v>
      </c>
      <c r="AY38" s="80">
        <v>12.79</v>
      </c>
      <c r="AZ38" s="80">
        <v>76.89</v>
      </c>
      <c r="BA38" s="76"/>
      <c r="BB38" s="76"/>
      <c r="BC38" s="83"/>
    </row>
    <row r="39" spans="1:55" x14ac:dyDescent="0.25">
      <c r="A39" s="79">
        <v>170.44</v>
      </c>
      <c r="B39" s="80">
        <v>22.58</v>
      </c>
      <c r="C39" s="80">
        <v>59.34</v>
      </c>
      <c r="D39" s="76"/>
      <c r="E39" s="76"/>
      <c r="F39" s="83"/>
      <c r="G39" s="76"/>
      <c r="H39" s="79">
        <v>170.44</v>
      </c>
      <c r="I39" s="80">
        <v>18.55</v>
      </c>
      <c r="J39" s="80">
        <v>73.83</v>
      </c>
      <c r="K39" s="76"/>
      <c r="L39" s="76"/>
      <c r="M39" s="83"/>
      <c r="N39" s="76"/>
      <c r="O39" s="79">
        <v>170.44</v>
      </c>
      <c r="P39" s="80">
        <v>15.94</v>
      </c>
      <c r="Q39" s="80">
        <v>74.8</v>
      </c>
      <c r="R39" s="76"/>
      <c r="S39" s="76"/>
      <c r="T39" s="83"/>
      <c r="U39" s="76"/>
      <c r="V39" s="79">
        <v>170.44</v>
      </c>
      <c r="W39" s="80">
        <v>7.26</v>
      </c>
      <c r="X39" s="80">
        <v>71.11</v>
      </c>
      <c r="Y39" s="76"/>
      <c r="Z39" s="76"/>
      <c r="AA39" s="83"/>
      <c r="AB39" s="76"/>
      <c r="AC39" s="79">
        <v>170.44</v>
      </c>
      <c r="AD39" s="80">
        <v>16.98</v>
      </c>
      <c r="AE39" s="80">
        <v>70.2</v>
      </c>
      <c r="AF39" s="76"/>
      <c r="AG39" s="76"/>
      <c r="AH39" s="83"/>
      <c r="AI39" s="76"/>
      <c r="AJ39" s="79">
        <v>170.44</v>
      </c>
      <c r="AK39" s="80">
        <v>20.56</v>
      </c>
      <c r="AL39" s="80">
        <v>71.319999999999993</v>
      </c>
      <c r="AM39" s="76"/>
      <c r="AN39" s="76"/>
      <c r="AO39" s="83"/>
      <c r="AP39" s="76"/>
      <c r="AQ39" s="79">
        <v>170.44</v>
      </c>
      <c r="AR39" s="80">
        <v>17.13</v>
      </c>
      <c r="AS39" s="80">
        <v>77.349999999999994</v>
      </c>
      <c r="AT39" s="76"/>
      <c r="AU39" s="76"/>
      <c r="AV39" s="83"/>
      <c r="AW39" s="76"/>
      <c r="AX39" s="79">
        <v>170.44</v>
      </c>
      <c r="AY39" s="80">
        <v>11.1</v>
      </c>
      <c r="AZ39" s="80">
        <v>81.53</v>
      </c>
      <c r="BA39" s="76"/>
      <c r="BB39" s="76"/>
      <c r="BC39" s="83"/>
    </row>
    <row r="40" spans="1:55" x14ac:dyDescent="0.25">
      <c r="A40" s="79">
        <v>201.13</v>
      </c>
      <c r="B40" s="80">
        <v>22.38</v>
      </c>
      <c r="C40" s="80">
        <v>66.53</v>
      </c>
      <c r="D40" s="76"/>
      <c r="E40" s="76"/>
      <c r="F40" s="83"/>
      <c r="G40" s="76"/>
      <c r="H40" s="79">
        <v>201.13</v>
      </c>
      <c r="I40" s="80">
        <v>16.350000000000001</v>
      </c>
      <c r="J40" s="80">
        <v>78.41</v>
      </c>
      <c r="K40" s="76"/>
      <c r="L40" s="76"/>
      <c r="M40" s="83"/>
      <c r="N40" s="76"/>
      <c r="O40" s="79">
        <v>201.13</v>
      </c>
      <c r="P40" s="80">
        <v>13.61</v>
      </c>
      <c r="Q40" s="80">
        <v>79.680000000000007</v>
      </c>
      <c r="R40" s="76"/>
      <c r="S40" s="76"/>
      <c r="T40" s="83"/>
      <c r="U40" s="76"/>
      <c r="V40" s="79">
        <v>201.13</v>
      </c>
      <c r="W40" s="80">
        <v>6.81</v>
      </c>
      <c r="X40" s="80">
        <v>76.48</v>
      </c>
      <c r="Y40" s="76"/>
      <c r="Z40" s="76"/>
      <c r="AA40" s="83"/>
      <c r="AB40" s="76"/>
      <c r="AC40" s="79">
        <v>201.13</v>
      </c>
      <c r="AD40" s="80">
        <v>15.89</v>
      </c>
      <c r="AE40" s="80">
        <v>75.88</v>
      </c>
      <c r="AF40" s="76"/>
      <c r="AG40" s="76"/>
      <c r="AH40" s="83"/>
      <c r="AI40" s="76"/>
      <c r="AJ40" s="79">
        <v>201.13</v>
      </c>
      <c r="AK40" s="80">
        <v>17.39</v>
      </c>
      <c r="AL40" s="80">
        <v>77.17</v>
      </c>
      <c r="AM40" s="76"/>
      <c r="AN40" s="76"/>
      <c r="AO40" s="83"/>
      <c r="AP40" s="76"/>
      <c r="AQ40" s="79">
        <v>201.13</v>
      </c>
      <c r="AR40" s="80">
        <v>13.87</v>
      </c>
      <c r="AS40" s="80">
        <v>82.17</v>
      </c>
      <c r="AT40" s="76"/>
      <c r="AU40" s="76"/>
      <c r="AV40" s="83"/>
      <c r="AW40" s="76"/>
      <c r="AX40" s="79">
        <v>201.13</v>
      </c>
      <c r="AY40" s="80">
        <v>8.9600000000000009</v>
      </c>
      <c r="AZ40" s="80">
        <v>85.27</v>
      </c>
      <c r="BA40" s="76"/>
      <c r="BB40" s="76"/>
      <c r="BC40" s="83"/>
    </row>
    <row r="41" spans="1:55" x14ac:dyDescent="0.25">
      <c r="A41" s="79">
        <v>237.35</v>
      </c>
      <c r="B41" s="80">
        <v>23.07</v>
      </c>
      <c r="C41" s="80">
        <v>73.94</v>
      </c>
      <c r="D41" s="76"/>
      <c r="E41" s="76"/>
      <c r="F41" s="83"/>
      <c r="G41" s="76"/>
      <c r="H41" s="79">
        <v>237.35</v>
      </c>
      <c r="I41" s="80">
        <v>15.89</v>
      </c>
      <c r="J41" s="80">
        <v>82.87</v>
      </c>
      <c r="K41" s="76"/>
      <c r="L41" s="76"/>
      <c r="M41" s="83"/>
      <c r="N41" s="76"/>
      <c r="O41" s="79">
        <v>237.35</v>
      </c>
      <c r="P41" s="80">
        <v>12.46</v>
      </c>
      <c r="Q41" s="80">
        <v>84.14</v>
      </c>
      <c r="R41" s="76"/>
      <c r="S41" s="76"/>
      <c r="T41" s="83"/>
      <c r="U41" s="76"/>
      <c r="V41" s="79">
        <v>237.35</v>
      </c>
      <c r="W41" s="80">
        <v>6.61</v>
      </c>
      <c r="X41" s="80">
        <v>81.69</v>
      </c>
      <c r="Y41" s="76"/>
      <c r="Z41" s="76"/>
      <c r="AA41" s="83"/>
      <c r="AB41" s="76"/>
      <c r="AC41" s="79">
        <v>237.35</v>
      </c>
      <c r="AD41" s="80">
        <v>15.46</v>
      </c>
      <c r="AE41" s="80">
        <v>81.41</v>
      </c>
      <c r="AF41" s="76"/>
      <c r="AG41" s="76"/>
      <c r="AH41" s="83"/>
      <c r="AI41" s="76"/>
      <c r="AJ41" s="79">
        <v>237.35</v>
      </c>
      <c r="AK41" s="80">
        <v>15.45</v>
      </c>
      <c r="AL41" s="80">
        <v>82.38</v>
      </c>
      <c r="AM41" s="76"/>
      <c r="AN41" s="76"/>
      <c r="AO41" s="83"/>
      <c r="AP41" s="76"/>
      <c r="AQ41" s="79">
        <v>237.35</v>
      </c>
      <c r="AR41" s="80">
        <v>12.04</v>
      </c>
      <c r="AS41" s="80">
        <v>86.35</v>
      </c>
      <c r="AT41" s="76"/>
      <c r="AU41" s="76"/>
      <c r="AV41" s="83"/>
      <c r="AW41" s="76"/>
      <c r="AX41" s="79">
        <v>237.35</v>
      </c>
      <c r="AY41" s="80">
        <v>7.84</v>
      </c>
      <c r="AZ41" s="80">
        <v>88.55</v>
      </c>
      <c r="BA41" s="76"/>
      <c r="BB41" s="76"/>
      <c r="BC41" s="83"/>
    </row>
    <row r="42" spans="1:55" x14ac:dyDescent="0.25">
      <c r="A42" s="79">
        <v>280.08999999999997</v>
      </c>
      <c r="B42" s="80">
        <v>22.32</v>
      </c>
      <c r="C42" s="80">
        <v>81.11</v>
      </c>
      <c r="D42" s="76"/>
      <c r="E42" s="76"/>
      <c r="F42" s="83"/>
      <c r="G42" s="76"/>
      <c r="H42" s="79">
        <v>280.08999999999997</v>
      </c>
      <c r="I42" s="80">
        <v>16.53</v>
      </c>
      <c r="J42" s="80">
        <v>87.5</v>
      </c>
      <c r="K42" s="76"/>
      <c r="L42" s="76"/>
      <c r="M42" s="83"/>
      <c r="N42" s="76"/>
      <c r="O42" s="79">
        <v>280.08999999999997</v>
      </c>
      <c r="P42" s="80">
        <v>12.29</v>
      </c>
      <c r="Q42" s="80">
        <v>88.54</v>
      </c>
      <c r="R42" s="76"/>
      <c r="S42" s="76"/>
      <c r="T42" s="83"/>
      <c r="U42" s="76"/>
      <c r="V42" s="79">
        <v>280.08999999999997</v>
      </c>
      <c r="W42" s="80">
        <v>6.34</v>
      </c>
      <c r="X42" s="80">
        <v>86.69</v>
      </c>
      <c r="Y42" s="76"/>
      <c r="Z42" s="76"/>
      <c r="AA42" s="83"/>
      <c r="AB42" s="76"/>
      <c r="AC42" s="79">
        <v>280.08999999999997</v>
      </c>
      <c r="AD42" s="80">
        <v>14.69</v>
      </c>
      <c r="AE42" s="80">
        <v>86.67</v>
      </c>
      <c r="AF42" s="76"/>
      <c r="AG42" s="76"/>
      <c r="AH42" s="83"/>
      <c r="AI42" s="76"/>
      <c r="AJ42" s="79">
        <v>280.08999999999997</v>
      </c>
      <c r="AK42" s="80">
        <v>14.84</v>
      </c>
      <c r="AL42" s="80">
        <v>87.38</v>
      </c>
      <c r="AM42" s="76"/>
      <c r="AN42" s="76"/>
      <c r="AO42" s="83"/>
      <c r="AP42" s="76"/>
      <c r="AQ42" s="79">
        <v>280.08999999999997</v>
      </c>
      <c r="AR42" s="80">
        <v>11.18</v>
      </c>
      <c r="AS42" s="80">
        <v>90.24</v>
      </c>
      <c r="AT42" s="76"/>
      <c r="AU42" s="76"/>
      <c r="AV42" s="83"/>
      <c r="AW42" s="76"/>
      <c r="AX42" s="79">
        <v>280.08999999999997</v>
      </c>
      <c r="AY42" s="80">
        <v>7.52</v>
      </c>
      <c r="AZ42" s="80">
        <v>91.69</v>
      </c>
      <c r="BA42" s="76"/>
      <c r="BB42" s="76"/>
      <c r="BC42" s="83"/>
    </row>
    <row r="43" spans="1:55" x14ac:dyDescent="0.25">
      <c r="A43" s="79">
        <v>330.52</v>
      </c>
      <c r="B43" s="80">
        <v>19.82</v>
      </c>
      <c r="C43" s="80">
        <v>87.48</v>
      </c>
      <c r="D43" s="76"/>
      <c r="E43" s="76"/>
      <c r="F43" s="83"/>
      <c r="G43" s="76"/>
      <c r="H43" s="79">
        <v>330.52</v>
      </c>
      <c r="I43" s="80">
        <v>17.34</v>
      </c>
      <c r="J43" s="80">
        <v>92.35</v>
      </c>
      <c r="K43" s="76"/>
      <c r="L43" s="76"/>
      <c r="M43" s="83"/>
      <c r="N43" s="76"/>
      <c r="O43" s="79">
        <v>330.52</v>
      </c>
      <c r="P43" s="80">
        <v>12.26</v>
      </c>
      <c r="Q43" s="80">
        <v>92.94</v>
      </c>
      <c r="R43" s="76"/>
      <c r="S43" s="76"/>
      <c r="T43" s="83"/>
      <c r="U43" s="76"/>
      <c r="V43" s="79">
        <v>330.52</v>
      </c>
      <c r="W43" s="80">
        <v>6.22</v>
      </c>
      <c r="X43" s="80">
        <v>91.58</v>
      </c>
      <c r="Y43" s="76"/>
      <c r="Z43" s="76"/>
      <c r="AA43" s="83"/>
      <c r="AB43" s="76"/>
      <c r="AC43" s="79">
        <v>330.52</v>
      </c>
      <c r="AD43" s="80">
        <v>13.95</v>
      </c>
      <c r="AE43" s="80">
        <v>91.66</v>
      </c>
      <c r="AF43" s="76"/>
      <c r="AG43" s="76"/>
      <c r="AH43" s="83"/>
      <c r="AI43" s="76"/>
      <c r="AJ43" s="79">
        <v>330.52</v>
      </c>
      <c r="AK43" s="80">
        <v>14.53</v>
      </c>
      <c r="AL43" s="80">
        <v>92.27</v>
      </c>
      <c r="AM43" s="76"/>
      <c r="AN43" s="76"/>
      <c r="AO43" s="83"/>
      <c r="AP43" s="76"/>
      <c r="AQ43" s="79">
        <v>330.52</v>
      </c>
      <c r="AR43" s="80">
        <v>10.85</v>
      </c>
      <c r="AS43" s="80">
        <v>94</v>
      </c>
      <c r="AT43" s="76"/>
      <c r="AU43" s="76"/>
      <c r="AV43" s="83"/>
      <c r="AW43" s="76"/>
      <c r="AX43" s="79">
        <v>330.52</v>
      </c>
      <c r="AY43" s="80">
        <v>7.49</v>
      </c>
      <c r="AZ43" s="80">
        <v>94.82</v>
      </c>
      <c r="BA43" s="76"/>
      <c r="BB43" s="76"/>
      <c r="BC43" s="83"/>
    </row>
    <row r="44" spans="1:55" x14ac:dyDescent="0.25">
      <c r="A44" s="79">
        <v>390.04</v>
      </c>
      <c r="B44" s="80">
        <v>17.57</v>
      </c>
      <c r="C44" s="80">
        <v>93.13</v>
      </c>
      <c r="D44" s="76"/>
      <c r="E44" s="76"/>
      <c r="F44" s="83"/>
      <c r="G44" s="76"/>
      <c r="H44" s="79">
        <v>390.04</v>
      </c>
      <c r="I44" s="80">
        <v>15.24</v>
      </c>
      <c r="J44" s="80">
        <v>96.62</v>
      </c>
      <c r="K44" s="76"/>
      <c r="L44" s="76"/>
      <c r="M44" s="83"/>
      <c r="N44" s="76"/>
      <c r="O44" s="79">
        <v>390.04</v>
      </c>
      <c r="P44" s="80">
        <v>10.84</v>
      </c>
      <c r="Q44" s="80">
        <v>96.82</v>
      </c>
      <c r="R44" s="76"/>
      <c r="S44" s="76"/>
      <c r="T44" s="83"/>
      <c r="U44" s="76"/>
      <c r="V44" s="79">
        <v>390.04</v>
      </c>
      <c r="W44" s="80">
        <v>5.64</v>
      </c>
      <c r="X44" s="80">
        <v>96.03</v>
      </c>
      <c r="Y44" s="76"/>
      <c r="Z44" s="76"/>
      <c r="AA44" s="83"/>
      <c r="AB44" s="76"/>
      <c r="AC44" s="79">
        <v>390.04</v>
      </c>
      <c r="AD44" s="80">
        <v>12.36</v>
      </c>
      <c r="AE44" s="80">
        <v>96.08</v>
      </c>
      <c r="AF44" s="76"/>
      <c r="AG44" s="76"/>
      <c r="AH44" s="83"/>
      <c r="AI44" s="76"/>
      <c r="AJ44" s="79">
        <v>390.04</v>
      </c>
      <c r="AK44" s="80">
        <v>12.67</v>
      </c>
      <c r="AL44" s="80">
        <v>96.54</v>
      </c>
      <c r="AM44" s="76"/>
      <c r="AN44" s="76"/>
      <c r="AO44" s="83"/>
      <c r="AP44" s="76"/>
      <c r="AQ44" s="79">
        <v>390.04</v>
      </c>
      <c r="AR44" s="80">
        <v>9.43</v>
      </c>
      <c r="AS44" s="80">
        <v>97.28</v>
      </c>
      <c r="AT44" s="76"/>
      <c r="AU44" s="76"/>
      <c r="AV44" s="83"/>
      <c r="AW44" s="76"/>
      <c r="AX44" s="79">
        <v>390.04</v>
      </c>
      <c r="AY44" s="80">
        <v>6.7</v>
      </c>
      <c r="AZ44" s="80">
        <v>97.62</v>
      </c>
      <c r="BA44" s="76"/>
      <c r="BB44" s="76"/>
      <c r="BC44" s="83"/>
    </row>
    <row r="45" spans="1:55" ht="15.75" thickBot="1" x14ac:dyDescent="0.3">
      <c r="A45" s="87">
        <v>460.27</v>
      </c>
      <c r="B45" s="88">
        <v>21.39</v>
      </c>
      <c r="C45" s="88">
        <v>100</v>
      </c>
      <c r="D45" s="89"/>
      <c r="E45" s="89"/>
      <c r="F45" s="90"/>
      <c r="G45" s="76"/>
      <c r="H45" s="87">
        <v>460.27</v>
      </c>
      <c r="I45" s="88">
        <v>12.05</v>
      </c>
      <c r="J45" s="88">
        <v>100</v>
      </c>
      <c r="K45" s="89"/>
      <c r="L45" s="89"/>
      <c r="M45" s="90"/>
      <c r="N45" s="76"/>
      <c r="O45" s="87">
        <v>460.27</v>
      </c>
      <c r="P45" s="88">
        <v>8.8800000000000008</v>
      </c>
      <c r="Q45" s="88">
        <v>100</v>
      </c>
      <c r="R45" s="89"/>
      <c r="S45" s="89"/>
      <c r="T45" s="90"/>
      <c r="U45" s="76"/>
      <c r="V45" s="87">
        <v>460.27</v>
      </c>
      <c r="W45" s="88">
        <v>5.04</v>
      </c>
      <c r="X45" s="88">
        <v>100</v>
      </c>
      <c r="Y45" s="89"/>
      <c r="Z45" s="89"/>
      <c r="AA45" s="90"/>
      <c r="AB45" s="76"/>
      <c r="AC45" s="87">
        <v>460.27</v>
      </c>
      <c r="AD45" s="88">
        <v>10.96</v>
      </c>
      <c r="AE45" s="88">
        <v>100</v>
      </c>
      <c r="AF45" s="89"/>
      <c r="AG45" s="89"/>
      <c r="AH45" s="90"/>
      <c r="AI45" s="76"/>
      <c r="AJ45" s="87">
        <v>460.27</v>
      </c>
      <c r="AK45" s="88">
        <v>10.26</v>
      </c>
      <c r="AL45" s="88">
        <v>100</v>
      </c>
      <c r="AM45" s="89"/>
      <c r="AN45" s="89"/>
      <c r="AO45" s="90"/>
      <c r="AP45" s="76"/>
      <c r="AQ45" s="87">
        <v>460.27</v>
      </c>
      <c r="AR45" s="88">
        <v>7.83</v>
      </c>
      <c r="AS45" s="88">
        <v>100</v>
      </c>
      <c r="AT45" s="89"/>
      <c r="AU45" s="89"/>
      <c r="AV45" s="90"/>
      <c r="AW45" s="76"/>
      <c r="AX45" s="87">
        <v>460.27</v>
      </c>
      <c r="AY45" s="88">
        <v>5.7</v>
      </c>
      <c r="AZ45" s="88">
        <v>100</v>
      </c>
      <c r="BA45" s="89"/>
      <c r="BB45" s="89"/>
      <c r="BC45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 GSD (with sand)</vt:lpstr>
      <vt:lpstr>T25A</vt:lpstr>
      <vt:lpstr>LISST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2023-10-05T20:25:52Z</dcterms:created>
  <dcterms:modified xsi:type="dcterms:W3CDTF">2024-03-06T14:48:45Z</dcterms:modified>
</cp:coreProperties>
</file>