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4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Calibration\"/>
    </mc:Choice>
  </mc:AlternateContent>
  <xr:revisionPtr revIDLastSave="0" documentId="13_ncr:1_{B96C39AB-85C9-4F8E-B8F7-26D74A6A306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ilbert envelope" sheetId="1" r:id="rId1"/>
    <sheet name="rectified envelope" sheetId="4" r:id="rId2"/>
    <sheet name="validation" sheetId="6" r:id="rId3"/>
    <sheet name="r2" sheetId="5" r:id="rId4"/>
    <sheet name="flood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J48" i="6" l="1" a="1"/>
  <c r="CJ48" i="6" s="1"/>
  <c r="CJ44" i="6" a="1"/>
  <c r="CJ44" i="6" s="1"/>
  <c r="CD47" i="6"/>
  <c r="BY43" i="6"/>
  <c r="CJ43" i="6" s="1" a="1"/>
  <c r="CJ43" i="6" s="1"/>
  <c r="CD44" i="6"/>
  <c r="CD43" i="6"/>
  <c r="CC44" i="6"/>
  <c r="CC45" i="6"/>
  <c r="CC47" i="6"/>
  <c r="CC43" i="6"/>
  <c r="CJ47" i="6" s="1" a="1"/>
  <c r="CJ47" i="6" s="1"/>
  <c r="CB44" i="6"/>
  <c r="CB45" i="6"/>
  <c r="CB46" i="6"/>
  <c r="CB47" i="6"/>
  <c r="CB43" i="6"/>
  <c r="CJ46" i="6" s="1" a="1"/>
  <c r="CJ46" i="6" s="1"/>
  <c r="CA44" i="6"/>
  <c r="CA45" i="6"/>
  <c r="CA46" i="6"/>
  <c r="CA47" i="6"/>
  <c r="CA43" i="6"/>
  <c r="CJ45" i="6" s="1" a="1"/>
  <c r="CJ45" i="6" s="1"/>
  <c r="BZ44" i="6"/>
  <c r="BZ45" i="6"/>
  <c r="BZ46" i="6"/>
  <c r="BZ47" i="6"/>
  <c r="BZ43" i="6"/>
  <c r="BY47" i="6"/>
  <c r="BY44" i="6"/>
  <c r="BY45" i="6"/>
  <c r="BY46" i="6"/>
  <c r="CN20" i="6"/>
  <c r="CN21" i="6"/>
  <c r="CI48" i="6" s="1" a="1"/>
  <c r="CI48" i="6" s="1"/>
  <c r="CN22" i="6"/>
  <c r="CN23" i="6"/>
  <c r="CN19" i="6"/>
  <c r="CM20" i="6"/>
  <c r="CM21" i="6"/>
  <c r="CM22" i="6"/>
  <c r="CM23" i="6"/>
  <c r="CM19" i="6"/>
  <c r="CI47" i="6" s="1" a="1"/>
  <c r="CI47" i="6" s="1"/>
  <c r="CL20" i="6"/>
  <c r="CL21" i="6"/>
  <c r="CL22" i="6"/>
  <c r="CL23" i="6"/>
  <c r="CL19" i="6"/>
  <c r="CI46" i="6" s="1" a="1"/>
  <c r="CI46" i="6" s="1"/>
  <c r="CK20" i="6"/>
  <c r="CK21" i="6"/>
  <c r="CK22" i="6"/>
  <c r="CK23" i="6"/>
  <c r="CK19" i="6"/>
  <c r="CI45" i="6" s="1" a="1"/>
  <c r="CI45" i="6" s="1"/>
  <c r="CJ20" i="6"/>
  <c r="CI44" i="6" s="1" a="1"/>
  <c r="CI44" i="6" s="1"/>
  <c r="CJ21" i="6"/>
  <c r="CJ22" i="6"/>
  <c r="CJ23" i="6"/>
  <c r="CJ19" i="6"/>
  <c r="CI20" i="6"/>
  <c r="CI21" i="6"/>
  <c r="CI22" i="6"/>
  <c r="CI23" i="6"/>
  <c r="CI19" i="6"/>
  <c r="CI43" i="6" s="1" a="1"/>
  <c r="CI43" i="6" s="1"/>
  <c r="CE20" i="6"/>
  <c r="CE21" i="6"/>
  <c r="CE22" i="6"/>
  <c r="CE23" i="6"/>
  <c r="CE19" i="6"/>
  <c r="CH48" i="6" s="1" a="1"/>
  <c r="CH48" i="6" s="1"/>
  <c r="CD20" i="6"/>
  <c r="CD21" i="6"/>
  <c r="CD22" i="6"/>
  <c r="CD23" i="6"/>
  <c r="CD19" i="6"/>
  <c r="CH47" i="6" s="1" a="1"/>
  <c r="CH47" i="6" s="1"/>
  <c r="CC20" i="6"/>
  <c r="CC21" i="6"/>
  <c r="CH46" i="6" s="1" a="1"/>
  <c r="CH46" i="6" s="1"/>
  <c r="CC22" i="6"/>
  <c r="CC23" i="6"/>
  <c r="CC19" i="6"/>
  <c r="CB23" i="6"/>
  <c r="CB20" i="6"/>
  <c r="CB21" i="6"/>
  <c r="CB22" i="6"/>
  <c r="CB19" i="6"/>
  <c r="CH45" i="6" s="1" a="1"/>
  <c r="CH45" i="6" s="1"/>
  <c r="CA20" i="6"/>
  <c r="CA21" i="6"/>
  <c r="CA22" i="6"/>
  <c r="CA23" i="6"/>
  <c r="CA19" i="6"/>
  <c r="CH44" i="6" s="1" a="1"/>
  <c r="CH44" i="6" s="1"/>
  <c r="BZ20" i="6"/>
  <c r="BZ21" i="6"/>
  <c r="BZ22" i="6"/>
  <c r="BZ23" i="6"/>
  <c r="BZ19" i="6"/>
  <c r="CH43" i="6" s="1" a="1"/>
  <c r="CH43" i="6" s="1"/>
  <c r="BQ48" i="6" a="1"/>
  <c r="BQ48" i="6" s="1"/>
  <c r="BL44" i="6"/>
  <c r="BL47" i="6"/>
  <c r="BL43" i="6"/>
  <c r="BK44" i="6"/>
  <c r="BQ47" i="6" s="1" a="1"/>
  <c r="BQ47" i="6" s="1"/>
  <c r="BK45" i="6"/>
  <c r="BK47" i="6"/>
  <c r="BK43" i="6"/>
  <c r="BJ44" i="6"/>
  <c r="BJ45" i="6"/>
  <c r="BJ46" i="6"/>
  <c r="BJ47" i="6"/>
  <c r="BJ43" i="6"/>
  <c r="BQ46" i="6" s="1" a="1"/>
  <c r="BQ46" i="6" s="1"/>
  <c r="BI44" i="6"/>
  <c r="BI45" i="6"/>
  <c r="BI46" i="6"/>
  <c r="BI47" i="6"/>
  <c r="BI43" i="6"/>
  <c r="BQ45" i="6" s="1" a="1"/>
  <c r="BQ45" i="6" s="1"/>
  <c r="BH44" i="6"/>
  <c r="BH45" i="6"/>
  <c r="BH46" i="6"/>
  <c r="BH47" i="6"/>
  <c r="BQ44" i="6" s="1" a="1"/>
  <c r="BQ44" i="6" s="1"/>
  <c r="BH43" i="6"/>
  <c r="BG44" i="6"/>
  <c r="BG45" i="6"/>
  <c r="BQ43" i="6" s="1" a="1"/>
  <c r="BQ43" i="6" s="1"/>
  <c r="BG46" i="6"/>
  <c r="BG47" i="6"/>
  <c r="BG43" i="6"/>
  <c r="BU21" i="6"/>
  <c r="BU20" i="6"/>
  <c r="BU22" i="6"/>
  <c r="BU23" i="6"/>
  <c r="BU19" i="6"/>
  <c r="BP48" i="6" s="1" a="1"/>
  <c r="BP48" i="6" s="1"/>
  <c r="BT20" i="6"/>
  <c r="BT21" i="6"/>
  <c r="BT22" i="6"/>
  <c r="BT23" i="6"/>
  <c r="BT19" i="6"/>
  <c r="BP47" i="6" s="1" a="1"/>
  <c r="BP47" i="6" s="1"/>
  <c r="BS20" i="6"/>
  <c r="BS21" i="6"/>
  <c r="BS22" i="6"/>
  <c r="BP46" i="6" s="1" a="1"/>
  <c r="BP46" i="6" s="1"/>
  <c r="BS23" i="6"/>
  <c r="BS19" i="6"/>
  <c r="BR20" i="6"/>
  <c r="BP45" i="6" s="1" a="1"/>
  <c r="BP45" i="6" s="1"/>
  <c r="BR21" i="6"/>
  <c r="BR22" i="6"/>
  <c r="BR23" i="6"/>
  <c r="BR19" i="6"/>
  <c r="BQ20" i="6"/>
  <c r="BQ21" i="6"/>
  <c r="BQ22" i="6"/>
  <c r="BQ23" i="6"/>
  <c r="BQ19" i="6"/>
  <c r="BP44" i="6" s="1" a="1"/>
  <c r="BP44" i="6" s="1"/>
  <c r="BP19" i="6"/>
  <c r="BP43" i="6" s="1" a="1"/>
  <c r="BP43" i="6" s="1"/>
  <c r="BP20" i="6"/>
  <c r="BP21" i="6"/>
  <c r="BP22" i="6"/>
  <c r="BP23" i="6"/>
  <c r="BL20" i="6"/>
  <c r="BL21" i="6"/>
  <c r="BL22" i="6"/>
  <c r="BL23" i="6"/>
  <c r="BL19" i="6"/>
  <c r="BO48" i="6" s="1" a="1"/>
  <c r="BO48" i="6" s="1"/>
  <c r="BK20" i="6"/>
  <c r="BK21" i="6"/>
  <c r="BK22" i="6"/>
  <c r="BK23" i="6"/>
  <c r="BK19" i="6"/>
  <c r="BO47" i="6" s="1" a="1"/>
  <c r="BO47" i="6" s="1"/>
  <c r="BJ20" i="6"/>
  <c r="BJ21" i="6"/>
  <c r="BJ22" i="6"/>
  <c r="BJ23" i="6"/>
  <c r="BJ19" i="6"/>
  <c r="BO46" i="6" s="1" a="1"/>
  <c r="BO46" i="6" s="1"/>
  <c r="BI20" i="6"/>
  <c r="BO45" i="6" s="1" a="1"/>
  <c r="BO45" i="6" s="1"/>
  <c r="BI21" i="6"/>
  <c r="BI22" i="6"/>
  <c r="BI23" i="6"/>
  <c r="BI19" i="6"/>
  <c r="BH20" i="6"/>
  <c r="BH21" i="6"/>
  <c r="BH22" i="6"/>
  <c r="BH23" i="6"/>
  <c r="BO44" i="6" s="1" a="1"/>
  <c r="BO44" i="6" s="1"/>
  <c r="BH19" i="6"/>
  <c r="BG19" i="6"/>
  <c r="BG20" i="6"/>
  <c r="BO43" i="6" s="1" a="1"/>
  <c r="BO43" i="6" s="1"/>
  <c r="BG21" i="6"/>
  <c r="BG22" i="6"/>
  <c r="BG23" i="6"/>
  <c r="BC45" i="6" a="1"/>
  <c r="BC45" i="6" s="1"/>
  <c r="BC44" i="6" a="1"/>
  <c r="BC44" i="6" s="1"/>
  <c r="AU45" i="6" a="1"/>
  <c r="AU45" i="6" s="1"/>
  <c r="AU44" i="6" a="1"/>
  <c r="AU44" i="6" s="1"/>
  <c r="G11" i="6" l="1"/>
  <c r="H11" i="6"/>
  <c r="I11" i="6"/>
  <c r="J11" i="6"/>
  <c r="K11" i="6"/>
  <c r="G12" i="6"/>
  <c r="H12" i="6"/>
  <c r="I12" i="6"/>
  <c r="J12" i="6"/>
  <c r="K12" i="6"/>
  <c r="G13" i="6"/>
  <c r="H13" i="6"/>
  <c r="I13" i="6"/>
  <c r="J13" i="6"/>
  <c r="K13" i="6"/>
  <c r="G14" i="6"/>
  <c r="H14" i="6"/>
  <c r="I14" i="6"/>
  <c r="J14" i="6"/>
  <c r="K14" i="6"/>
  <c r="F14" i="6"/>
  <c r="F11" i="6"/>
  <c r="F12" i="6"/>
  <c r="F13" i="6"/>
  <c r="F10" i="6"/>
  <c r="K10" i="6"/>
  <c r="J10" i="6"/>
  <c r="I10" i="6"/>
  <c r="H10" i="6"/>
  <c r="G10" i="6"/>
  <c r="G3" i="6"/>
  <c r="H3" i="6"/>
  <c r="I3" i="6"/>
  <c r="J3" i="6"/>
  <c r="K3" i="6"/>
  <c r="P20" i="6" s="1"/>
  <c r="G4" i="6"/>
  <c r="H4" i="6"/>
  <c r="I4" i="6"/>
  <c r="J4" i="6"/>
  <c r="K4" i="6"/>
  <c r="P21" i="6" s="1"/>
  <c r="G5" i="6"/>
  <c r="H5" i="6"/>
  <c r="I5" i="6"/>
  <c r="J5" i="6"/>
  <c r="K5" i="6"/>
  <c r="P22" i="6" s="1"/>
  <c r="G6" i="6"/>
  <c r="H6" i="6"/>
  <c r="I6" i="6"/>
  <c r="J6" i="6"/>
  <c r="K6" i="6"/>
  <c r="R23" i="6" s="1"/>
  <c r="K2" i="6"/>
  <c r="J2" i="6"/>
  <c r="G2" i="6"/>
  <c r="H2" i="6"/>
  <c r="I2" i="6"/>
  <c r="F3" i="6"/>
  <c r="F4" i="6"/>
  <c r="F5" i="6"/>
  <c r="F6" i="6"/>
  <c r="F2" i="6"/>
  <c r="J2" i="1"/>
  <c r="K2" i="1"/>
  <c r="L2" i="1"/>
  <c r="M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20" i="6"/>
  <c r="L21" i="6"/>
  <c r="L22" i="6"/>
  <c r="L23" i="6"/>
  <c r="J20" i="6"/>
  <c r="K43" i="6" s="1" a="1"/>
  <c r="K43" i="6" s="1"/>
  <c r="AR4" i="6" s="1"/>
  <c r="J21" i="6"/>
  <c r="J22" i="6"/>
  <c r="J23" i="6"/>
  <c r="K23" i="6"/>
  <c r="K20" i="6"/>
  <c r="K21" i="6"/>
  <c r="K22" i="6"/>
  <c r="C23" i="6"/>
  <c r="C22" i="6"/>
  <c r="C21" i="6"/>
  <c r="C20" i="6"/>
  <c r="I23" i="6"/>
  <c r="I22" i="6"/>
  <c r="I21" i="6"/>
  <c r="I20" i="6"/>
  <c r="K42" i="6" s="1" a="1"/>
  <c r="K42" i="6" s="1"/>
  <c r="AR3" i="6" s="1"/>
  <c r="F20" i="6"/>
  <c r="F21" i="6"/>
  <c r="F22" i="6"/>
  <c r="F23" i="6"/>
  <c r="E20" i="6"/>
  <c r="E21" i="6"/>
  <c r="E44" i="6" s="1" a="1"/>
  <c r="E44" i="6" s="1"/>
  <c r="AQ5" i="6" s="1"/>
  <c r="E22" i="6"/>
  <c r="E23" i="6"/>
  <c r="K44" i="6" l="1" a="1"/>
  <c r="K44" i="6" s="1"/>
  <c r="AR5" i="6" s="1"/>
  <c r="K45" i="6" a="1"/>
  <c r="K45" i="6" s="1"/>
  <c r="AR6" i="6" s="1"/>
  <c r="E45" i="6" a="1"/>
  <c r="E45" i="6" s="1"/>
  <c r="AQ6" i="6" s="1"/>
  <c r="AQ21" i="6"/>
  <c r="AR21" i="6"/>
  <c r="AZ23" i="6"/>
  <c r="AY23" i="6"/>
  <c r="AZ22" i="6"/>
  <c r="AY22" i="6"/>
  <c r="AJ22" i="6"/>
  <c r="AM22" i="6"/>
  <c r="AK22" i="6"/>
  <c r="AL22" i="6"/>
  <c r="AZ21" i="6"/>
  <c r="AY21" i="6"/>
  <c r="AQ22" i="6"/>
  <c r="AR22" i="6"/>
  <c r="AY20" i="6"/>
  <c r="AZ20" i="6"/>
  <c r="AK20" i="6"/>
  <c r="AJ20" i="6"/>
  <c r="AL20" i="6"/>
  <c r="AM20" i="6"/>
  <c r="O22" i="6"/>
  <c r="AL23" i="6"/>
  <c r="AM23" i="6"/>
  <c r="AK23" i="6"/>
  <c r="AJ23" i="6"/>
  <c r="AR20" i="6"/>
  <c r="AQ20" i="6"/>
  <c r="O21" i="6"/>
  <c r="E42" i="6" a="1"/>
  <c r="E42" i="6" s="1"/>
  <c r="AQ3" i="6" s="1"/>
  <c r="AQ23" i="6"/>
  <c r="AR23" i="6"/>
  <c r="Q22" i="6"/>
  <c r="AJ21" i="6"/>
  <c r="AM21" i="6"/>
  <c r="AL21" i="6"/>
  <c r="AK21" i="6"/>
  <c r="Q21" i="6"/>
  <c r="X21" i="6"/>
  <c r="W21" i="6"/>
  <c r="Y21" i="6"/>
  <c r="V21" i="6"/>
  <c r="O23" i="6"/>
  <c r="Q23" i="6"/>
  <c r="Y22" i="6"/>
  <c r="V22" i="6"/>
  <c r="X22" i="6"/>
  <c r="W22" i="6"/>
  <c r="O20" i="6"/>
  <c r="Q20" i="6"/>
  <c r="AF21" i="6"/>
  <c r="AD21" i="6"/>
  <c r="AE21" i="6"/>
  <c r="AC21" i="6"/>
  <c r="AF22" i="6"/>
  <c r="AC22" i="6"/>
  <c r="AD22" i="6"/>
  <c r="AE22" i="6"/>
  <c r="P23" i="6"/>
  <c r="R43" i="6" s="1" a="1"/>
  <c r="R43" i="6" s="1"/>
  <c r="AS4" i="6" s="1"/>
  <c r="R22" i="6"/>
  <c r="X20" i="6"/>
  <c r="W20" i="6"/>
  <c r="Y20" i="6"/>
  <c r="V20" i="6"/>
  <c r="R21" i="6"/>
  <c r="Y23" i="6"/>
  <c r="V23" i="6"/>
  <c r="X23" i="6"/>
  <c r="W23" i="6"/>
  <c r="AD20" i="6"/>
  <c r="AC20" i="6"/>
  <c r="AE20" i="6"/>
  <c r="AF20" i="6"/>
  <c r="R20" i="6"/>
  <c r="AF23" i="6"/>
  <c r="AC23" i="6"/>
  <c r="AD23" i="6"/>
  <c r="AE23" i="6"/>
  <c r="D20" i="6"/>
  <c r="D21" i="6"/>
  <c r="D22" i="6"/>
  <c r="D23" i="6"/>
  <c r="AU42" i="6" l="1" a="1"/>
  <c r="AU42" i="6" s="1"/>
  <c r="AW3" i="6" s="1"/>
  <c r="R42" i="6" a="1"/>
  <c r="R42" i="6" s="1"/>
  <c r="AS3" i="6" s="1"/>
  <c r="BC43" i="6" a="1"/>
  <c r="BC43" i="6" s="1"/>
  <c r="AX4" i="6" s="1"/>
  <c r="Y42" i="6" a="1"/>
  <c r="Y42" i="6" s="1"/>
  <c r="AT3" i="6" s="1"/>
  <c r="BC42" i="6" a="1"/>
  <c r="BC42" i="6" s="1"/>
  <c r="AX3" i="6" s="1"/>
  <c r="AE42" i="6" a="1"/>
  <c r="AE42" i="6" s="1"/>
  <c r="AU3" i="6" s="1"/>
  <c r="AL45" i="6" a="1"/>
  <c r="AL45" i="6" s="1"/>
  <c r="AV6" i="6" s="1"/>
  <c r="AL44" i="6" a="1"/>
  <c r="AL44" i="6" s="1"/>
  <c r="AV5" i="6" s="1"/>
  <c r="AU43" i="6" a="1"/>
  <c r="AU43" i="6" s="1"/>
  <c r="AW4" i="6" s="1"/>
  <c r="AL42" i="6" a="1"/>
  <c r="AL42" i="6" s="1"/>
  <c r="AV3" i="6" s="1"/>
  <c r="AL43" i="6" a="1"/>
  <c r="AL43" i="6" s="1"/>
  <c r="AV4" i="6" s="1"/>
  <c r="R44" i="6" a="1"/>
  <c r="R44" i="6" s="1"/>
  <c r="AS5" i="6" s="1"/>
  <c r="Y44" i="6" a="1"/>
  <c r="Y44" i="6" s="1"/>
  <c r="AT5" i="6" s="1"/>
  <c r="Y43" i="6" a="1"/>
  <c r="Y43" i="6" s="1"/>
  <c r="AT4" i="6" s="1"/>
  <c r="AE43" i="6" a="1"/>
  <c r="AE43" i="6" s="1"/>
  <c r="AU4" i="6" s="1"/>
  <c r="Y45" i="6" a="1"/>
  <c r="Y45" i="6" s="1"/>
  <c r="AT6" i="6" s="1"/>
  <c r="AE45" i="6" a="1"/>
  <c r="AE45" i="6" s="1"/>
  <c r="AU6" i="6" s="1"/>
  <c r="R45" i="6" a="1"/>
  <c r="R45" i="6" s="1"/>
  <c r="AS6" i="6" s="1"/>
  <c r="AE44" i="6" a="1"/>
  <c r="AE44" i="6" s="1"/>
  <c r="AU5" i="6" s="1"/>
  <c r="E43" i="6" a="1"/>
  <c r="E43" i="6" s="1"/>
  <c r="AQ4" i="6" s="1"/>
  <c r="AR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<sst xmlns="http://schemas.openxmlformats.org/spreadsheetml/2006/main" count="467" uniqueCount="145">
  <si>
    <t>Particle #</t>
  </si>
  <si>
    <t>Size (mm)</t>
  </si>
  <si>
    <t>Aprox Time Start</t>
  </si>
  <si>
    <t>Aprox Time End</t>
  </si>
  <si>
    <t>Flood 1</t>
  </si>
  <si>
    <t>Flood 2</t>
  </si>
  <si>
    <t>Flood 3</t>
  </si>
  <si>
    <t>Flood 4</t>
  </si>
  <si>
    <t>Flood 5</t>
  </si>
  <si>
    <t>Pipe</t>
  </si>
  <si>
    <t>Hydrophone</t>
  </si>
  <si>
    <t>Max Size</t>
  </si>
  <si>
    <t>Tracers</t>
  </si>
  <si>
    <t>Bedload</t>
  </si>
  <si>
    <t>H1</t>
  </si>
  <si>
    <t>H4</t>
  </si>
  <si>
    <t>Flood 6</t>
  </si>
  <si>
    <t>Flood 7</t>
  </si>
  <si>
    <t>Flood 8</t>
  </si>
  <si>
    <t>Flood 9</t>
  </si>
  <si>
    <t>Env Max Amplitude</t>
  </si>
  <si>
    <t>Raw Max Amplitude</t>
  </si>
  <si>
    <t>max_amp</t>
  </si>
  <si>
    <t>mean_amp</t>
  </si>
  <si>
    <t>median_amp</t>
  </si>
  <si>
    <t>ch6_imp</t>
  </si>
  <si>
    <t>ch5_imp</t>
  </si>
  <si>
    <t>ch4_imp</t>
  </si>
  <si>
    <t>ch3_imp</t>
  </si>
  <si>
    <t>ch2_imp</t>
  </si>
  <si>
    <t>ch1_imp</t>
  </si>
  <si>
    <t>ch6_mean</t>
  </si>
  <si>
    <t>ch5_mean</t>
  </si>
  <si>
    <t>ch4_mean</t>
  </si>
  <si>
    <t>ch3_mean</t>
  </si>
  <si>
    <t>ch2_mean</t>
  </si>
  <si>
    <t>ch1_mean</t>
  </si>
  <si>
    <t>Total Impact Window</t>
  </si>
  <si>
    <t xml:space="preserve">Max Amp (Hil) </t>
  </si>
  <si>
    <t>Max Amp (Rect)</t>
  </si>
  <si>
    <t>Mean Amp (Hil)</t>
  </si>
  <si>
    <t>Mean Amp (Rect)</t>
  </si>
  <si>
    <t>Med Amp (Hil)</t>
  </si>
  <si>
    <t>Med Amp (Rect)</t>
  </si>
  <si>
    <t>Linear</t>
  </si>
  <si>
    <t>Power</t>
  </si>
  <si>
    <t xml:space="preserve">Log </t>
  </si>
  <si>
    <t>Number of Impulses</t>
  </si>
  <si>
    <t xml:space="preserve">Mean Amplitude Above Treshold (2V) </t>
  </si>
  <si>
    <t>Linear (Hil)</t>
  </si>
  <si>
    <t>Linear (Rect)</t>
  </si>
  <si>
    <t>Log (Hil)</t>
  </si>
  <si>
    <t>Log (Rect)</t>
  </si>
  <si>
    <t>Power (Hil)</t>
  </si>
  <si>
    <t>Power (Rect)</t>
  </si>
  <si>
    <t>ch1</t>
  </si>
  <si>
    <t>ch2</t>
  </si>
  <si>
    <t>ch3</t>
  </si>
  <si>
    <t>ch4</t>
  </si>
  <si>
    <t>ch5</t>
  </si>
  <si>
    <t>ch6</t>
  </si>
  <si>
    <t>Hilbert Env</t>
  </si>
  <si>
    <t>ch6_median</t>
  </si>
  <si>
    <t>ch5_median</t>
  </si>
  <si>
    <t>ch4_median</t>
  </si>
  <si>
    <t>ch3_median</t>
  </si>
  <si>
    <t>ch2_median</t>
  </si>
  <si>
    <t>ch1_median</t>
  </si>
  <si>
    <t>flood1</t>
  </si>
  <si>
    <t>Rectified Env</t>
  </si>
  <si>
    <t>flood2</t>
  </si>
  <si>
    <t>flood3</t>
  </si>
  <si>
    <t>flood4</t>
  </si>
  <si>
    <t>flood5</t>
  </si>
  <si>
    <t>time (s)</t>
  </si>
  <si>
    <t>Max Amp (V)</t>
  </si>
  <si>
    <t xml:space="preserve">Mean Amp (V) </t>
  </si>
  <si>
    <t>Med Amp (V)</t>
  </si>
  <si>
    <t>Experiment</t>
  </si>
  <si>
    <t>Measured Dmax</t>
  </si>
  <si>
    <t>Dmax - Max Amp (2)</t>
  </si>
  <si>
    <t>Dmax - Mean Amp (2)</t>
  </si>
  <si>
    <t>Dmax - Max Amp (3)</t>
  </si>
  <si>
    <t>Dmax - Max Amp (4)</t>
  </si>
  <si>
    <t>Max Amp - Dmax (1)</t>
  </si>
  <si>
    <t xml:space="preserve">RMSE </t>
  </si>
  <si>
    <t>Max Amp</t>
  </si>
  <si>
    <t>linear</t>
  </si>
  <si>
    <t>power</t>
  </si>
  <si>
    <t>log</t>
  </si>
  <si>
    <t>Over the whole sampling period</t>
  </si>
  <si>
    <t>ch6_max</t>
  </si>
  <si>
    <t>ch5_max</t>
  </si>
  <si>
    <t>ch4_max</t>
  </si>
  <si>
    <t>ch3_max</t>
  </si>
  <si>
    <t>ch2_max</t>
  </si>
  <si>
    <t>ch1_max</t>
  </si>
  <si>
    <t>Dmax - Mean Amp (3)</t>
  </si>
  <si>
    <t>Mean Amp - Dmax (1)</t>
  </si>
  <si>
    <t>Dmax - Mean Amp (4)</t>
  </si>
  <si>
    <t>Mean Amp</t>
  </si>
  <si>
    <t>ch6_imp/s</t>
  </si>
  <si>
    <t>ch6 imp/s</t>
  </si>
  <si>
    <t>ch5 imp/s</t>
  </si>
  <si>
    <t>ch4 imp/s</t>
  </si>
  <si>
    <t>ch3 imp/s</t>
  </si>
  <si>
    <t>ch1 imp/s</t>
  </si>
  <si>
    <t>ch2 imp/s</t>
  </si>
  <si>
    <t>ch5_imp/s</t>
  </si>
  <si>
    <t>ch4_imp/s</t>
  </si>
  <si>
    <t>ch3_imp/s</t>
  </si>
  <si>
    <t>ch2_imp/s</t>
  </si>
  <si>
    <t>ch1_imp/s</t>
  </si>
  <si>
    <t>Imp/s - Dmax (1)</t>
  </si>
  <si>
    <t>Dmax - Imp/s (2)</t>
  </si>
  <si>
    <t>Dmax - Imp/s (3)</t>
  </si>
  <si>
    <t>Dmax - Imp/s (4)</t>
  </si>
  <si>
    <t>Ch1 (x1024)</t>
  </si>
  <si>
    <t>Ch2 (x256)</t>
  </si>
  <si>
    <t>Over the whole sampling period (Imp/s)</t>
  </si>
  <si>
    <t>Ch3 (x64)</t>
  </si>
  <si>
    <t>Ch4 (x16)</t>
  </si>
  <si>
    <t>-</t>
  </si>
  <si>
    <t>Ch5 (x4)</t>
  </si>
  <si>
    <t>Ch6 (x1)</t>
  </si>
  <si>
    <t>Ch1</t>
  </si>
  <si>
    <t>Ch2</t>
  </si>
  <si>
    <t>Ch3</t>
  </si>
  <si>
    <t>Ch4</t>
  </si>
  <si>
    <t>Ch5</t>
  </si>
  <si>
    <t>Ch6</t>
  </si>
  <si>
    <t>RMSE</t>
  </si>
  <si>
    <t>Amplitude</t>
  </si>
  <si>
    <t>Max</t>
  </si>
  <si>
    <t>Mean</t>
  </si>
  <si>
    <t>Solve</t>
  </si>
  <si>
    <t>Log</t>
  </si>
  <si>
    <t>min</t>
  </si>
  <si>
    <t>y2</t>
  </si>
  <si>
    <t>t2</t>
  </si>
  <si>
    <t>u2</t>
  </si>
  <si>
    <t>v2</t>
  </si>
  <si>
    <t>w2</t>
  </si>
  <si>
    <t>x2</t>
  </si>
  <si>
    <t>Max Amp by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</si>
</sst>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 wrapText="1"/>
    </xf>
    <xf numFmtId="2" fontId="0" fillId="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/>
    <xf numFmtId="0" fontId="0" fillId="9" borderId="0" xfId="0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2" fontId="0" fillId="10" borderId="0" xfId="0" applyNumberFormat="1" applyFill="1" applyAlignment="1">
      <alignment horizontal="center"/>
    </xf>
    <xf numFmtId="0" fontId="3" fillId="10" borderId="0" xfId="0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envelope'!$E$2:$E$25</c:f>
              <c:numCache>
                <c:formatCode>0.0000</c:formatCode>
                <c:ptCount val="24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7C-4D93-9FF8-AE77C53E1B22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225-42D2-9069-B6468A8E23C9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7C-4D93-9FF8-AE77C53E1B22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6-4F99-BA73-E5CB745AC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envelope'!$F$2:$F$25</c:f>
              <c:numCache>
                <c:formatCode>0.0000</c:formatCode>
                <c:ptCount val="24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4-4310-B45A-94DB5772C795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64-4310-B45A-94DB5772C795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envelope'!$F$26:$F$37</c:f>
              <c:numCache>
                <c:formatCode>0.0000</c:formatCode>
                <c:ptCount val="12"/>
                <c:pt idx="0">
                  <c:v>5.6784984243662398E-3</c:v>
                </c:pt>
                <c:pt idx="1">
                  <c:v>4.8212415579803897E-3</c:v>
                </c:pt>
                <c:pt idx="2">
                  <c:v>9.1426900455134907E-3</c:v>
                </c:pt>
                <c:pt idx="3">
                  <c:v>7.8507383881498607E-3</c:v>
                </c:pt>
                <c:pt idx="4">
                  <c:v>6.5149661727545603E-3</c:v>
                </c:pt>
                <c:pt idx="5">
                  <c:v>7.5773751595888898E-3</c:v>
                </c:pt>
                <c:pt idx="6">
                  <c:v>1.5222331559222001E-2</c:v>
                </c:pt>
                <c:pt idx="7">
                  <c:v>1.37528556522491E-2</c:v>
                </c:pt>
                <c:pt idx="8">
                  <c:v>9.8602655911611495E-3</c:v>
                </c:pt>
                <c:pt idx="9">
                  <c:v>2.94139388502281E-2</c:v>
                </c:pt>
                <c:pt idx="10">
                  <c:v>9.9725509064199202E-3</c:v>
                </c:pt>
                <c:pt idx="11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64-4310-B45A-94DB5772C795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envelope'!$F$2:$F$40</c:f>
              <c:numCache>
                <c:formatCode>0.0000</c:formatCode>
                <c:ptCount val="39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64-4310-B45A-94DB5772C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'hilbert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'hilbert envelope'!$G$2:$G$25</c:f>
              <c:numCache>
                <c:formatCode>0.0000</c:formatCode>
                <c:ptCount val="24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B3-45C2-A8ED-FEBED1ABC14E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EB3-45C2-A8ED-FEBED1ABC14E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envelope'!$G$26:$G$37</c:f>
              <c:numCache>
                <c:formatCode>0.0000</c:formatCode>
                <c:ptCount val="12"/>
                <c:pt idx="0">
                  <c:v>4.6667095589632999E-3</c:v>
                </c:pt>
                <c:pt idx="1">
                  <c:v>4.1135640493545804E-3</c:v>
                </c:pt>
                <c:pt idx="2">
                  <c:v>6.1375608082080103E-3</c:v>
                </c:pt>
                <c:pt idx="3">
                  <c:v>4.0069409325786598E-3</c:v>
                </c:pt>
                <c:pt idx="4">
                  <c:v>4.26435563054003E-3</c:v>
                </c:pt>
                <c:pt idx="5">
                  <c:v>5.3544304928017398E-3</c:v>
                </c:pt>
                <c:pt idx="6">
                  <c:v>4.5052689799184196E-3</c:v>
                </c:pt>
                <c:pt idx="7">
                  <c:v>4.5700514622563203E-3</c:v>
                </c:pt>
                <c:pt idx="8">
                  <c:v>4.3864038070395503E-3</c:v>
                </c:pt>
                <c:pt idx="9">
                  <c:v>9.5407724532447606E-3</c:v>
                </c:pt>
                <c:pt idx="10">
                  <c:v>6.2822795747625101E-3</c:v>
                </c:pt>
                <c:pt idx="11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B3-45C2-A8ED-FEBED1ABC14E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envelope'!$G$2:$G$37</c:f>
              <c:numCache>
                <c:formatCode>0.0000</c:formatCode>
                <c:ptCount val="36"/>
                <c:pt idx="0">
                  <c:v>2.2914216154744201E-2</c:v>
                </c:pt>
                <c:pt idx="1">
                  <c:v>7.2966466530169603E-3</c:v>
                </c:pt>
                <c:pt idx="2">
                  <c:v>7.7989329746457701E-3</c:v>
                </c:pt>
                <c:pt idx="3">
                  <c:v>9.6694169987568603E-3</c:v>
                </c:pt>
                <c:pt idx="4">
                  <c:v>1.1301251811562101E-2</c:v>
                </c:pt>
                <c:pt idx="5">
                  <c:v>3.0143536797057099E-2</c:v>
                </c:pt>
                <c:pt idx="6">
                  <c:v>5.3392743586913897E-3</c:v>
                </c:pt>
                <c:pt idx="7">
                  <c:v>8.4624680045280194E-3</c:v>
                </c:pt>
                <c:pt idx="8">
                  <c:v>2.1759151907210301E-2</c:v>
                </c:pt>
                <c:pt idx="9">
                  <c:v>5.1627678565697001E-3</c:v>
                </c:pt>
                <c:pt idx="10">
                  <c:v>9.2196022769056602E-3</c:v>
                </c:pt>
                <c:pt idx="11">
                  <c:v>6.0105568763227698E-3</c:v>
                </c:pt>
                <c:pt idx="12">
                  <c:v>1.4642800293065399E-2</c:v>
                </c:pt>
                <c:pt idx="13">
                  <c:v>5.26397191560033E-3</c:v>
                </c:pt>
                <c:pt idx="14">
                  <c:v>4.5767283517164602E-3</c:v>
                </c:pt>
                <c:pt idx="15">
                  <c:v>6.3512880877902899E-3</c:v>
                </c:pt>
                <c:pt idx="16">
                  <c:v>6.8585843273274603E-3</c:v>
                </c:pt>
                <c:pt idx="17">
                  <c:v>5.0494700428746703E-3</c:v>
                </c:pt>
                <c:pt idx="18">
                  <c:v>4.2829956428710502E-3</c:v>
                </c:pt>
                <c:pt idx="19">
                  <c:v>7.5116788153303899E-3</c:v>
                </c:pt>
                <c:pt idx="20">
                  <c:v>5.0606462291010196E-3</c:v>
                </c:pt>
                <c:pt idx="21">
                  <c:v>4.0412722569313003E-3</c:v>
                </c:pt>
                <c:pt idx="22">
                  <c:v>3.5257352179030601E-3</c:v>
                </c:pt>
                <c:pt idx="23">
                  <c:v>4.5595536316889104E-3</c:v>
                </c:pt>
                <c:pt idx="24">
                  <c:v>4.6667095589632999E-3</c:v>
                </c:pt>
                <c:pt idx="25">
                  <c:v>4.1135640493545804E-3</c:v>
                </c:pt>
                <c:pt idx="26">
                  <c:v>6.1375608082080103E-3</c:v>
                </c:pt>
                <c:pt idx="27">
                  <c:v>4.0069409325786598E-3</c:v>
                </c:pt>
                <c:pt idx="28">
                  <c:v>4.26435563054003E-3</c:v>
                </c:pt>
                <c:pt idx="29">
                  <c:v>5.3544304928017398E-3</c:v>
                </c:pt>
                <c:pt idx="30">
                  <c:v>4.5052689799184196E-3</c:v>
                </c:pt>
                <c:pt idx="31">
                  <c:v>4.5700514622563203E-3</c:v>
                </c:pt>
                <c:pt idx="32">
                  <c:v>4.3864038070395503E-3</c:v>
                </c:pt>
                <c:pt idx="33">
                  <c:v>9.5407724532447606E-3</c:v>
                </c:pt>
                <c:pt idx="34">
                  <c:v>6.2822795747625101E-3</c:v>
                </c:pt>
                <c:pt idx="35">
                  <c:v>9.3037999635866304E-3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EB3-45C2-A8ED-FEBED1ABC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A-4141-A8D3-CB9C0E04A2F1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6A-4141-A8D3-CB9C0E04A2F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6A-4141-A8D3-CB9C0E04A2F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6A-4141-A8D3-CB9C0E04A2F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A6A-4141-A8D3-CB9C0E04A2F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A6A-4141-A8D3-CB9C0E04A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 per second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45-4497-AC3F-3347B2F6FE6B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45-4497-AC3F-3347B2F6FE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45-4497-AC3F-3347B2F6FE6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45-4497-AC3F-3347B2F6FE6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45-4497-AC3F-3347B2F6FE6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45-4497-AC3F-3347B2F6F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B-498C-9EDA-7ED7E56A7BB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B-498C-9EDA-7ED7E56A7BB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B-498C-9EDA-7ED7E56A7BB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4B-498C-9EDA-7ED7E56A7BB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4B-498C-9EDA-7ED7E56A7BB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A4B-498C-9EDA-7ED7E56A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envelope'!$BA$2:$BA$37</c:f>
              <c:numCache>
                <c:formatCode>General</c:formatCode>
                <c:ptCount val="36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9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10</c:v>
                </c:pt>
                <c:pt idx="31">
                  <c:v>2</c:v>
                </c:pt>
                <c:pt idx="32">
                  <c:v>4</c:v>
                </c:pt>
                <c:pt idx="33">
                  <c:v>12</c:v>
                </c:pt>
                <c:pt idx="34">
                  <c:v>0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8-4474-AFFA-85227DE5E7B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envelope'!$BB$2:$BB$37</c:f>
              <c:numCache>
                <c:formatCode>General</c:formatCode>
                <c:ptCount val="36"/>
                <c:pt idx="0">
                  <c:v>16</c:v>
                </c:pt>
                <c:pt idx="1">
                  <c:v>8</c:v>
                </c:pt>
                <c:pt idx="2">
                  <c:v>31</c:v>
                </c:pt>
                <c:pt idx="3">
                  <c:v>16</c:v>
                </c:pt>
                <c:pt idx="4">
                  <c:v>16</c:v>
                </c:pt>
                <c:pt idx="5">
                  <c:v>29</c:v>
                </c:pt>
                <c:pt idx="6">
                  <c:v>21</c:v>
                </c:pt>
                <c:pt idx="7">
                  <c:v>32</c:v>
                </c:pt>
                <c:pt idx="8">
                  <c:v>14</c:v>
                </c:pt>
                <c:pt idx="9">
                  <c:v>22</c:v>
                </c:pt>
                <c:pt idx="10">
                  <c:v>9</c:v>
                </c:pt>
                <c:pt idx="11">
                  <c:v>18</c:v>
                </c:pt>
                <c:pt idx="12">
                  <c:v>13</c:v>
                </c:pt>
                <c:pt idx="13">
                  <c:v>8</c:v>
                </c:pt>
                <c:pt idx="14">
                  <c:v>0</c:v>
                </c:pt>
                <c:pt idx="15">
                  <c:v>6</c:v>
                </c:pt>
                <c:pt idx="16">
                  <c:v>1</c:v>
                </c:pt>
                <c:pt idx="17">
                  <c:v>1</c:v>
                </c:pt>
                <c:pt idx="18">
                  <c:v>6</c:v>
                </c:pt>
                <c:pt idx="19">
                  <c:v>3</c:v>
                </c:pt>
                <c:pt idx="20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11</c:v>
                </c:pt>
                <c:pt idx="28">
                  <c:v>5</c:v>
                </c:pt>
                <c:pt idx="29">
                  <c:v>3</c:v>
                </c:pt>
                <c:pt idx="30">
                  <c:v>38</c:v>
                </c:pt>
                <c:pt idx="31">
                  <c:v>30</c:v>
                </c:pt>
                <c:pt idx="32">
                  <c:v>20</c:v>
                </c:pt>
                <c:pt idx="33">
                  <c:v>61</c:v>
                </c:pt>
                <c:pt idx="34">
                  <c:v>15</c:v>
                </c:pt>
                <c:pt idx="3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8-4474-AFFA-85227DE5E7B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envelope'!$BC$2:$BC$37</c:f>
              <c:numCache>
                <c:formatCode>General</c:formatCode>
                <c:ptCount val="36"/>
                <c:pt idx="0">
                  <c:v>96</c:v>
                </c:pt>
                <c:pt idx="1">
                  <c:v>65</c:v>
                </c:pt>
                <c:pt idx="2">
                  <c:v>89</c:v>
                </c:pt>
                <c:pt idx="3">
                  <c:v>110</c:v>
                </c:pt>
                <c:pt idx="4">
                  <c:v>41</c:v>
                </c:pt>
                <c:pt idx="5">
                  <c:v>102</c:v>
                </c:pt>
                <c:pt idx="6">
                  <c:v>91</c:v>
                </c:pt>
                <c:pt idx="7">
                  <c:v>75</c:v>
                </c:pt>
                <c:pt idx="8">
                  <c:v>41</c:v>
                </c:pt>
                <c:pt idx="9">
                  <c:v>58</c:v>
                </c:pt>
                <c:pt idx="10">
                  <c:v>49</c:v>
                </c:pt>
                <c:pt idx="11">
                  <c:v>43</c:v>
                </c:pt>
                <c:pt idx="12">
                  <c:v>39</c:v>
                </c:pt>
                <c:pt idx="13">
                  <c:v>40</c:v>
                </c:pt>
                <c:pt idx="14">
                  <c:v>11</c:v>
                </c:pt>
                <c:pt idx="15">
                  <c:v>24</c:v>
                </c:pt>
                <c:pt idx="16">
                  <c:v>12</c:v>
                </c:pt>
                <c:pt idx="17">
                  <c:v>17</c:v>
                </c:pt>
                <c:pt idx="18">
                  <c:v>27</c:v>
                </c:pt>
                <c:pt idx="19">
                  <c:v>21</c:v>
                </c:pt>
                <c:pt idx="20">
                  <c:v>11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18</c:v>
                </c:pt>
                <c:pt idx="25">
                  <c:v>11</c:v>
                </c:pt>
                <c:pt idx="26">
                  <c:v>35</c:v>
                </c:pt>
                <c:pt idx="27">
                  <c:v>56</c:v>
                </c:pt>
                <c:pt idx="28">
                  <c:v>26</c:v>
                </c:pt>
                <c:pt idx="29">
                  <c:v>28</c:v>
                </c:pt>
                <c:pt idx="30">
                  <c:v>113</c:v>
                </c:pt>
                <c:pt idx="31">
                  <c:v>110</c:v>
                </c:pt>
                <c:pt idx="32">
                  <c:v>68</c:v>
                </c:pt>
                <c:pt idx="33">
                  <c:v>187</c:v>
                </c:pt>
                <c:pt idx="34">
                  <c:v>82</c:v>
                </c:pt>
                <c:pt idx="35">
                  <c:v>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8-4474-AFFA-85227DE5E7B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envelope'!$BD$2:$BD$37</c:f>
              <c:numCache>
                <c:formatCode>General</c:formatCode>
                <c:ptCount val="36"/>
                <c:pt idx="0">
                  <c:v>264</c:v>
                </c:pt>
                <c:pt idx="1">
                  <c:v>195</c:v>
                </c:pt>
                <c:pt idx="2">
                  <c:v>230</c:v>
                </c:pt>
                <c:pt idx="3">
                  <c:v>255</c:v>
                </c:pt>
                <c:pt idx="4">
                  <c:v>139</c:v>
                </c:pt>
                <c:pt idx="5">
                  <c:v>246</c:v>
                </c:pt>
                <c:pt idx="6">
                  <c:v>212</c:v>
                </c:pt>
                <c:pt idx="7">
                  <c:v>233</c:v>
                </c:pt>
                <c:pt idx="8">
                  <c:v>103</c:v>
                </c:pt>
                <c:pt idx="9">
                  <c:v>165</c:v>
                </c:pt>
                <c:pt idx="10">
                  <c:v>132</c:v>
                </c:pt>
                <c:pt idx="11">
                  <c:v>139</c:v>
                </c:pt>
                <c:pt idx="12">
                  <c:v>78</c:v>
                </c:pt>
                <c:pt idx="13">
                  <c:v>121</c:v>
                </c:pt>
                <c:pt idx="14">
                  <c:v>72</c:v>
                </c:pt>
                <c:pt idx="15">
                  <c:v>103</c:v>
                </c:pt>
                <c:pt idx="16">
                  <c:v>57</c:v>
                </c:pt>
                <c:pt idx="17">
                  <c:v>76</c:v>
                </c:pt>
                <c:pt idx="18">
                  <c:v>64</c:v>
                </c:pt>
                <c:pt idx="19">
                  <c:v>74</c:v>
                </c:pt>
                <c:pt idx="20">
                  <c:v>62</c:v>
                </c:pt>
                <c:pt idx="21">
                  <c:v>32</c:v>
                </c:pt>
                <c:pt idx="22">
                  <c:v>30</c:v>
                </c:pt>
                <c:pt idx="23">
                  <c:v>51</c:v>
                </c:pt>
                <c:pt idx="24">
                  <c:v>151</c:v>
                </c:pt>
                <c:pt idx="25">
                  <c:v>103</c:v>
                </c:pt>
                <c:pt idx="26">
                  <c:v>163</c:v>
                </c:pt>
                <c:pt idx="27">
                  <c:v>204</c:v>
                </c:pt>
                <c:pt idx="28">
                  <c:v>112</c:v>
                </c:pt>
                <c:pt idx="29">
                  <c:v>147</c:v>
                </c:pt>
                <c:pt idx="30">
                  <c:v>312</c:v>
                </c:pt>
                <c:pt idx="31">
                  <c:v>279</c:v>
                </c:pt>
                <c:pt idx="32">
                  <c:v>245</c:v>
                </c:pt>
                <c:pt idx="33">
                  <c:v>490</c:v>
                </c:pt>
                <c:pt idx="34">
                  <c:v>353</c:v>
                </c:pt>
                <c:pt idx="35">
                  <c:v>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648-4474-AFFA-85227DE5E7B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envelope'!$BE$2:$BE$37</c:f>
              <c:numCache>
                <c:formatCode>General</c:formatCode>
                <c:ptCount val="36"/>
                <c:pt idx="0">
                  <c:v>604</c:v>
                </c:pt>
                <c:pt idx="1">
                  <c:v>628</c:v>
                </c:pt>
                <c:pt idx="2">
                  <c:v>509</c:v>
                </c:pt>
                <c:pt idx="3">
                  <c:v>489</c:v>
                </c:pt>
                <c:pt idx="4">
                  <c:v>414</c:v>
                </c:pt>
                <c:pt idx="5">
                  <c:v>493</c:v>
                </c:pt>
                <c:pt idx="6">
                  <c:v>660</c:v>
                </c:pt>
                <c:pt idx="7">
                  <c:v>700</c:v>
                </c:pt>
                <c:pt idx="8">
                  <c:v>323</c:v>
                </c:pt>
                <c:pt idx="9">
                  <c:v>559</c:v>
                </c:pt>
                <c:pt idx="10">
                  <c:v>544</c:v>
                </c:pt>
                <c:pt idx="11">
                  <c:v>586</c:v>
                </c:pt>
                <c:pt idx="12">
                  <c:v>345</c:v>
                </c:pt>
                <c:pt idx="13">
                  <c:v>631</c:v>
                </c:pt>
                <c:pt idx="14">
                  <c:v>777</c:v>
                </c:pt>
                <c:pt idx="15">
                  <c:v>418</c:v>
                </c:pt>
                <c:pt idx="16">
                  <c:v>275</c:v>
                </c:pt>
                <c:pt idx="17">
                  <c:v>328</c:v>
                </c:pt>
                <c:pt idx="18">
                  <c:v>364</c:v>
                </c:pt>
                <c:pt idx="19">
                  <c:v>395</c:v>
                </c:pt>
                <c:pt idx="20">
                  <c:v>607</c:v>
                </c:pt>
                <c:pt idx="21">
                  <c:v>536</c:v>
                </c:pt>
                <c:pt idx="22">
                  <c:v>601</c:v>
                </c:pt>
                <c:pt idx="23">
                  <c:v>494</c:v>
                </c:pt>
                <c:pt idx="24">
                  <c:v>1196</c:v>
                </c:pt>
                <c:pt idx="25">
                  <c:v>972</c:v>
                </c:pt>
                <c:pt idx="26">
                  <c:v>788</c:v>
                </c:pt>
                <c:pt idx="27">
                  <c:v>1215</c:v>
                </c:pt>
                <c:pt idx="28">
                  <c:v>811</c:v>
                </c:pt>
                <c:pt idx="29">
                  <c:v>700</c:v>
                </c:pt>
                <c:pt idx="30">
                  <c:v>1212</c:v>
                </c:pt>
                <c:pt idx="31">
                  <c:v>1032</c:v>
                </c:pt>
                <c:pt idx="32">
                  <c:v>1155</c:v>
                </c:pt>
                <c:pt idx="33">
                  <c:v>1019</c:v>
                </c:pt>
                <c:pt idx="34">
                  <c:v>1394</c:v>
                </c:pt>
                <c:pt idx="35">
                  <c:v>1531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648-4474-AFFA-85227DE5E7B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envelope'!$BF$2:$BF$37</c:f>
              <c:numCache>
                <c:formatCode>General</c:formatCode>
                <c:ptCount val="36"/>
                <c:pt idx="0">
                  <c:v>978</c:v>
                </c:pt>
                <c:pt idx="1">
                  <c:v>1690</c:v>
                </c:pt>
                <c:pt idx="2">
                  <c:v>1493</c:v>
                </c:pt>
                <c:pt idx="3">
                  <c:v>1351</c:v>
                </c:pt>
                <c:pt idx="4">
                  <c:v>882</c:v>
                </c:pt>
                <c:pt idx="5">
                  <c:v>1329</c:v>
                </c:pt>
                <c:pt idx="6">
                  <c:v>1581</c:v>
                </c:pt>
                <c:pt idx="7">
                  <c:v>1639</c:v>
                </c:pt>
                <c:pt idx="8">
                  <c:v>559</c:v>
                </c:pt>
                <c:pt idx="9">
                  <c:v>1384</c:v>
                </c:pt>
                <c:pt idx="10">
                  <c:v>1041</c:v>
                </c:pt>
                <c:pt idx="11">
                  <c:v>1730</c:v>
                </c:pt>
                <c:pt idx="12">
                  <c:v>943</c:v>
                </c:pt>
                <c:pt idx="13">
                  <c:v>1881</c:v>
                </c:pt>
                <c:pt idx="14">
                  <c:v>2820</c:v>
                </c:pt>
                <c:pt idx="15">
                  <c:v>1139</c:v>
                </c:pt>
                <c:pt idx="16">
                  <c:v>830</c:v>
                </c:pt>
                <c:pt idx="17">
                  <c:v>1228</c:v>
                </c:pt>
                <c:pt idx="18">
                  <c:v>1201</c:v>
                </c:pt>
                <c:pt idx="19">
                  <c:v>990</c:v>
                </c:pt>
                <c:pt idx="20">
                  <c:v>1911</c:v>
                </c:pt>
                <c:pt idx="21">
                  <c:v>2020</c:v>
                </c:pt>
                <c:pt idx="22">
                  <c:v>3003</c:v>
                </c:pt>
                <c:pt idx="23">
                  <c:v>1931</c:v>
                </c:pt>
                <c:pt idx="24">
                  <c:v>3617</c:v>
                </c:pt>
                <c:pt idx="25">
                  <c:v>3501</c:v>
                </c:pt>
                <c:pt idx="26">
                  <c:v>1749</c:v>
                </c:pt>
                <c:pt idx="27">
                  <c:v>3424</c:v>
                </c:pt>
                <c:pt idx="28">
                  <c:v>2808</c:v>
                </c:pt>
                <c:pt idx="29">
                  <c:v>1838</c:v>
                </c:pt>
                <c:pt idx="30">
                  <c:v>3306</c:v>
                </c:pt>
                <c:pt idx="31">
                  <c:v>2570</c:v>
                </c:pt>
                <c:pt idx="32">
                  <c:v>3356</c:v>
                </c:pt>
                <c:pt idx="33">
                  <c:v>2258</c:v>
                </c:pt>
                <c:pt idx="34">
                  <c:v>3355</c:v>
                </c:pt>
                <c:pt idx="35">
                  <c:v>3286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48-4474-AFFA-85227DE5E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0-4C78-94C4-A5A26B7AD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97-4BF8-9AAD-4379EAD82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EF-4FE1-BC07-F1F4B82CC46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EF-4FE1-BC07-F1F4B82CC46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EF-4FE1-BC07-F1F4B82CC46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EF-4FE1-BC07-F1F4B82CC46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EF-4FE1-BC07-F1F4B82CC46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EF-4FE1-BC07-F1F4B82CC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6-46C7-A718-9451DE94801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36-46C7-A718-9451DE94801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36-46C7-A718-9451DE94801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36-46C7-A718-9451DE94801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836-46C7-A718-9451DE94801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6-46C7-A718-9451DE948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E-47EF-AEC5-54D05B386B17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E-47EF-AEC5-54D05B386B17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7E-47EF-AEC5-54D05B386B17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7E-47EF-AEC5-54D05B386B17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7E-47EF-AEC5-54D05B386B17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D7E-47EF-AEC5-54D05B38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6-4D12-AA06-C67E5243AB00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6-4D12-AA06-C67E5243AB00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6-4D12-AA06-C67E5243AB00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6-4D12-AA06-C67E5243AB00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46-4D12-AA06-C67E5243AB00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546-4D12-AA06-C67E5243A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1-4F71-BEF7-AF9C8B4DD3C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1-4F71-BEF7-AF9C8B4DD3C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F1-4F71-BEF7-AF9C8B4DD3C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F1-4F71-BEF7-AF9C8B4DD3CA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EF1-4F71-BEF7-AF9C8B4DD3CA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EF1-4F71-BEF7-AF9C8B4DD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3-4D9D-8147-60F4DDE9220D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83-4D9D-8147-60F4DDE9220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3-4D9D-8147-60F4DDE9220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83-4D9D-8147-60F4DDE9220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D83-4D9D-8147-60F4DDE9220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D83-4D9D-8147-60F4DDE92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87-4695-A894-A7D68BBF17D9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87-4695-A894-A7D68BBF17D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87-4695-A894-A7D68BBF17D9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787-4695-A894-A7D68BBF17D9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787-4695-A894-A7D68BBF17D9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787-4695-A894-A7D68BBF1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Exp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8-45F5-BCF6-875B7AE92B2F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88-45F5-BCF6-875B7AE92B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88-45F5-BCF6-875B7AE92B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88-45F5-BCF6-875B7AE92B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D88-45F5-BCF6-875B7AE92B2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88-45F5-BCF6-875B7AE92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Amax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envelope'!$E$2:$E$25</c:f>
              <c:numCache>
                <c:formatCode>General</c:formatCode>
                <c:ptCount val="24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5-47ED-8CEE-33A754E7F000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075-47ED-8CEE-33A754E7F000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envelope'!$E$26:$E$37</c:f>
              <c:numCache>
                <c:formatCode>General</c:formatCode>
                <c:ptCount val="12"/>
                <c:pt idx="0">
                  <c:v>8.9091988856975293E-3</c:v>
                </c:pt>
                <c:pt idx="1">
                  <c:v>6.9292715613829001E-3</c:v>
                </c:pt>
                <c:pt idx="2">
                  <c:v>1.47385896428894E-2</c:v>
                </c:pt>
                <c:pt idx="3">
                  <c:v>2.25186870565936E-2</c:v>
                </c:pt>
                <c:pt idx="4">
                  <c:v>1.5294867364859001E-2</c:v>
                </c:pt>
                <c:pt idx="5">
                  <c:v>1.2363766214190001E-2</c:v>
                </c:pt>
                <c:pt idx="6">
                  <c:v>8.0927843677502997E-2</c:v>
                </c:pt>
                <c:pt idx="7">
                  <c:v>3.2770825255961797E-2</c:v>
                </c:pt>
                <c:pt idx="8">
                  <c:v>3.2088032772466697E-2</c:v>
                </c:pt>
                <c:pt idx="9">
                  <c:v>6.1720310731501603E-2</c:v>
                </c:pt>
                <c:pt idx="10">
                  <c:v>2.65212075258889E-2</c:v>
                </c:pt>
                <c:pt idx="11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75-47ED-8CEE-33A754E7F000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180329874064924E-2"/>
                  <c:y val="0.2488458282309889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888571955463971E-2"/>
                  <c:y val="0.36449907306748014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envelope'!$E$2:$E$37</c:f>
              <c:numCache>
                <c:formatCode>General</c:formatCode>
                <c:ptCount val="36"/>
                <c:pt idx="0">
                  <c:v>6.6690427082967907E-2</c:v>
                </c:pt>
                <c:pt idx="1">
                  <c:v>3.2720894606666599E-2</c:v>
                </c:pt>
                <c:pt idx="2">
                  <c:v>0.102958874138098</c:v>
                </c:pt>
                <c:pt idx="3">
                  <c:v>5.6916908128634897E-2</c:v>
                </c:pt>
                <c:pt idx="4">
                  <c:v>2.9839490319102199E-2</c:v>
                </c:pt>
                <c:pt idx="5">
                  <c:v>3.2943793471508102E-2</c:v>
                </c:pt>
                <c:pt idx="6">
                  <c:v>3.9947365054969201E-2</c:v>
                </c:pt>
                <c:pt idx="7">
                  <c:v>6.5501629557648697E-2</c:v>
                </c:pt>
                <c:pt idx="8">
                  <c:v>2.83696470737833E-2</c:v>
                </c:pt>
                <c:pt idx="9">
                  <c:v>6.0918129563253702E-2</c:v>
                </c:pt>
                <c:pt idx="10">
                  <c:v>1.9146509043753101E-2</c:v>
                </c:pt>
                <c:pt idx="11">
                  <c:v>6.70933941784113E-2</c:v>
                </c:pt>
                <c:pt idx="12">
                  <c:v>1.7649864163778801E-2</c:v>
                </c:pt>
                <c:pt idx="13">
                  <c:v>1.43127986674233E-2</c:v>
                </c:pt>
                <c:pt idx="14">
                  <c:v>6.98029244464741E-3</c:v>
                </c:pt>
                <c:pt idx="15">
                  <c:v>1.41915603937014E-2</c:v>
                </c:pt>
                <c:pt idx="16">
                  <c:v>6.9445741567009597E-3</c:v>
                </c:pt>
                <c:pt idx="17">
                  <c:v>7.2106074248904301E-3</c:v>
                </c:pt>
                <c:pt idx="18">
                  <c:v>1.56214487292647E-2</c:v>
                </c:pt>
                <c:pt idx="19">
                  <c:v>1.0312591811044301E-2</c:v>
                </c:pt>
                <c:pt idx="20">
                  <c:v>6.7608710788982004E-3</c:v>
                </c:pt>
                <c:pt idx="21">
                  <c:v>3.4465260726030101E-3</c:v>
                </c:pt>
                <c:pt idx="22">
                  <c:v>3.4421994274184999E-3</c:v>
                </c:pt>
                <c:pt idx="23">
                  <c:v>4.4351695112676698E-3</c:v>
                </c:pt>
                <c:pt idx="24">
                  <c:v>8.9091988856975293E-3</c:v>
                </c:pt>
                <c:pt idx="25">
                  <c:v>6.9292715613829001E-3</c:v>
                </c:pt>
                <c:pt idx="26">
                  <c:v>1.47385896428894E-2</c:v>
                </c:pt>
                <c:pt idx="27">
                  <c:v>2.25186870565936E-2</c:v>
                </c:pt>
                <c:pt idx="28">
                  <c:v>1.5294867364859001E-2</c:v>
                </c:pt>
                <c:pt idx="29">
                  <c:v>1.2363766214190001E-2</c:v>
                </c:pt>
                <c:pt idx="30">
                  <c:v>8.0927843677502997E-2</c:v>
                </c:pt>
                <c:pt idx="31">
                  <c:v>3.2770825255961797E-2</c:v>
                </c:pt>
                <c:pt idx="32">
                  <c:v>3.2088032772466697E-2</c:v>
                </c:pt>
                <c:pt idx="33">
                  <c:v>6.1720310731501603E-2</c:v>
                </c:pt>
                <c:pt idx="34">
                  <c:v>2.65212075258889E-2</c:v>
                </c:pt>
                <c:pt idx="35">
                  <c:v>4.1473368558109097E-2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075-47ED-8CEE-33A754E7F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Amean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Movement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envelope'!$F$2:$F$25</c:f>
              <c:numCache>
                <c:formatCode>General</c:formatCode>
                <c:ptCount val="24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F-485E-994D-E169A5F7DCC9}"/>
            </c:ext>
          </c:extLst>
        </c:ser>
        <c:ser>
          <c:idx val="2"/>
          <c:order val="1"/>
          <c:tx>
            <c:v>Movement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D5F-485E-994D-E169A5F7DCC9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envelope'!$F$26:$F$37</c:f>
              <c:numCache>
                <c:formatCode>General</c:formatCode>
                <c:ptCount val="12"/>
                <c:pt idx="0">
                  <c:v>3.6147518972306099E-3</c:v>
                </c:pt>
                <c:pt idx="1">
                  <c:v>3.06887736670908E-3</c:v>
                </c:pt>
                <c:pt idx="2">
                  <c:v>5.8173175175506697E-3</c:v>
                </c:pt>
                <c:pt idx="3">
                  <c:v>4.9991354160188201E-3</c:v>
                </c:pt>
                <c:pt idx="4">
                  <c:v>4.1484743534522797E-3</c:v>
                </c:pt>
                <c:pt idx="5">
                  <c:v>4.8242966278930601E-3</c:v>
                </c:pt>
                <c:pt idx="6">
                  <c:v>9.6924269597843098E-3</c:v>
                </c:pt>
                <c:pt idx="7">
                  <c:v>8.7537882953942596E-3</c:v>
                </c:pt>
                <c:pt idx="8">
                  <c:v>6.2761382895869904E-3</c:v>
                </c:pt>
                <c:pt idx="9">
                  <c:v>1.87261826932381E-2</c:v>
                </c:pt>
                <c:pt idx="10">
                  <c:v>6.34952484332985E-3</c:v>
                </c:pt>
                <c:pt idx="11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F-485E-994D-E169A5F7DCC9}"/>
            </c:ext>
          </c:extLst>
        </c:ser>
        <c:ser>
          <c:idx val="0"/>
          <c:order val="2"/>
          <c:tx>
            <c:v>total</c:v>
          </c:tx>
          <c:spPr>
            <a:ln w="1905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5277231094746644"/>
                  <c:y val="-0.19893591264595567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973941474636344"/>
                  <c:y val="-8.462780962998101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envelope'!$F$2:$F$40</c:f>
              <c:numCache>
                <c:formatCode>General</c:formatCode>
                <c:ptCount val="39"/>
                <c:pt idx="0">
                  <c:v>2.1101976845681401E-2</c:v>
                </c:pt>
                <c:pt idx="1">
                  <c:v>9.1227483137938607E-3</c:v>
                </c:pt>
                <c:pt idx="2">
                  <c:v>2.0696188599347499E-2</c:v>
                </c:pt>
                <c:pt idx="3">
                  <c:v>1.3403884254664799E-2</c:v>
                </c:pt>
                <c:pt idx="4">
                  <c:v>1.25672034538938E-2</c:v>
                </c:pt>
                <c:pt idx="5">
                  <c:v>1.5043728784366901E-2</c:v>
                </c:pt>
                <c:pt idx="6">
                  <c:v>1.16888933720877E-2</c:v>
                </c:pt>
                <c:pt idx="7">
                  <c:v>1.51997739662497E-2</c:v>
                </c:pt>
                <c:pt idx="8">
                  <c:v>1.48717138836689E-2</c:v>
                </c:pt>
                <c:pt idx="9">
                  <c:v>1.2276827648125E-2</c:v>
                </c:pt>
                <c:pt idx="10">
                  <c:v>9.5708191698175502E-3</c:v>
                </c:pt>
                <c:pt idx="11">
                  <c:v>1.04602465194444E-2</c:v>
                </c:pt>
                <c:pt idx="12">
                  <c:v>9.2170786870176599E-3</c:v>
                </c:pt>
                <c:pt idx="13">
                  <c:v>5.8483206340073498E-3</c:v>
                </c:pt>
                <c:pt idx="14">
                  <c:v>3.1768296735807198E-3</c:v>
                </c:pt>
                <c:pt idx="15">
                  <c:v>6.0109108820433996E-3</c:v>
                </c:pt>
                <c:pt idx="16">
                  <c:v>4.6291546972474602E-3</c:v>
                </c:pt>
                <c:pt idx="17">
                  <c:v>4.3107025126815799E-3</c:v>
                </c:pt>
                <c:pt idx="18">
                  <c:v>5.2662949576556001E-3</c:v>
                </c:pt>
                <c:pt idx="19">
                  <c:v>5.5926120027780602E-3</c:v>
                </c:pt>
                <c:pt idx="20">
                  <c:v>3.4367614154589199E-3</c:v>
                </c:pt>
                <c:pt idx="21">
                  <c:v>2.6888150842251301E-3</c:v>
                </c:pt>
                <c:pt idx="22">
                  <c:v>2.4023949183714101E-3</c:v>
                </c:pt>
                <c:pt idx="23">
                  <c:v>3.0116236434756202E-3</c:v>
                </c:pt>
                <c:pt idx="24">
                  <c:v>3.6147518972306099E-3</c:v>
                </c:pt>
                <c:pt idx="25">
                  <c:v>3.06887736670908E-3</c:v>
                </c:pt>
                <c:pt idx="26">
                  <c:v>5.8173175175506697E-3</c:v>
                </c:pt>
                <c:pt idx="27">
                  <c:v>4.9991354160188201E-3</c:v>
                </c:pt>
                <c:pt idx="28">
                  <c:v>4.1484743534522797E-3</c:v>
                </c:pt>
                <c:pt idx="29">
                  <c:v>4.8242966278930601E-3</c:v>
                </c:pt>
                <c:pt idx="30">
                  <c:v>9.6924269597843098E-3</c:v>
                </c:pt>
                <c:pt idx="31">
                  <c:v>8.7537882953942596E-3</c:v>
                </c:pt>
                <c:pt idx="32">
                  <c:v>6.2761382895869904E-3</c:v>
                </c:pt>
                <c:pt idx="33">
                  <c:v>1.87261826932381E-2</c:v>
                </c:pt>
                <c:pt idx="34">
                  <c:v>6.34952484332985E-3</c:v>
                </c:pt>
                <c:pt idx="35">
                  <c:v>9.8834123353064001E-3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5F-485E-994D-E169A5F7D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Amed </a:t>
            </a:r>
            <a:r>
              <a:rPr lang="en-US" baseline="0"/>
              <a:t>vs Dmax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mov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'rectified envelope'!$B$2:$B$25</c:f>
              <c:numCache>
                <c:formatCode>General</c:formatCode>
                <c:ptCount val="24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</c:numCache>
            </c:numRef>
          </c:xVal>
          <c:yVal>
            <c:numRef>
              <c:f>'rectified envelope'!$G$2:$G$25</c:f>
              <c:numCache>
                <c:formatCode>General</c:formatCode>
                <c:ptCount val="24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B-495A-919F-D91F65940F75}"/>
            </c:ext>
          </c:extLst>
        </c:ser>
        <c:ser>
          <c:idx val="2"/>
          <c:order val="1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dot"/>
              <c:size val="3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73B-495A-919F-D91F65940F75}"/>
              </c:ext>
            </c:extLst>
          </c:dPt>
          <c:xVal>
            <c:numRef>
              <c:f>'rectified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'rectified envelope'!$G$26:$G$37</c:f>
              <c:numCache>
                <c:formatCode>General</c:formatCode>
                <c:ptCount val="12"/>
                <c:pt idx="0">
                  <c:v>2.9716374894554099E-3</c:v>
                </c:pt>
                <c:pt idx="1">
                  <c:v>2.6196408724870799E-3</c:v>
                </c:pt>
                <c:pt idx="2">
                  <c:v>3.9062453901120798E-3</c:v>
                </c:pt>
                <c:pt idx="3">
                  <c:v>2.5500654296637401E-3</c:v>
                </c:pt>
                <c:pt idx="4">
                  <c:v>2.71426964444654E-3</c:v>
                </c:pt>
                <c:pt idx="5">
                  <c:v>3.40743614970838E-3</c:v>
                </c:pt>
                <c:pt idx="6">
                  <c:v>2.8688076768947999E-3</c:v>
                </c:pt>
                <c:pt idx="7">
                  <c:v>2.9094480124794301E-3</c:v>
                </c:pt>
                <c:pt idx="8">
                  <c:v>2.7927222762546698E-3</c:v>
                </c:pt>
                <c:pt idx="9">
                  <c:v>6.0760171082971503E-3</c:v>
                </c:pt>
                <c:pt idx="10">
                  <c:v>3.99861834458933E-3</c:v>
                </c:pt>
                <c:pt idx="11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B-495A-919F-D91F65940F75}"/>
            </c:ext>
          </c:extLst>
        </c:ser>
        <c:ser>
          <c:idx val="0"/>
          <c:order val="2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8244778932124731"/>
                  <c:y val="-0.3200467172717418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38245313445168"/>
                  <c:y val="-0.1887200886495545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envelope'!$G$2:$G$37</c:f>
              <c:numCache>
                <c:formatCode>General</c:formatCode>
                <c:ptCount val="36"/>
                <c:pt idx="0">
                  <c:v>1.4590330903435899E-2</c:v>
                </c:pt>
                <c:pt idx="1">
                  <c:v>4.6442476105229497E-3</c:v>
                </c:pt>
                <c:pt idx="2">
                  <c:v>4.9617817149442403E-3</c:v>
                </c:pt>
                <c:pt idx="3">
                  <c:v>6.1567854794913101E-3</c:v>
                </c:pt>
                <c:pt idx="4">
                  <c:v>7.1936607435202499E-3</c:v>
                </c:pt>
                <c:pt idx="5">
                  <c:v>1.92055100945711E-2</c:v>
                </c:pt>
                <c:pt idx="6">
                  <c:v>3.39792205613351E-3</c:v>
                </c:pt>
                <c:pt idx="7">
                  <c:v>5.3852609769233202E-3</c:v>
                </c:pt>
                <c:pt idx="8">
                  <c:v>1.3854636629593299E-2</c:v>
                </c:pt>
                <c:pt idx="9">
                  <c:v>3.2922321007487002E-3</c:v>
                </c:pt>
                <c:pt idx="10">
                  <c:v>5.8879008684037896E-3</c:v>
                </c:pt>
                <c:pt idx="11">
                  <c:v>3.8270467938784801E-3</c:v>
                </c:pt>
                <c:pt idx="12">
                  <c:v>9.3140280254785501E-3</c:v>
                </c:pt>
                <c:pt idx="13">
                  <c:v>3.3522892183026902E-3</c:v>
                </c:pt>
                <c:pt idx="14">
                  <c:v>2.91375323254296E-3</c:v>
                </c:pt>
                <c:pt idx="15">
                  <c:v>4.0407697373771598E-3</c:v>
                </c:pt>
                <c:pt idx="16">
                  <c:v>4.3660606068748201E-3</c:v>
                </c:pt>
                <c:pt idx="17">
                  <c:v>3.2147255156120698E-3</c:v>
                </c:pt>
                <c:pt idx="18">
                  <c:v>2.72445890625286E-3</c:v>
                </c:pt>
                <c:pt idx="19">
                  <c:v>4.7824857373505204E-3</c:v>
                </c:pt>
                <c:pt idx="20">
                  <c:v>3.2222345316923699E-3</c:v>
                </c:pt>
                <c:pt idx="21">
                  <c:v>2.57278566744263E-3</c:v>
                </c:pt>
                <c:pt idx="22">
                  <c:v>2.2444220975986898E-3</c:v>
                </c:pt>
                <c:pt idx="23">
                  <c:v>2.9058089666561498E-3</c:v>
                </c:pt>
                <c:pt idx="24">
                  <c:v>2.9716374894554099E-3</c:v>
                </c:pt>
                <c:pt idx="25">
                  <c:v>2.6196408724870799E-3</c:v>
                </c:pt>
                <c:pt idx="26">
                  <c:v>3.9062453901120798E-3</c:v>
                </c:pt>
                <c:pt idx="27">
                  <c:v>2.5500654296637401E-3</c:v>
                </c:pt>
                <c:pt idx="28">
                  <c:v>2.71426964444654E-3</c:v>
                </c:pt>
                <c:pt idx="29">
                  <c:v>3.40743614970838E-3</c:v>
                </c:pt>
                <c:pt idx="30">
                  <c:v>2.8688076768947999E-3</c:v>
                </c:pt>
                <c:pt idx="31">
                  <c:v>2.9094480124794301E-3</c:v>
                </c:pt>
                <c:pt idx="32">
                  <c:v>2.7927222762546698E-3</c:v>
                </c:pt>
                <c:pt idx="33">
                  <c:v>6.0760171082971503E-3</c:v>
                </c:pt>
                <c:pt idx="34">
                  <c:v>3.99861834458933E-3</c:v>
                </c:pt>
                <c:pt idx="35">
                  <c:v>5.9211829709309204E-3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B-495A-919F-D91F6594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Median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(Linear)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592613075692936E-2"/>
                  <c:y val="9.5299613438272465E-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D-47DF-9F0D-94EA16450CA6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D-47DF-9F0D-94EA16450CA6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5D-47DF-9F0D-94EA16450CA6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5D-47DF-9F0D-94EA16450CA6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5D-47DF-9F0D-94EA16450CA6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5D-47DF-9F0D-94EA1645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50-4A3D-8BDF-EFBB7867246F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50-4A3D-8BDF-EFBB7867246F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50-4A3D-8BDF-EFBB7867246F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50-4A3D-8BDF-EFBB7867246F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A50-4A3D-8BDF-EFBB7867246F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A50-4A3D-8BDF-EFBB78672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Log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6-4E62-93A1-3B55BCDA1134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6218064478879659"/>
                  <c:y val="0.30335993246402781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06-4E62-93A1-3B55BCDA1134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306-4E62-93A1-3B55BCDA1134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306-4E62-93A1-3B55BCDA1134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306-4E62-93A1-3B55BCDA1134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306-4E62-93A1-3B55BCDA1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B8-452E-9769-367F90110AAE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B8-452E-9769-367F90110AAE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B8-452E-9769-367F90110AAE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B8-452E-9769-367F90110AAE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B8-452E-9769-367F90110AAE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B8-452E-9769-367F90110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Mean Amplitude by Channel v/s Max Size - Exponential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7571411513678"/>
          <c:y val="0.10508835539912974"/>
          <c:w val="0.86138941949293391"/>
          <c:h val="0.60568447100986267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0823891611610412"/>
                  <c:y val="0.25242885877771315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envelope'!$O$2:$O$37</c:f>
              <c:numCache>
                <c:formatCode>General</c:formatCode>
                <c:ptCount val="36"/>
                <c:pt idx="0">
                  <c:v>6.6690427082967907E-2</c:v>
                </c:pt>
                <c:pt idx="2">
                  <c:v>0.102958874138098</c:v>
                </c:pt>
                <c:pt idx="3">
                  <c:v>2.94733386309321E-2</c:v>
                </c:pt>
                <c:pt idx="7">
                  <c:v>6.0973715406615503E-2</c:v>
                </c:pt>
                <c:pt idx="11">
                  <c:v>6.70933941784113E-2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47-458A-9B88-A192AF00241B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5368141854584996"/>
                  <c:y val="0.30232453854583485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envelope'!$P$2:$P$37</c:f>
              <c:numCache>
                <c:formatCode>General</c:formatCode>
                <c:ptCount val="36"/>
                <c:pt idx="0">
                  <c:v>0.133248401300254</c:v>
                </c:pt>
                <c:pt idx="1">
                  <c:v>8.9260472545788797E-2</c:v>
                </c:pt>
                <c:pt idx="2">
                  <c:v>0.20225829301801401</c:v>
                </c:pt>
                <c:pt idx="3">
                  <c:v>0.14254293552479599</c:v>
                </c:pt>
                <c:pt idx="4">
                  <c:v>0.11151705373231099</c:v>
                </c:pt>
                <c:pt idx="5">
                  <c:v>0.10035153252080301</c:v>
                </c:pt>
                <c:pt idx="6">
                  <c:v>0.107289682378139</c:v>
                </c:pt>
                <c:pt idx="7">
                  <c:v>0.175696805390364</c:v>
                </c:pt>
                <c:pt idx="8">
                  <c:v>9.8286328832509595E-2</c:v>
                </c:pt>
                <c:pt idx="9">
                  <c:v>0.165431509232952</c:v>
                </c:pt>
                <c:pt idx="10">
                  <c:v>6.4482186129557001E-2</c:v>
                </c:pt>
                <c:pt idx="11">
                  <c:v>0.15850583255829701</c:v>
                </c:pt>
                <c:pt idx="12">
                  <c:v>7.0599456655115495E-2</c:v>
                </c:pt>
                <c:pt idx="15">
                  <c:v>5.6766241574805601E-2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47-458A-9B88-A192AF00241B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9160650743241254"/>
                  <c:y val="0.37405116777977276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envelope'!$Q$2:$Q$37</c:f>
              <c:numCache>
                <c:formatCode>General</c:formatCode>
                <c:ptCount val="36"/>
                <c:pt idx="0">
                  <c:v>0.38015251653247001</c:v>
                </c:pt>
                <c:pt idx="1">
                  <c:v>0.21052531399194699</c:v>
                </c:pt>
                <c:pt idx="2">
                  <c:v>0.57222123064548502</c:v>
                </c:pt>
                <c:pt idx="3">
                  <c:v>0.41515799817105098</c:v>
                </c:pt>
                <c:pt idx="4">
                  <c:v>0.28058339341278499</c:v>
                </c:pt>
                <c:pt idx="5">
                  <c:v>0.34152871625689502</c:v>
                </c:pt>
                <c:pt idx="6">
                  <c:v>0.35852737397942602</c:v>
                </c:pt>
                <c:pt idx="7">
                  <c:v>0.476926097241889</c:v>
                </c:pt>
                <c:pt idx="8">
                  <c:v>0.299087575109173</c:v>
                </c:pt>
                <c:pt idx="9">
                  <c:v>0.385519617534065</c:v>
                </c:pt>
                <c:pt idx="10">
                  <c:v>0.18720266903365301</c:v>
                </c:pt>
                <c:pt idx="11">
                  <c:v>0.38342692437070802</c:v>
                </c:pt>
                <c:pt idx="12">
                  <c:v>0.20033826045176201</c:v>
                </c:pt>
                <c:pt idx="13">
                  <c:v>0.17392306767325499</c:v>
                </c:pt>
                <c:pt idx="14">
                  <c:v>7.8222474176770904E-2</c:v>
                </c:pt>
                <c:pt idx="15">
                  <c:v>0.185199094420121</c:v>
                </c:pt>
                <c:pt idx="16">
                  <c:v>0.11111318650721499</c:v>
                </c:pt>
                <c:pt idx="17">
                  <c:v>0.10555265781537999</c:v>
                </c:pt>
                <c:pt idx="18">
                  <c:v>0.16346172879229001</c:v>
                </c:pt>
                <c:pt idx="19">
                  <c:v>0.12586856113637501</c:v>
                </c:pt>
                <c:pt idx="20">
                  <c:v>0.108173937262371</c:v>
                </c:pt>
                <c:pt idx="23">
                  <c:v>7.09627121802828E-2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47-458A-9B88-A192AF00241B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2680952279587133"/>
                  <c:y val="0.44697449017837065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envelope'!$R$2:$R$37</c:f>
              <c:numCache>
                <c:formatCode>General</c:formatCode>
                <c:ptCount val="36"/>
                <c:pt idx="0">
                  <c:v>1.52061006612988</c:v>
                </c:pt>
                <c:pt idx="1">
                  <c:v>0.681053141624687</c:v>
                </c:pt>
                <c:pt idx="2">
                  <c:v>1.58984377112502</c:v>
                </c:pt>
                <c:pt idx="3">
                  <c:v>1.14519242373997</c:v>
                </c:pt>
                <c:pt idx="4">
                  <c:v>0.93699641271564704</c:v>
                </c:pt>
                <c:pt idx="5">
                  <c:v>1.1950408200604199</c:v>
                </c:pt>
                <c:pt idx="6">
                  <c:v>0.97487437782099795</c:v>
                </c:pt>
                <c:pt idx="7">
                  <c:v>1.6471964412268101</c:v>
                </c:pt>
                <c:pt idx="8">
                  <c:v>0.95178968855481305</c:v>
                </c:pt>
                <c:pt idx="9">
                  <c:v>1.09197237506292</c:v>
                </c:pt>
                <c:pt idx="10">
                  <c:v>0.61253242686832299</c:v>
                </c:pt>
                <c:pt idx="11">
                  <c:v>0.96856306042927298</c:v>
                </c:pt>
                <c:pt idx="12">
                  <c:v>0.67505961873673903</c:v>
                </c:pt>
                <c:pt idx="13">
                  <c:v>0.54319403345483996</c:v>
                </c:pt>
                <c:pt idx="14">
                  <c:v>0.26270868021346999</c:v>
                </c:pt>
                <c:pt idx="15">
                  <c:v>0.47432226673671202</c:v>
                </c:pt>
                <c:pt idx="16">
                  <c:v>0.33379571607651398</c:v>
                </c:pt>
                <c:pt idx="17">
                  <c:v>0.29612036348347698</c:v>
                </c:pt>
                <c:pt idx="18">
                  <c:v>0.58276981574497899</c:v>
                </c:pt>
                <c:pt idx="19">
                  <c:v>0.39446622668390502</c:v>
                </c:pt>
                <c:pt idx="20">
                  <c:v>0.26302103771144297</c:v>
                </c:pt>
                <c:pt idx="21">
                  <c:v>0.18142026432720901</c:v>
                </c:pt>
                <c:pt idx="22">
                  <c:v>0.21847975293149599</c:v>
                </c:pt>
                <c:pt idx="23">
                  <c:v>0.23087973266339301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47-458A-9B88-A192AF00241B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8309235133789841E-2"/>
                  <c:y val="0.52344148786172973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envelope'!$S$2:$S$37</c:f>
              <c:numCache>
                <c:formatCode>General</c:formatCode>
                <c:ptCount val="36"/>
                <c:pt idx="0">
                  <c:v>5.4021060724944396</c:v>
                </c:pt>
                <c:pt idx="1">
                  <c:v>2.3354235683312199</c:v>
                </c:pt>
                <c:pt idx="2">
                  <c:v>5.2982242814329599</c:v>
                </c:pt>
                <c:pt idx="3">
                  <c:v>3.4313943691941899</c:v>
                </c:pt>
                <c:pt idx="4">
                  <c:v>3.2172040841968199</c:v>
                </c:pt>
                <c:pt idx="5">
                  <c:v>3.8511945687979301</c:v>
                </c:pt>
                <c:pt idx="6">
                  <c:v>2.9923567032544698</c:v>
                </c:pt>
                <c:pt idx="7">
                  <c:v>3.8911421353599298</c:v>
                </c:pt>
                <c:pt idx="8">
                  <c:v>3.80715875421925</c:v>
                </c:pt>
                <c:pt idx="9">
                  <c:v>3.1428678779200201</c:v>
                </c:pt>
                <c:pt idx="10">
                  <c:v>2.4501297074732902</c:v>
                </c:pt>
                <c:pt idx="11">
                  <c:v>2.67782310897777</c:v>
                </c:pt>
                <c:pt idx="12">
                  <c:v>2.35957214387652</c:v>
                </c:pt>
                <c:pt idx="13">
                  <c:v>1.49717008230588</c:v>
                </c:pt>
                <c:pt idx="14">
                  <c:v>0.81326839643666604</c:v>
                </c:pt>
                <c:pt idx="15">
                  <c:v>1.5387931858031101</c:v>
                </c:pt>
                <c:pt idx="16">
                  <c:v>1.18506360249534</c:v>
                </c:pt>
                <c:pt idx="17">
                  <c:v>1.10353984324648</c:v>
                </c:pt>
                <c:pt idx="18">
                  <c:v>1.3481715091598301</c:v>
                </c:pt>
                <c:pt idx="19">
                  <c:v>1.4317086727111801</c:v>
                </c:pt>
                <c:pt idx="20">
                  <c:v>0.87981092235748504</c:v>
                </c:pt>
                <c:pt idx="21">
                  <c:v>0.68833666156163398</c:v>
                </c:pt>
                <c:pt idx="22">
                  <c:v>0.64328487628210496</c:v>
                </c:pt>
                <c:pt idx="23">
                  <c:v>0.77097565272975999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47-458A-9B88-A192AF00241B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759765857937214"/>
                  <c:y val="0.61178840929940348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envelope'!$T$2:$T$37</c:f>
              <c:numCache>
                <c:formatCode>General</c:formatCode>
                <c:ptCount val="36"/>
                <c:pt idx="0">
                  <c:v>21.608424289977702</c:v>
                </c:pt>
                <c:pt idx="1">
                  <c:v>9.3416942733249098</c:v>
                </c:pt>
                <c:pt idx="2">
                  <c:v>21.1928971257318</c:v>
                </c:pt>
                <c:pt idx="3">
                  <c:v>13.725577476776699</c:v>
                </c:pt>
                <c:pt idx="4">
                  <c:v>12.8688163367872</c:v>
                </c:pt>
                <c:pt idx="5">
                  <c:v>15.404778275191701</c:v>
                </c:pt>
                <c:pt idx="6">
                  <c:v>11.9694268130179</c:v>
                </c:pt>
                <c:pt idx="7">
                  <c:v>15.5645685414397</c:v>
                </c:pt>
                <c:pt idx="8">
                  <c:v>15.228635016877</c:v>
                </c:pt>
                <c:pt idx="9">
                  <c:v>12.57147151168</c:v>
                </c:pt>
                <c:pt idx="10">
                  <c:v>9.8005188298931696</c:v>
                </c:pt>
                <c:pt idx="11">
                  <c:v>10.711292435911099</c:v>
                </c:pt>
                <c:pt idx="12">
                  <c:v>9.4382885755060908</c:v>
                </c:pt>
                <c:pt idx="13">
                  <c:v>5.98868032922352</c:v>
                </c:pt>
                <c:pt idx="14">
                  <c:v>3.2530735857466602</c:v>
                </c:pt>
                <c:pt idx="15">
                  <c:v>6.1551727432124403</c:v>
                </c:pt>
                <c:pt idx="16">
                  <c:v>4.7402544099813904</c:v>
                </c:pt>
                <c:pt idx="17">
                  <c:v>4.4141593729859396</c:v>
                </c:pt>
                <c:pt idx="18">
                  <c:v>5.3926860366393399</c:v>
                </c:pt>
                <c:pt idx="19">
                  <c:v>5.7268346908447398</c:v>
                </c:pt>
                <c:pt idx="20">
                  <c:v>3.5192436894299401</c:v>
                </c:pt>
                <c:pt idx="21">
                  <c:v>2.7533466462465301</c:v>
                </c:pt>
                <c:pt idx="22">
                  <c:v>2.4600523964123302</c:v>
                </c:pt>
                <c:pt idx="23">
                  <c:v>3.0839026109190399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47-458A-9B88-A192AF002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Amplified Avg Amplitude (V)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Impulses</a:t>
            </a:r>
            <a:r>
              <a:rPr lang="en-US"/>
              <a:t> </a:t>
            </a:r>
            <a:r>
              <a:rPr lang="en-US" baseline="0"/>
              <a:t>vs Dmax (Log)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2489373985830818E-2"/>
                  <c:y val="-6.8268651322359276E-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envelope'!$H$2:$H$37</c:f>
              <c:numCache>
                <c:formatCode>General</c:formatCode>
                <c:ptCount val="3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EE-4856-8C16-EF32399D1B02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9055611748035408E-3"/>
                  <c:y val="7.396081815171445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envelope'!$I$2:$I$37</c:f>
              <c:numCache>
                <c:formatCode>General</c:formatCode>
                <c:ptCount val="36"/>
                <c:pt idx="0">
                  <c:v>7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7</c:v>
                </c:pt>
                <c:pt idx="31">
                  <c:v>4</c:v>
                </c:pt>
                <c:pt idx="32">
                  <c:v>3</c:v>
                </c:pt>
                <c:pt idx="33">
                  <c:v>14</c:v>
                </c:pt>
                <c:pt idx="34">
                  <c:v>3</c:v>
                </c:pt>
                <c:pt idx="3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EE-4856-8C16-EF32399D1B02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9656348865378817E-4"/>
                  <c:y val="7.125497251875528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envelope'!$J$2:$J$37</c:f>
              <c:numCache>
                <c:formatCode>General</c:formatCode>
                <c:ptCount val="36"/>
                <c:pt idx="0">
                  <c:v>21</c:v>
                </c:pt>
                <c:pt idx="1">
                  <c:v>12</c:v>
                </c:pt>
                <c:pt idx="2">
                  <c:v>27</c:v>
                </c:pt>
                <c:pt idx="3">
                  <c:v>25</c:v>
                </c:pt>
                <c:pt idx="4">
                  <c:v>16</c:v>
                </c:pt>
                <c:pt idx="5">
                  <c:v>25</c:v>
                </c:pt>
                <c:pt idx="6">
                  <c:v>23</c:v>
                </c:pt>
                <c:pt idx="7">
                  <c:v>26</c:v>
                </c:pt>
                <c:pt idx="8">
                  <c:v>9</c:v>
                </c:pt>
                <c:pt idx="9">
                  <c:v>19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10</c:v>
                </c:pt>
                <c:pt idx="14">
                  <c:v>1</c:v>
                </c:pt>
                <c:pt idx="15">
                  <c:v>5</c:v>
                </c:pt>
                <c:pt idx="16">
                  <c:v>2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5</c:v>
                </c:pt>
                <c:pt idx="25">
                  <c:v>1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5</c:v>
                </c:pt>
                <c:pt idx="30">
                  <c:v>28</c:v>
                </c:pt>
                <c:pt idx="31">
                  <c:v>25</c:v>
                </c:pt>
                <c:pt idx="32">
                  <c:v>17</c:v>
                </c:pt>
                <c:pt idx="33">
                  <c:v>55</c:v>
                </c:pt>
                <c:pt idx="34">
                  <c:v>14</c:v>
                </c:pt>
                <c:pt idx="35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EE-4856-8C16-EF32399D1B02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9.0978922628538587E-4"/>
                  <c:y val="5.2629631326803317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envelope'!$K$2:$K$37</c:f>
              <c:numCache>
                <c:formatCode>General</c:formatCode>
                <c:ptCount val="36"/>
                <c:pt idx="0">
                  <c:v>48</c:v>
                </c:pt>
                <c:pt idx="1">
                  <c:v>39</c:v>
                </c:pt>
                <c:pt idx="2">
                  <c:v>51</c:v>
                </c:pt>
                <c:pt idx="3">
                  <c:v>57</c:v>
                </c:pt>
                <c:pt idx="4">
                  <c:v>30</c:v>
                </c:pt>
                <c:pt idx="5">
                  <c:v>60</c:v>
                </c:pt>
                <c:pt idx="6">
                  <c:v>60</c:v>
                </c:pt>
                <c:pt idx="7">
                  <c:v>44</c:v>
                </c:pt>
                <c:pt idx="8">
                  <c:v>23</c:v>
                </c:pt>
                <c:pt idx="9">
                  <c:v>35</c:v>
                </c:pt>
                <c:pt idx="10">
                  <c:v>33</c:v>
                </c:pt>
                <c:pt idx="11">
                  <c:v>32</c:v>
                </c:pt>
                <c:pt idx="12">
                  <c:v>20</c:v>
                </c:pt>
                <c:pt idx="13">
                  <c:v>33</c:v>
                </c:pt>
                <c:pt idx="14">
                  <c:v>13</c:v>
                </c:pt>
                <c:pt idx="15">
                  <c:v>20</c:v>
                </c:pt>
                <c:pt idx="16">
                  <c:v>12</c:v>
                </c:pt>
                <c:pt idx="17">
                  <c:v>20</c:v>
                </c:pt>
                <c:pt idx="18">
                  <c:v>15</c:v>
                </c:pt>
                <c:pt idx="19">
                  <c:v>17</c:v>
                </c:pt>
                <c:pt idx="20">
                  <c:v>14</c:v>
                </c:pt>
                <c:pt idx="21">
                  <c:v>5</c:v>
                </c:pt>
                <c:pt idx="22">
                  <c:v>1</c:v>
                </c:pt>
                <c:pt idx="23">
                  <c:v>9</c:v>
                </c:pt>
                <c:pt idx="24">
                  <c:v>25</c:v>
                </c:pt>
                <c:pt idx="25">
                  <c:v>18</c:v>
                </c:pt>
                <c:pt idx="26">
                  <c:v>31</c:v>
                </c:pt>
                <c:pt idx="27">
                  <c:v>46</c:v>
                </c:pt>
                <c:pt idx="28">
                  <c:v>18</c:v>
                </c:pt>
                <c:pt idx="29">
                  <c:v>25</c:v>
                </c:pt>
                <c:pt idx="30">
                  <c:v>64</c:v>
                </c:pt>
                <c:pt idx="31">
                  <c:v>62</c:v>
                </c:pt>
                <c:pt idx="32">
                  <c:v>48</c:v>
                </c:pt>
                <c:pt idx="33">
                  <c:v>111</c:v>
                </c:pt>
                <c:pt idx="34">
                  <c:v>69</c:v>
                </c:pt>
                <c:pt idx="35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EE-4856-8C16-EF32399D1B02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1.3971847077831058E-2"/>
                  <c:y val="3.3361720964856692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envelope'!$L$2:$L$37</c:f>
              <c:numCache>
                <c:formatCode>General</c:formatCode>
                <c:ptCount val="36"/>
                <c:pt idx="0">
                  <c:v>94</c:v>
                </c:pt>
                <c:pt idx="1">
                  <c:v>92</c:v>
                </c:pt>
                <c:pt idx="2">
                  <c:v>88</c:v>
                </c:pt>
                <c:pt idx="3">
                  <c:v>80</c:v>
                </c:pt>
                <c:pt idx="4">
                  <c:v>67</c:v>
                </c:pt>
                <c:pt idx="5">
                  <c:v>82</c:v>
                </c:pt>
                <c:pt idx="6">
                  <c:v>113</c:v>
                </c:pt>
                <c:pt idx="7">
                  <c:v>110</c:v>
                </c:pt>
                <c:pt idx="8">
                  <c:v>42</c:v>
                </c:pt>
                <c:pt idx="9">
                  <c:v>88</c:v>
                </c:pt>
                <c:pt idx="10">
                  <c:v>83</c:v>
                </c:pt>
                <c:pt idx="11">
                  <c:v>76</c:v>
                </c:pt>
                <c:pt idx="12">
                  <c:v>57</c:v>
                </c:pt>
                <c:pt idx="13">
                  <c:v>91</c:v>
                </c:pt>
                <c:pt idx="14">
                  <c:v>110</c:v>
                </c:pt>
                <c:pt idx="15">
                  <c:v>66</c:v>
                </c:pt>
                <c:pt idx="16">
                  <c:v>44</c:v>
                </c:pt>
                <c:pt idx="17">
                  <c:v>56</c:v>
                </c:pt>
                <c:pt idx="18">
                  <c:v>64</c:v>
                </c:pt>
                <c:pt idx="19">
                  <c:v>63</c:v>
                </c:pt>
                <c:pt idx="20">
                  <c:v>80</c:v>
                </c:pt>
                <c:pt idx="21">
                  <c:v>43</c:v>
                </c:pt>
                <c:pt idx="22">
                  <c:v>60</c:v>
                </c:pt>
                <c:pt idx="23">
                  <c:v>64</c:v>
                </c:pt>
                <c:pt idx="24">
                  <c:v>163</c:v>
                </c:pt>
                <c:pt idx="25">
                  <c:v>130</c:v>
                </c:pt>
                <c:pt idx="26">
                  <c:v>132</c:v>
                </c:pt>
                <c:pt idx="27">
                  <c:v>151</c:v>
                </c:pt>
                <c:pt idx="28">
                  <c:v>102</c:v>
                </c:pt>
                <c:pt idx="29">
                  <c:v>106</c:v>
                </c:pt>
                <c:pt idx="30">
                  <c:v>172</c:v>
                </c:pt>
                <c:pt idx="31">
                  <c:v>164</c:v>
                </c:pt>
                <c:pt idx="32">
                  <c:v>181</c:v>
                </c:pt>
                <c:pt idx="33">
                  <c:v>177</c:v>
                </c:pt>
                <c:pt idx="34">
                  <c:v>203</c:v>
                </c:pt>
                <c:pt idx="35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CEE-4856-8C16-EF32399D1B02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5.0989043152102299E-3"/>
                  <c:y val="-6.8433962443595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'rectified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'rectified envelope'!$M$2:$M$37</c:f>
              <c:numCache>
                <c:formatCode>General</c:formatCode>
                <c:ptCount val="36"/>
                <c:pt idx="0">
                  <c:v>175</c:v>
                </c:pt>
                <c:pt idx="1">
                  <c:v>290</c:v>
                </c:pt>
                <c:pt idx="2">
                  <c:v>226</c:v>
                </c:pt>
                <c:pt idx="3">
                  <c:v>190</c:v>
                </c:pt>
                <c:pt idx="4">
                  <c:v>159</c:v>
                </c:pt>
                <c:pt idx="5">
                  <c:v>231</c:v>
                </c:pt>
                <c:pt idx="6">
                  <c:v>285</c:v>
                </c:pt>
                <c:pt idx="7">
                  <c:v>293</c:v>
                </c:pt>
                <c:pt idx="8">
                  <c:v>93</c:v>
                </c:pt>
                <c:pt idx="9">
                  <c:v>234</c:v>
                </c:pt>
                <c:pt idx="10">
                  <c:v>193</c:v>
                </c:pt>
                <c:pt idx="11">
                  <c:v>299</c:v>
                </c:pt>
                <c:pt idx="12">
                  <c:v>163</c:v>
                </c:pt>
                <c:pt idx="13">
                  <c:v>330</c:v>
                </c:pt>
                <c:pt idx="14">
                  <c:v>462</c:v>
                </c:pt>
                <c:pt idx="15">
                  <c:v>198</c:v>
                </c:pt>
                <c:pt idx="16">
                  <c:v>142</c:v>
                </c:pt>
                <c:pt idx="17">
                  <c:v>221</c:v>
                </c:pt>
                <c:pt idx="18">
                  <c:v>195</c:v>
                </c:pt>
                <c:pt idx="19">
                  <c:v>169</c:v>
                </c:pt>
                <c:pt idx="20">
                  <c:v>345</c:v>
                </c:pt>
                <c:pt idx="21">
                  <c:v>348</c:v>
                </c:pt>
                <c:pt idx="22">
                  <c:v>510</c:v>
                </c:pt>
                <c:pt idx="23">
                  <c:v>340</c:v>
                </c:pt>
                <c:pt idx="24">
                  <c:v>619</c:v>
                </c:pt>
                <c:pt idx="25">
                  <c:v>632</c:v>
                </c:pt>
                <c:pt idx="26">
                  <c:v>313</c:v>
                </c:pt>
                <c:pt idx="27">
                  <c:v>608</c:v>
                </c:pt>
                <c:pt idx="28">
                  <c:v>452</c:v>
                </c:pt>
                <c:pt idx="29">
                  <c:v>304</c:v>
                </c:pt>
                <c:pt idx="30">
                  <c:v>583</c:v>
                </c:pt>
                <c:pt idx="31">
                  <c:v>454</c:v>
                </c:pt>
                <c:pt idx="32">
                  <c:v>623</c:v>
                </c:pt>
                <c:pt idx="33">
                  <c:v>396</c:v>
                </c:pt>
                <c:pt idx="34">
                  <c:v>560</c:v>
                </c:pt>
                <c:pt idx="35">
                  <c:v>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CEE-4856-8C16-EF32399D1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Impulses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Max Amp (2)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806144776312678E-2"/>
                  <c:y val="-8.2391003207932342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A3-47D8-99B4-2DCAEC38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Max Amp</a:t>
            </a:r>
            <a:endParaRPr lang="en-US" sz="1000"/>
          </a:p>
        </c:rich>
      </c:tx>
      <c:layout>
        <c:manualLayout>
          <c:xMode val="edge"/>
          <c:yMode val="edge"/>
          <c:x val="0.16135824392175799"/>
          <c:y val="4.60932125517393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validation!$C$18</c:f>
              <c:strCache>
                <c:ptCount val="1"/>
                <c:pt idx="0">
                  <c:v>Max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validation!$C$19:$C$23</c:f>
              <c:numCache>
                <c:formatCode>0.00</c:formatCode>
                <c:ptCount val="5"/>
                <c:pt idx="1">
                  <c:v>124.98377815678667</c:v>
                </c:pt>
                <c:pt idx="2">
                  <c:v>28.937326206160222</c:v>
                </c:pt>
                <c:pt idx="3">
                  <c:v>18.125609180160435</c:v>
                </c:pt>
                <c:pt idx="4">
                  <c:v>115.87861276600501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2-42FA-B61E-83431FBF0FBD}"/>
            </c:ext>
          </c:extLst>
        </c:ser>
        <c:ser>
          <c:idx val="1"/>
          <c:order val="1"/>
          <c:tx>
            <c:strRef>
              <c:f>validation!$D$18</c:f>
              <c:strCache>
                <c:ptCount val="1"/>
                <c:pt idx="0">
                  <c:v>Dmax - Max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3278057815860007E-2"/>
                  <c:y val="-9.2308834422424338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validation!$D$19:$D$23</c:f>
              <c:numCache>
                <c:formatCode>0.00</c:formatCode>
                <c:ptCount val="5"/>
                <c:pt idx="1">
                  <c:v>97.695517607575738</c:v>
                </c:pt>
                <c:pt idx="2">
                  <c:v>42.558611168539372</c:v>
                </c:pt>
                <c:pt idx="3">
                  <c:v>36.351982834008801</c:v>
                </c:pt>
                <c:pt idx="4">
                  <c:v>92.468560837516662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12-42FA-B61E-83431FBF0FBD}"/>
            </c:ext>
          </c:extLst>
        </c:ser>
        <c:ser>
          <c:idx val="2"/>
          <c:order val="2"/>
          <c:tx>
            <c:strRef>
              <c:f>validation!$E$18</c:f>
              <c:strCache>
                <c:ptCount val="1"/>
                <c:pt idx="0">
                  <c:v>Dmax - Max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742445045338195"/>
                  <c:y val="8.3311254563541493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validation!$E$19:$E$23</c:f>
              <c:numCache>
                <c:formatCode>0.00</c:formatCode>
                <c:ptCount val="5"/>
                <c:pt idx="1">
                  <c:v>99.727167764153535</c:v>
                </c:pt>
                <c:pt idx="2">
                  <c:v>37.904529640463622</c:v>
                </c:pt>
                <c:pt idx="3">
                  <c:v>24.285515845279502</c:v>
                </c:pt>
                <c:pt idx="4">
                  <c:v>95.389258082839561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12-42FA-B61E-83431FBF0FBD}"/>
            </c:ext>
          </c:extLst>
        </c:ser>
        <c:ser>
          <c:idx val="3"/>
          <c:order val="3"/>
          <c:tx>
            <c:strRef>
              <c:f>validation!$F$18</c:f>
              <c:strCache>
                <c:ptCount val="1"/>
                <c:pt idx="0">
                  <c:v>Dmax - Max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2067645454364753"/>
                  <c:y val="-1.7392681506459482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validation!$F$19:$F$23</c:f>
              <c:numCache>
                <c:formatCode>0.00</c:formatCode>
                <c:ptCount val="5"/>
                <c:pt idx="1">
                  <c:v>95.622784164000777</c:v>
                </c:pt>
                <c:pt idx="2">
                  <c:v>43.56527987715296</c:v>
                </c:pt>
                <c:pt idx="3">
                  <c:v>19.607987322204224</c:v>
                </c:pt>
                <c:pt idx="4">
                  <c:v>93.229578162012615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312-42FA-B61E-83431FBF0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Amax </a:t>
            </a:r>
            <a:r>
              <a:rPr lang="en-US" sz="1200" baseline="0"/>
              <a:t>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mov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3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590-4CAE-B85D-C78266EC17FD}"/>
              </c:ext>
            </c:extLst>
          </c:dPt>
          <c:xVal>
            <c:numRef>
              <c:f>'hilbert envelope'!$B$26:$B$37</c:f>
              <c:numCache>
                <c:formatCode>General</c:formatCode>
                <c:ptCount val="1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</c:numCache>
            </c:numRef>
          </c:xVal>
          <c:yVal>
            <c:numRef>
              <c:f>'hilbert envelope'!$E$26:$E$37</c:f>
              <c:numCache>
                <c:formatCode>0.0000</c:formatCode>
                <c:ptCount val="12"/>
                <c:pt idx="0">
                  <c:v>1.40031756933689E-2</c:v>
                </c:pt>
                <c:pt idx="1">
                  <c:v>1.0890800850407899E-2</c:v>
                </c:pt>
                <c:pt idx="2">
                  <c:v>2.3197934886697399E-2</c:v>
                </c:pt>
                <c:pt idx="3">
                  <c:v>3.5345925929864103E-2</c:v>
                </c:pt>
                <c:pt idx="4">
                  <c:v>2.4016207968108199E-2</c:v>
                </c:pt>
                <c:pt idx="5">
                  <c:v>1.9422121419342901E-2</c:v>
                </c:pt>
                <c:pt idx="6">
                  <c:v>0.12653412852816501</c:v>
                </c:pt>
                <c:pt idx="7">
                  <c:v>5.1502950973667999E-2</c:v>
                </c:pt>
                <c:pt idx="8">
                  <c:v>5.04335454776157E-2</c:v>
                </c:pt>
                <c:pt idx="9">
                  <c:v>9.6840712231762202E-2</c:v>
                </c:pt>
                <c:pt idx="10">
                  <c:v>4.1669974213015902E-2</c:v>
                </c:pt>
                <c:pt idx="11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90-4CAE-B85D-C78266EC17FD}"/>
            </c:ext>
          </c:extLst>
        </c:ser>
        <c:ser>
          <c:idx val="0"/>
          <c:order val="1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1346367484345608E-2"/>
                  <c:y val="0.30603579098067285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envelope'!$B$2:$B$40</c:f>
              <c:numCache>
                <c:formatCode>General</c:formatCode>
                <c:ptCount val="39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90-4CAE-B85D-C78266EC1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Dmax vs AmpMax ( 3 and 4)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8916629900733323"/>
                  <c:y val="0.1384722222222222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5901921826719537"/>
                  <c:y val="0.30648658501020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envelope'!$E$2:$E$37</c:f>
              <c:numCache>
                <c:formatCode>0.0000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6.2688332148029005E-2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13">
                  <c:v>2.2481115003792299E-2</c:v>
                </c:pt>
                <c:pt idx="14">
                  <c:v>1.09573532088619E-2</c:v>
                </c:pt>
                <c:pt idx="15">
                  <c:v>2.2279504588702301E-2</c:v>
                </c:pt>
                <c:pt idx="16">
                  <c:v>1.0897008883362201E-2</c:v>
                </c:pt>
                <c:pt idx="17">
                  <c:v>1.13162316396569E-2</c:v>
                </c:pt>
                <c:pt idx="18">
                  <c:v>2.4554138346802101E-2</c:v>
                </c:pt>
                <c:pt idx="19">
                  <c:v>1.6195175632876601E-2</c:v>
                </c:pt>
                <c:pt idx="20">
                  <c:v>1.06254875376059E-2</c:v>
                </c:pt>
                <c:pt idx="21">
                  <c:v>5.4104257016193398E-3</c:v>
                </c:pt>
                <c:pt idx="22">
                  <c:v>5.4074185586351197E-3</c:v>
                </c:pt>
                <c:pt idx="23">
                  <c:v>6.9634801117522301E-3</c:v>
                </c:pt>
                <c:pt idx="24">
                  <c:v>1.40031756933689E-2</c:v>
                </c:pt>
                <c:pt idx="25">
                  <c:v>1.0890800850407899E-2</c:v>
                </c:pt>
                <c:pt idx="26">
                  <c:v>2.3197934886697399E-2</c:v>
                </c:pt>
                <c:pt idx="27">
                  <c:v>3.5345925929864103E-2</c:v>
                </c:pt>
                <c:pt idx="28">
                  <c:v>2.4016207968108199E-2</c:v>
                </c:pt>
                <c:pt idx="29">
                  <c:v>1.9422121419342901E-2</c:v>
                </c:pt>
                <c:pt idx="30">
                  <c:v>0.12653412852816501</c:v>
                </c:pt>
                <c:pt idx="31">
                  <c:v>5.1502950973667999E-2</c:v>
                </c:pt>
                <c:pt idx="32">
                  <c:v>5.04335454776157E-2</c:v>
                </c:pt>
                <c:pt idx="33">
                  <c:v>9.6840712231762202E-2</c:v>
                </c:pt>
                <c:pt idx="34">
                  <c:v>4.1669974213015902E-2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6A-47B2-9771-08E1478C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</a:t>
                </a:r>
              </a:p>
            </c:rich>
          </c:tx>
          <c:layout>
            <c:manualLayout>
              <c:xMode val="edge"/>
              <c:yMode val="edge"/>
              <c:x val="0.44311466486788836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</a:p>
            </c:rich>
          </c:tx>
          <c:layout>
            <c:manualLayout>
              <c:xMode val="edge"/>
              <c:yMode val="edge"/>
              <c:x val="2.7282426009174521E-2"/>
              <c:y val="0.34314049285505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Mean</a:t>
            </a:r>
            <a:r>
              <a:rPr lang="en-US" sz="1200" baseline="0"/>
              <a:t> Amp vs Dmax (1)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993656456298516"/>
                  <c:y val="-5.271525455979345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D1-430C-A6BF-C571D974A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Amplitude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05264819071684"/>
                  <c:y val="0.3337391304347825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B7-462A-A02E-21BD21F20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aseline="0"/>
              <a:t>Dmax vs Mean Amp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2258479044846108"/>
                  <c:y val="0.17254694986642777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7571384794456385"/>
                  <c:y val="0.3477850563684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envelope'!$F$2:$F$37</c:f>
              <c:numCache>
                <c:formatCode>0.0000</c:formatCode>
                <c:ptCount val="36"/>
                <c:pt idx="0">
                  <c:v>3.3154403752457901E-2</c:v>
                </c:pt>
                <c:pt idx="1">
                  <c:v>1.43345982575964E-2</c:v>
                </c:pt>
                <c:pt idx="2">
                  <c:v>3.2526116479269097E-2</c:v>
                </c:pt>
                <c:pt idx="3">
                  <c:v>2.1060905578879598E-2</c:v>
                </c:pt>
                <c:pt idx="4">
                  <c:v>1.9737041545963101E-2</c:v>
                </c:pt>
                <c:pt idx="5">
                  <c:v>2.3629413923689099E-2</c:v>
                </c:pt>
                <c:pt idx="6">
                  <c:v>1.8357479777712401E-2</c:v>
                </c:pt>
                <c:pt idx="7">
                  <c:v>2.3869849132825499E-2</c:v>
                </c:pt>
                <c:pt idx="8">
                  <c:v>2.3352349155409499E-2</c:v>
                </c:pt>
                <c:pt idx="9">
                  <c:v>1.9277468694701001E-2</c:v>
                </c:pt>
                <c:pt idx="10">
                  <c:v>1.50358559887077E-2</c:v>
                </c:pt>
                <c:pt idx="11">
                  <c:v>1.6430974908246999E-2</c:v>
                </c:pt>
                <c:pt idx="12">
                  <c:v>1.4478880481023E-2</c:v>
                </c:pt>
                <c:pt idx="13">
                  <c:v>9.1860908476934702E-3</c:v>
                </c:pt>
                <c:pt idx="14">
                  <c:v>4.9905746416529098E-3</c:v>
                </c:pt>
                <c:pt idx="15">
                  <c:v>9.4453501582737708E-3</c:v>
                </c:pt>
                <c:pt idx="16">
                  <c:v>7.27047978157239E-3</c:v>
                </c:pt>
                <c:pt idx="17">
                  <c:v>6.77105129691932E-3</c:v>
                </c:pt>
                <c:pt idx="18">
                  <c:v>8.2745106205033593E-3</c:v>
                </c:pt>
                <c:pt idx="19">
                  <c:v>8.7837172608482301E-3</c:v>
                </c:pt>
                <c:pt idx="20">
                  <c:v>5.3979442955963304E-3</c:v>
                </c:pt>
                <c:pt idx="21">
                  <c:v>4.2237913969842902E-3</c:v>
                </c:pt>
                <c:pt idx="22">
                  <c:v>3.7739188928974099E-3</c:v>
                </c:pt>
                <c:pt idx="23">
                  <c:v>4.7306891897243297E-3</c:v>
                </c:pt>
                <c:pt idx="24">
                  <c:v>5.6784984243662398E-3</c:v>
                </c:pt>
                <c:pt idx="25">
                  <c:v>4.8212415579803897E-3</c:v>
                </c:pt>
                <c:pt idx="26">
                  <c:v>9.1426900455134907E-3</c:v>
                </c:pt>
                <c:pt idx="27">
                  <c:v>7.8507383881498607E-3</c:v>
                </c:pt>
                <c:pt idx="28">
                  <c:v>6.5149661727545603E-3</c:v>
                </c:pt>
                <c:pt idx="29">
                  <c:v>7.5773751595888898E-3</c:v>
                </c:pt>
                <c:pt idx="30">
                  <c:v>1.5222331559222001E-2</c:v>
                </c:pt>
                <c:pt idx="31">
                  <c:v>1.37528556522491E-2</c:v>
                </c:pt>
                <c:pt idx="32">
                  <c:v>9.8602655911611495E-3</c:v>
                </c:pt>
                <c:pt idx="33">
                  <c:v>2.94139388502281E-2</c:v>
                </c:pt>
                <c:pt idx="34">
                  <c:v>9.9725509064199202E-3</c:v>
                </c:pt>
                <c:pt idx="35">
                  <c:v>1.5521667521925899E-2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B-41AF-A521-486DB53B5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Amp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Using Mean Amp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validation!$I$18</c:f>
              <c:strCache>
                <c:ptCount val="1"/>
                <c:pt idx="0">
                  <c:v>Mean Amp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validation!$I$19:$I$23</c:f>
              <c:numCache>
                <c:formatCode>0.00</c:formatCode>
                <c:ptCount val="5"/>
                <c:pt idx="1">
                  <c:v>40.493833299235177</c:v>
                </c:pt>
                <c:pt idx="2">
                  <c:v>15.219551761716476</c:v>
                </c:pt>
                <c:pt idx="3">
                  <c:v>19.030965504442523</c:v>
                </c:pt>
                <c:pt idx="4">
                  <c:v>17.065811702828679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66-4134-9857-C6ECB4B29A54}"/>
            </c:ext>
          </c:extLst>
        </c:ser>
        <c:ser>
          <c:idx val="1"/>
          <c:order val="1"/>
          <c:tx>
            <c:strRef>
              <c:f>validation!$J$18</c:f>
              <c:strCache>
                <c:ptCount val="1"/>
                <c:pt idx="0">
                  <c:v>Dmax - Mean Amp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validation!$J$19:$J$23</c:f>
              <c:numCache>
                <c:formatCode>0.000</c:formatCode>
                <c:ptCount val="5"/>
                <c:pt idx="1">
                  <c:v>47.470032741532719</c:v>
                </c:pt>
                <c:pt idx="2">
                  <c:v>28.836950958716034</c:v>
                </c:pt>
                <c:pt idx="3">
                  <c:v>31.739122444755466</c:v>
                </c:pt>
                <c:pt idx="4">
                  <c:v>30.248590430233961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66-4134-9857-C6ECB4B29A54}"/>
            </c:ext>
          </c:extLst>
        </c:ser>
        <c:ser>
          <c:idx val="2"/>
          <c:order val="2"/>
          <c:tx>
            <c:strRef>
              <c:f>validation!$K$18</c:f>
              <c:strCache>
                <c:ptCount val="1"/>
                <c:pt idx="0">
                  <c:v>Dmax - Mean Amp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validation!$K$19:$K$23</c:f>
              <c:numCache>
                <c:formatCode>0.000</c:formatCode>
                <c:ptCount val="5"/>
                <c:pt idx="1">
                  <c:v>45.304341949768059</c:v>
                </c:pt>
                <c:pt idx="2">
                  <c:v>21.723372749373084</c:v>
                </c:pt>
                <c:pt idx="3">
                  <c:v>25.693859138130588</c:v>
                </c:pt>
                <c:pt idx="4">
                  <c:v>23.674255529249351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66-4134-9857-C6ECB4B29A54}"/>
            </c:ext>
          </c:extLst>
        </c:ser>
        <c:ser>
          <c:idx val="3"/>
          <c:order val="3"/>
          <c:tx>
            <c:strRef>
              <c:f>validation!$L$18</c:f>
              <c:strCache>
                <c:ptCount val="1"/>
                <c:pt idx="0">
                  <c:v>Dmax - Mean Amp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validation!$L$19:$L$23</c:f>
              <c:numCache>
                <c:formatCode>0.000</c:formatCode>
                <c:ptCount val="5"/>
                <c:pt idx="1">
                  <c:v>52.922887744040423</c:v>
                </c:pt>
                <c:pt idx="2">
                  <c:v>12.11248485590275</c:v>
                </c:pt>
                <c:pt idx="3">
                  <c:v>21.432805233401098</c:v>
                </c:pt>
                <c:pt idx="4">
                  <c:v>16.887456130623633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A66-4134-9857-C6ECB4B29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30-4322-84DF-253B9DA8F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4302500460289909"/>
                  <c:y val="-0.4457106043359268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9-4938-8ACD-7FE60D85A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Ch1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3946523595824041"/>
                  <c:y val="-0.3659773028122046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envelope'!$M$2:$M$37</c:f>
              <c:numCache>
                <c:formatCode>0.00</c:formatCode>
                <c:ptCount val="36"/>
                <c:pt idx="0">
                  <c:v>139.71428571428572</c:v>
                </c:pt>
                <c:pt idx="1">
                  <c:v>169</c:v>
                </c:pt>
                <c:pt idx="2">
                  <c:v>149.30000000000001</c:v>
                </c:pt>
                <c:pt idx="3">
                  <c:v>135.1</c:v>
                </c:pt>
                <c:pt idx="4">
                  <c:v>176.4</c:v>
                </c:pt>
                <c:pt idx="5">
                  <c:v>166.125</c:v>
                </c:pt>
                <c:pt idx="6">
                  <c:v>158.1</c:v>
                </c:pt>
                <c:pt idx="7">
                  <c:v>163.9</c:v>
                </c:pt>
                <c:pt idx="8">
                  <c:v>186.33333333333334</c:v>
                </c:pt>
                <c:pt idx="9">
                  <c:v>173</c:v>
                </c:pt>
                <c:pt idx="10">
                  <c:v>173.5</c:v>
                </c:pt>
                <c:pt idx="11">
                  <c:v>173</c:v>
                </c:pt>
                <c:pt idx="12">
                  <c:v>188.6</c:v>
                </c:pt>
                <c:pt idx="13">
                  <c:v>188.1</c:v>
                </c:pt>
                <c:pt idx="14">
                  <c:v>188</c:v>
                </c:pt>
                <c:pt idx="15">
                  <c:v>189.83333333333334</c:v>
                </c:pt>
                <c:pt idx="16">
                  <c:v>207.5</c:v>
                </c:pt>
                <c:pt idx="17">
                  <c:v>204.66666666666666</c:v>
                </c:pt>
                <c:pt idx="18">
                  <c:v>200.16666666666666</c:v>
                </c:pt>
                <c:pt idx="19">
                  <c:v>198</c:v>
                </c:pt>
                <c:pt idx="20">
                  <c:v>191.1</c:v>
                </c:pt>
                <c:pt idx="21">
                  <c:v>202</c:v>
                </c:pt>
                <c:pt idx="22">
                  <c:v>200.2</c:v>
                </c:pt>
                <c:pt idx="23">
                  <c:v>193.1</c:v>
                </c:pt>
                <c:pt idx="24">
                  <c:v>180.85</c:v>
                </c:pt>
                <c:pt idx="25">
                  <c:v>175.05</c:v>
                </c:pt>
                <c:pt idx="26">
                  <c:v>174.9</c:v>
                </c:pt>
                <c:pt idx="27">
                  <c:v>171.2</c:v>
                </c:pt>
                <c:pt idx="28">
                  <c:v>187.2</c:v>
                </c:pt>
                <c:pt idx="29">
                  <c:v>183.8</c:v>
                </c:pt>
                <c:pt idx="30">
                  <c:v>165.3</c:v>
                </c:pt>
                <c:pt idx="31">
                  <c:v>171.33333333333334</c:v>
                </c:pt>
                <c:pt idx="32">
                  <c:v>167.8</c:v>
                </c:pt>
                <c:pt idx="33">
                  <c:v>150.53333333333333</c:v>
                </c:pt>
                <c:pt idx="34">
                  <c:v>167.75</c:v>
                </c:pt>
                <c:pt idx="35">
                  <c:v>164.3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9A-4645-988D-5882A2A8F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Ch1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validation!$O$18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1522188919764704"/>
                  <c:y val="3.1530462928288268E-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validation!$O$19:$O$23</c:f>
              <c:numCache>
                <c:formatCode>0.00</c:formatCode>
                <c:ptCount val="5"/>
                <c:pt idx="1">
                  <c:v>546.17166893812691</c:v>
                </c:pt>
                <c:pt idx="2">
                  <c:v>158.2516590681046</c:v>
                </c:pt>
                <c:pt idx="3">
                  <c:v>159.9955674195038</c:v>
                </c:pt>
                <c:pt idx="4">
                  <c:v>216.74762833039611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EF-4FFA-82F7-6A1A84147B7E}"/>
            </c:ext>
          </c:extLst>
        </c:ser>
        <c:ser>
          <c:idx val="1"/>
          <c:order val="1"/>
          <c:tx>
            <c:strRef>
              <c:f>validation!$P$18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46234507412592"/>
                  <c:y val="-5.0577154989664495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validation!$P$19:$P$23</c:f>
              <c:numCache>
                <c:formatCode>0.00</c:formatCode>
                <c:ptCount val="5"/>
                <c:pt idx="1">
                  <c:v>156.89618286448186</c:v>
                </c:pt>
                <c:pt idx="2">
                  <c:v>106.2530489485371</c:v>
                </c:pt>
                <c:pt idx="3">
                  <c:v>106.70110402506842</c:v>
                </c:pt>
                <c:pt idx="4">
                  <c:v>119.1125392430142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EF-4FFA-82F7-6A1A84147B7E}"/>
            </c:ext>
          </c:extLst>
        </c:ser>
        <c:ser>
          <c:idx val="3"/>
          <c:order val="2"/>
          <c:tx>
            <c:strRef>
              <c:f>validation!$R$18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4058619669012524"/>
                  <c:y val="5.6337321809480291E-2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validation!$R$19:$R$23</c:f>
              <c:numCache>
                <c:formatCode>0.00</c:formatCode>
                <c:ptCount val="5"/>
                <c:pt idx="1">
                  <c:v>173.50357460693817</c:v>
                </c:pt>
                <c:pt idx="2">
                  <c:v>107.46446045383004</c:v>
                </c:pt>
                <c:pt idx="3">
                  <c:v>107.98468277821667</c:v>
                </c:pt>
                <c:pt idx="4">
                  <c:v>122.79861228787036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3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EF-4FFA-82F7-6A1A84147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"/>
          <c:y val="0.86683680792130169"/>
          <c:w val="1"/>
          <c:h val="0.11556165585824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1843078649342395E-2"/>
                  <c:y val="0.2243760784641366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2-4E00-ACFE-7A22BD942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5-45AE-9364-5AA0BF445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Ch2 </a:t>
            </a:r>
            <a:r>
              <a:rPr lang="en-US" sz="1100" baseline="0"/>
              <a:t>Dmax vs Imp/s (3) and (4)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31284365432777334"/>
                  <c:y val="0.2176144433664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envelope'!$L$2:$L$37</c:f>
              <c:numCache>
                <c:formatCode>0.00</c:formatCode>
                <c:ptCount val="36"/>
                <c:pt idx="0">
                  <c:v>86.285714285714292</c:v>
                </c:pt>
                <c:pt idx="1">
                  <c:v>62.8</c:v>
                </c:pt>
                <c:pt idx="2">
                  <c:v>50.9</c:v>
                </c:pt>
                <c:pt idx="3">
                  <c:v>48.9</c:v>
                </c:pt>
                <c:pt idx="4">
                  <c:v>82.8</c:v>
                </c:pt>
                <c:pt idx="5">
                  <c:v>61.625</c:v>
                </c:pt>
                <c:pt idx="6">
                  <c:v>66</c:v>
                </c:pt>
                <c:pt idx="7">
                  <c:v>70</c:v>
                </c:pt>
                <c:pt idx="8">
                  <c:v>107.66666666666667</c:v>
                </c:pt>
                <c:pt idx="9">
                  <c:v>69.875</c:v>
                </c:pt>
                <c:pt idx="10">
                  <c:v>90.666666666666671</c:v>
                </c:pt>
                <c:pt idx="11">
                  <c:v>58.6</c:v>
                </c:pt>
                <c:pt idx="12">
                  <c:v>69</c:v>
                </c:pt>
                <c:pt idx="13">
                  <c:v>63.1</c:v>
                </c:pt>
                <c:pt idx="14">
                  <c:v>51.8</c:v>
                </c:pt>
                <c:pt idx="15">
                  <c:v>69.666666666666671</c:v>
                </c:pt>
                <c:pt idx="16">
                  <c:v>68.75</c:v>
                </c:pt>
                <c:pt idx="17">
                  <c:v>54.666666666666664</c:v>
                </c:pt>
                <c:pt idx="18">
                  <c:v>60.666666666666664</c:v>
                </c:pt>
                <c:pt idx="19">
                  <c:v>79</c:v>
                </c:pt>
                <c:pt idx="20">
                  <c:v>60.7</c:v>
                </c:pt>
                <c:pt idx="21">
                  <c:v>53.6</c:v>
                </c:pt>
                <c:pt idx="22">
                  <c:v>40.06666666666667</c:v>
                </c:pt>
                <c:pt idx="23">
                  <c:v>49.4</c:v>
                </c:pt>
                <c:pt idx="24">
                  <c:v>59.8</c:v>
                </c:pt>
                <c:pt idx="25">
                  <c:v>48.6</c:v>
                </c:pt>
                <c:pt idx="26">
                  <c:v>78.8</c:v>
                </c:pt>
                <c:pt idx="27">
                  <c:v>60.75</c:v>
                </c:pt>
                <c:pt idx="28">
                  <c:v>54.06666666666667</c:v>
                </c:pt>
                <c:pt idx="29">
                  <c:v>70</c:v>
                </c:pt>
                <c:pt idx="30">
                  <c:v>60.6</c:v>
                </c:pt>
                <c:pt idx="31">
                  <c:v>68.8</c:v>
                </c:pt>
                <c:pt idx="32">
                  <c:v>57.75</c:v>
                </c:pt>
                <c:pt idx="33">
                  <c:v>67.933333333333337</c:v>
                </c:pt>
                <c:pt idx="34">
                  <c:v>69.7</c:v>
                </c:pt>
                <c:pt idx="35">
                  <c:v>76.55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84-4E34-82A2-C130F7C5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Ch2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validation!$V$18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validation!$V$19:$V$23</c:f>
              <c:numCache>
                <c:formatCode>0.00</c:formatCode>
                <c:ptCount val="5"/>
                <c:pt idx="1">
                  <c:v>0.9958438496719686</c:v>
                </c:pt>
                <c:pt idx="2">
                  <c:v>0.31499650175891308</c:v>
                </c:pt>
                <c:pt idx="3">
                  <c:v>6.8452368952399834</c:v>
                </c:pt>
                <c:pt idx="4">
                  <c:v>0.41567343967478648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6-4A00-BCCF-E061E6DFFF7D}"/>
            </c:ext>
          </c:extLst>
        </c:ser>
        <c:ser>
          <c:idx val="1"/>
          <c:order val="1"/>
          <c:tx>
            <c:strRef>
              <c:f>validation!$W$18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validation!$W$19:$W$23</c:f>
              <c:numCache>
                <c:formatCode>0.00</c:formatCode>
                <c:ptCount val="5"/>
                <c:pt idx="1">
                  <c:v>47.011462828327836</c:v>
                </c:pt>
                <c:pt idx="2">
                  <c:v>42.871088475303516</c:v>
                </c:pt>
                <c:pt idx="3">
                  <c:v>53.945670493273312</c:v>
                </c:pt>
                <c:pt idx="4">
                  <c:v>43.868704467680203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F6-4A00-BCCF-E061E6DFFF7D}"/>
            </c:ext>
          </c:extLst>
        </c:ser>
        <c:ser>
          <c:idx val="2"/>
          <c:order val="2"/>
          <c:tx>
            <c:strRef>
              <c:f>validation!$X$18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validation!$X$19:$X$23</c:f>
              <c:numCache>
                <c:formatCode>0.00</c:formatCode>
                <c:ptCount val="5"/>
                <c:pt idx="1">
                  <c:v>32.342147494732167</c:v>
                </c:pt>
                <c:pt idx="2">
                  <c:v>25.960620247950711</c:v>
                </c:pt>
                <c:pt idx="3">
                  <c:v>42.794842976188278</c:v>
                </c:pt>
                <c:pt idx="4">
                  <c:v>27.509761120953833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8F6-4A00-BCCF-E061E6DFFF7D}"/>
            </c:ext>
          </c:extLst>
        </c:ser>
        <c:ser>
          <c:idx val="3"/>
          <c:order val="3"/>
          <c:tx>
            <c:strRef>
              <c:f>validation!$Y$18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validation!$Y$19:$Y$23</c:f>
              <c:numCache>
                <c:formatCode>0.00</c:formatCode>
                <c:ptCount val="5"/>
                <c:pt idx="1">
                  <c:v>41.933118884917931</c:v>
                </c:pt>
                <c:pt idx="2">
                  <c:v>33.212523597718601</c:v>
                </c:pt>
                <c:pt idx="3">
                  <c:v>53.044478030622045</c:v>
                </c:pt>
                <c:pt idx="4">
                  <c:v>35.512198542686704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F6-4A00-BCCF-E061E6DFF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96-4460-A41F-7B3CE2D5B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35558738660188"/>
                  <c:y val="-0.1375706117828530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61-4403-AA7E-6163766DB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Ch3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8.5056569305183613E-2"/>
                  <c:y val="0.24917018930743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envelope'!$K$2:$K$37</c:f>
              <c:numCache>
                <c:formatCode>0.00</c:formatCode>
                <c:ptCount val="36"/>
                <c:pt idx="0">
                  <c:v>37.714285714285715</c:v>
                </c:pt>
                <c:pt idx="1">
                  <c:v>19.5</c:v>
                </c:pt>
                <c:pt idx="2">
                  <c:v>23</c:v>
                </c:pt>
                <c:pt idx="3">
                  <c:v>25.5</c:v>
                </c:pt>
                <c:pt idx="4">
                  <c:v>27.8</c:v>
                </c:pt>
                <c:pt idx="5">
                  <c:v>30.75</c:v>
                </c:pt>
                <c:pt idx="6">
                  <c:v>21.2</c:v>
                </c:pt>
                <c:pt idx="7">
                  <c:v>23.3</c:v>
                </c:pt>
                <c:pt idx="8">
                  <c:v>34.333333333333336</c:v>
                </c:pt>
                <c:pt idx="9">
                  <c:v>20.625</c:v>
                </c:pt>
                <c:pt idx="10">
                  <c:v>22</c:v>
                </c:pt>
                <c:pt idx="11">
                  <c:v>13.9</c:v>
                </c:pt>
                <c:pt idx="12">
                  <c:v>15.6</c:v>
                </c:pt>
                <c:pt idx="13">
                  <c:v>12.1</c:v>
                </c:pt>
                <c:pt idx="14">
                  <c:v>4.8</c:v>
                </c:pt>
                <c:pt idx="15">
                  <c:v>17.166666666666668</c:v>
                </c:pt>
                <c:pt idx="16">
                  <c:v>14.25</c:v>
                </c:pt>
                <c:pt idx="17">
                  <c:v>12.666666666666666</c:v>
                </c:pt>
                <c:pt idx="18">
                  <c:v>10.666666666666666</c:v>
                </c:pt>
                <c:pt idx="19">
                  <c:v>14.8</c:v>
                </c:pt>
                <c:pt idx="20">
                  <c:v>6.2</c:v>
                </c:pt>
                <c:pt idx="21">
                  <c:v>3.2</c:v>
                </c:pt>
                <c:pt idx="22">
                  <c:v>2</c:v>
                </c:pt>
                <c:pt idx="23">
                  <c:v>5.0999999999999996</c:v>
                </c:pt>
                <c:pt idx="24">
                  <c:v>7.55</c:v>
                </c:pt>
                <c:pt idx="25">
                  <c:v>5.15</c:v>
                </c:pt>
                <c:pt idx="26">
                  <c:v>16.3</c:v>
                </c:pt>
                <c:pt idx="27">
                  <c:v>10.199999999999999</c:v>
                </c:pt>
                <c:pt idx="28">
                  <c:v>7.4666666666666668</c:v>
                </c:pt>
                <c:pt idx="29">
                  <c:v>14.7</c:v>
                </c:pt>
                <c:pt idx="30">
                  <c:v>15.6</c:v>
                </c:pt>
                <c:pt idx="31">
                  <c:v>18.600000000000001</c:v>
                </c:pt>
                <c:pt idx="32">
                  <c:v>12.25</c:v>
                </c:pt>
                <c:pt idx="33">
                  <c:v>32.666666666666664</c:v>
                </c:pt>
                <c:pt idx="34">
                  <c:v>17.649999999999999</c:v>
                </c:pt>
                <c:pt idx="35">
                  <c:v>20.95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1C-4305-987A-649B4053A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Ch3 Imp/s</a:t>
            </a:r>
            <a:endParaRPr lang="en-US" sz="1000"/>
          </a:p>
        </c:rich>
      </c:tx>
      <c:layout>
        <c:manualLayout>
          <c:xMode val="edge"/>
          <c:yMode val="edge"/>
          <c:x val="0.17589958315823767"/>
          <c:y val="3.3522336401265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validation!$AC$18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validation!$AC$19:$AC$23</c:f>
              <c:numCache>
                <c:formatCode>0.00</c:formatCode>
                <c:ptCount val="5"/>
                <c:pt idx="1">
                  <c:v>29.659305775690282</c:v>
                </c:pt>
                <c:pt idx="2">
                  <c:v>16.430797296776326</c:v>
                </c:pt>
                <c:pt idx="3">
                  <c:v>17.630718337536553</c:v>
                </c:pt>
                <c:pt idx="4">
                  <c:v>16.373213590505561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04-4350-9F56-E4B73081FB03}"/>
            </c:ext>
          </c:extLst>
        </c:ser>
        <c:ser>
          <c:idx val="1"/>
          <c:order val="1"/>
          <c:tx>
            <c:strRef>
              <c:f>validation!$AD$18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validation!$AD$19:$AD$23</c:f>
              <c:numCache>
                <c:formatCode>0.000</c:formatCode>
                <c:ptCount val="5"/>
                <c:pt idx="1">
                  <c:v>41.207262199211904</c:v>
                </c:pt>
                <c:pt idx="2">
                  <c:v>20.565616418960641</c:v>
                </c:pt>
                <c:pt idx="3">
                  <c:v>23.029020988777891</c:v>
                </c:pt>
                <c:pt idx="4">
                  <c:v>20.442917594091853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04-4350-9F56-E4B73081FB03}"/>
            </c:ext>
          </c:extLst>
        </c:ser>
        <c:ser>
          <c:idx val="2"/>
          <c:order val="2"/>
          <c:tx>
            <c:strRef>
              <c:f>validation!$AE$18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validation!$AE$19:$AE$23</c:f>
              <c:numCache>
                <c:formatCode>0.00</c:formatCode>
                <c:ptCount val="5"/>
                <c:pt idx="1">
                  <c:v>40.923634346381888</c:v>
                </c:pt>
                <c:pt idx="2">
                  <c:v>15.263430355503798</c:v>
                </c:pt>
                <c:pt idx="3">
                  <c:v>19.104974879697991</c:v>
                </c:pt>
                <c:pt idx="4">
                  <c:v>15.060376567986314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04-4350-9F56-E4B73081FB03}"/>
            </c:ext>
          </c:extLst>
        </c:ser>
        <c:ser>
          <c:idx val="3"/>
          <c:order val="3"/>
          <c:tx>
            <c:strRef>
              <c:f>validation!$AF$18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validation!$AF$19:$AF$23</c:f>
              <c:numCache>
                <c:formatCode>0.000</c:formatCode>
                <c:ptCount val="5"/>
                <c:pt idx="1">
                  <c:v>48.046833598239623</c:v>
                </c:pt>
                <c:pt idx="2">
                  <c:v>-3.6761334165626529</c:v>
                </c:pt>
                <c:pt idx="3">
                  <c:v>8.0970069671965419</c:v>
                </c:pt>
                <c:pt idx="4">
                  <c:v>-4.3784956823808656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F04-4350-9F56-E4B73081F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5-455A-8A11-AE469CEA2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72791399919537"/>
                  <c:y val="0.29176255026795894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A-4EB0-B546-45FAD41A8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Ch4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730169604118661"/>
                  <c:y val="0.258966615845339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envelope'!$J$2:$J$37</c:f>
              <c:numCache>
                <c:formatCode>0.00</c:formatCode>
                <c:ptCount val="36"/>
                <c:pt idx="0">
                  <c:v>13.714285714285714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8.1999999999999993</c:v>
                </c:pt>
                <c:pt idx="5">
                  <c:v>12.75</c:v>
                </c:pt>
                <c:pt idx="6">
                  <c:v>9.1</c:v>
                </c:pt>
                <c:pt idx="7">
                  <c:v>7.5</c:v>
                </c:pt>
                <c:pt idx="8">
                  <c:v>13.666666666666666</c:v>
                </c:pt>
                <c:pt idx="9">
                  <c:v>7.25</c:v>
                </c:pt>
                <c:pt idx="10">
                  <c:v>8.1666666666666661</c:v>
                </c:pt>
                <c:pt idx="11">
                  <c:v>4.3</c:v>
                </c:pt>
                <c:pt idx="12">
                  <c:v>7.8</c:v>
                </c:pt>
                <c:pt idx="13">
                  <c:v>4</c:v>
                </c:pt>
                <c:pt idx="14">
                  <c:v>0.73333333333333328</c:v>
                </c:pt>
                <c:pt idx="15">
                  <c:v>4</c:v>
                </c:pt>
                <c:pt idx="16">
                  <c:v>3</c:v>
                </c:pt>
                <c:pt idx="17">
                  <c:v>2.8333333333333335</c:v>
                </c:pt>
                <c:pt idx="18">
                  <c:v>4.5</c:v>
                </c:pt>
                <c:pt idx="19">
                  <c:v>4.2</c:v>
                </c:pt>
                <c:pt idx="20">
                  <c:v>1.1000000000000001</c:v>
                </c:pt>
                <c:pt idx="21">
                  <c:v>0.2</c:v>
                </c:pt>
                <c:pt idx="22">
                  <c:v>0.13333333333333333</c:v>
                </c:pt>
                <c:pt idx="23">
                  <c:v>0.4</c:v>
                </c:pt>
                <c:pt idx="24">
                  <c:v>0.9</c:v>
                </c:pt>
                <c:pt idx="25">
                  <c:v>0.55000000000000004</c:v>
                </c:pt>
                <c:pt idx="26">
                  <c:v>3.5</c:v>
                </c:pt>
                <c:pt idx="27">
                  <c:v>2.8</c:v>
                </c:pt>
                <c:pt idx="28">
                  <c:v>1.7333333333333334</c:v>
                </c:pt>
                <c:pt idx="29">
                  <c:v>2.8</c:v>
                </c:pt>
                <c:pt idx="30">
                  <c:v>5.65</c:v>
                </c:pt>
                <c:pt idx="31">
                  <c:v>7.333333333333333</c:v>
                </c:pt>
                <c:pt idx="32">
                  <c:v>3.4</c:v>
                </c:pt>
                <c:pt idx="33">
                  <c:v>12.466666666666667</c:v>
                </c:pt>
                <c:pt idx="34">
                  <c:v>4.0999999999999996</c:v>
                </c:pt>
                <c:pt idx="35">
                  <c:v>7.1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D-4C45-BB18-140095FA6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Ch4 Imp/s</a:t>
            </a:r>
            <a:endParaRPr lang="en-US" sz="1000"/>
          </a:p>
        </c:rich>
      </c:tx>
      <c:layout>
        <c:manualLayout>
          <c:xMode val="edge"/>
          <c:yMode val="edge"/>
          <c:x val="0.10468539009637413"/>
          <c:y val="7.96155489530043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validation!$AJ$18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validation!$AJ$19:$AJ$23</c:f>
              <c:numCache>
                <c:formatCode>0.00</c:formatCode>
                <c:ptCount val="5"/>
                <c:pt idx="1">
                  <c:v>33.188278878637824</c:v>
                </c:pt>
                <c:pt idx="2">
                  <c:v>19.787322110256987</c:v>
                </c:pt>
                <c:pt idx="3">
                  <c:v>19.316209167361411</c:v>
                </c:pt>
                <c:pt idx="4">
                  <c:v>20.219890502537915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0-4452-B562-3B029DF7F529}"/>
            </c:ext>
          </c:extLst>
        </c:ser>
        <c:ser>
          <c:idx val="1"/>
          <c:order val="1"/>
          <c:tx>
            <c:strRef>
              <c:f>validation!$AK$18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528261698491426"/>
                  <c:y val="-0.2312800352380465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validation!$AK$19:$AK$23</c:f>
              <c:numCache>
                <c:formatCode>0.00</c:formatCode>
                <c:ptCount val="5"/>
                <c:pt idx="1">
                  <c:v>45.44043253352951</c:v>
                </c:pt>
                <c:pt idx="2">
                  <c:v>27.704673245050621</c:v>
                </c:pt>
                <c:pt idx="3">
                  <c:v>26.878276028829479</c:v>
                </c:pt>
                <c:pt idx="4">
                  <c:v>28.446311608815058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0-4452-B562-3B029DF7F529}"/>
            </c:ext>
          </c:extLst>
        </c:ser>
        <c:ser>
          <c:idx val="2"/>
          <c:order val="2"/>
          <c:tx>
            <c:strRef>
              <c:f>validation!$AL$18</c:f>
              <c:strCache>
                <c:ptCount val="1"/>
                <c:pt idx="0">
                  <c:v>Dmax - Imp/s (3)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3189953126024896"/>
                  <c:y val="-7.7478170063167831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validation!$AL$19:$AL$23</c:f>
              <c:numCache>
                <c:formatCode>0.00</c:formatCode>
                <c:ptCount val="5"/>
                <c:pt idx="1">
                  <c:v>49.260837883196288</c:v>
                </c:pt>
                <c:pt idx="2">
                  <c:v>16.178763293074105</c:v>
                </c:pt>
                <c:pt idx="3">
                  <c:v>9.2058127259320273</c:v>
                </c:pt>
                <c:pt idx="4">
                  <c:v>19.832581929011742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10-4452-B562-3B029DF7F529}"/>
            </c:ext>
          </c:extLst>
        </c:ser>
        <c:ser>
          <c:idx val="3"/>
          <c:order val="3"/>
          <c:tx>
            <c:strRef>
              <c:f>validation!$AM$18</c:f>
              <c:strCache>
                <c:ptCount val="1"/>
                <c:pt idx="0">
                  <c:v>Dmax - Imp/s (4)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01395983816476"/>
                  <c:y val="-0.167276788586568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validation!$AM$19:$AM$23</c:f>
              <c:numCache>
                <c:formatCode>0.00</c:formatCode>
                <c:ptCount val="5"/>
                <c:pt idx="1">
                  <c:v>57.855938622870738</c:v>
                </c:pt>
                <c:pt idx="2">
                  <c:v>0.87586922357535002</c:v>
                </c:pt>
                <c:pt idx="3">
                  <c:v>-27.980038314235287</c:v>
                </c:pt>
                <c:pt idx="4">
                  <c:v>11.296517251930133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4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610-4452-B562-3B029DF7F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B1-4E1F-916B-F08D1CDA9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AD-4AC8-A01D-FCC0367BF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Ch5 </a:t>
            </a:r>
            <a:r>
              <a:rPr lang="en-US" sz="1100" baseline="0"/>
              <a:t>Dmax vs Imp/s (3) and (4)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456166573249465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envelope'!$I$2:$I$37</c:f>
              <c:numCache>
                <c:formatCode>0.00</c:formatCode>
                <c:ptCount val="36"/>
                <c:pt idx="0">
                  <c:v>2.2857142857142856</c:v>
                </c:pt>
                <c:pt idx="1">
                  <c:v>0.8</c:v>
                </c:pt>
                <c:pt idx="2">
                  <c:v>3.1</c:v>
                </c:pt>
                <c:pt idx="3">
                  <c:v>1.6</c:v>
                </c:pt>
                <c:pt idx="4">
                  <c:v>3.2</c:v>
                </c:pt>
                <c:pt idx="5">
                  <c:v>3.625</c:v>
                </c:pt>
                <c:pt idx="6">
                  <c:v>2.1</c:v>
                </c:pt>
                <c:pt idx="7">
                  <c:v>3.2</c:v>
                </c:pt>
                <c:pt idx="8">
                  <c:v>4.666666666666667</c:v>
                </c:pt>
                <c:pt idx="9">
                  <c:v>2.75</c:v>
                </c:pt>
                <c:pt idx="10">
                  <c:v>1.5</c:v>
                </c:pt>
                <c:pt idx="11">
                  <c:v>1.8</c:v>
                </c:pt>
                <c:pt idx="12">
                  <c:v>2.6</c:v>
                </c:pt>
                <c:pt idx="13">
                  <c:v>0.8</c:v>
                </c:pt>
                <c:pt idx="14">
                  <c:v>0</c:v>
                </c:pt>
                <c:pt idx="15">
                  <c:v>1</c:v>
                </c:pt>
                <c:pt idx="16">
                  <c:v>0.25</c:v>
                </c:pt>
                <c:pt idx="17">
                  <c:v>0.16666666666666666</c:v>
                </c:pt>
                <c:pt idx="18">
                  <c:v>1</c:v>
                </c:pt>
                <c:pt idx="19">
                  <c:v>0.6</c:v>
                </c:pt>
                <c:pt idx="20">
                  <c:v>0.1</c:v>
                </c:pt>
                <c:pt idx="21">
                  <c:v>0</c:v>
                </c:pt>
                <c:pt idx="22">
                  <c:v>0</c:v>
                </c:pt>
                <c:pt idx="23">
                  <c:v>0.1</c:v>
                </c:pt>
                <c:pt idx="24">
                  <c:v>0.05</c:v>
                </c:pt>
                <c:pt idx="25">
                  <c:v>0.05</c:v>
                </c:pt>
                <c:pt idx="26">
                  <c:v>0.4</c:v>
                </c:pt>
                <c:pt idx="27">
                  <c:v>0.55000000000000004</c:v>
                </c:pt>
                <c:pt idx="28">
                  <c:v>0.33333333333333331</c:v>
                </c:pt>
                <c:pt idx="29">
                  <c:v>0.3</c:v>
                </c:pt>
                <c:pt idx="30">
                  <c:v>1.9</c:v>
                </c:pt>
                <c:pt idx="31">
                  <c:v>2</c:v>
                </c:pt>
                <c:pt idx="32">
                  <c:v>1</c:v>
                </c:pt>
                <c:pt idx="33">
                  <c:v>4.0666666666666664</c:v>
                </c:pt>
                <c:pt idx="34">
                  <c:v>0.75</c:v>
                </c:pt>
                <c:pt idx="35">
                  <c:v>1.6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E-4B9C-AEB2-AAE57B2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Ch5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validation!$AQ$18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validation!$AQ$19:$AQ$23</c:f>
              <c:numCache>
                <c:formatCode>0.00</c:formatCode>
                <c:ptCount val="5"/>
                <c:pt idx="1">
                  <c:v>31.94910428210375</c:v>
                </c:pt>
                <c:pt idx="2">
                  <c:v>21.340315843657365</c:v>
                </c:pt>
                <c:pt idx="3">
                  <c:v>20.920959881197483</c:v>
                </c:pt>
                <c:pt idx="4">
                  <c:v>21.576912796719373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C7F-9EEA-355AD8FB458F}"/>
            </c:ext>
          </c:extLst>
        </c:ser>
        <c:ser>
          <c:idx val="1"/>
          <c:order val="1"/>
          <c:tx>
            <c:strRef>
              <c:f>validation!$AR$18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validation!$AR$19:$AR$23</c:f>
              <c:numCache>
                <c:formatCode>0.00</c:formatCode>
                <c:ptCount val="5"/>
                <c:pt idx="1">
                  <c:v>49.598324488129023</c:v>
                </c:pt>
                <c:pt idx="2">
                  <c:v>40.165890105190499</c:v>
                </c:pt>
                <c:pt idx="3">
                  <c:v>39.701999999999998</c:v>
                </c:pt>
                <c:pt idx="4">
                  <c:v>40.4236067757531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6D0-4C7F-9EEA-355AD8F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Imp/s</a:t>
            </a:r>
            <a:r>
              <a:rPr lang="en-US" sz="1100" baseline="0"/>
              <a:t> vs Dmax (1)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437236921630323E-2"/>
                  <c:y val="0.20713224282388212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xVal>
          <c:y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2-4FD3-9131-0CBF7018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Impulses per second</a:t>
                </a:r>
              </a:p>
            </c:rich>
          </c:tx>
          <c:layout>
            <c:manualLayout>
              <c:xMode val="edge"/>
              <c:yMode val="edge"/>
              <c:x val="6.8547409397845677E-2"/>
              <c:y val="0.330643038693590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4-4ABE-8A40-6EBB1C631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Ch6 </a:t>
            </a:r>
            <a:r>
              <a:rPr lang="en-US" sz="1100" baseline="0"/>
              <a:t>Dmax vs Imp/s (2)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6519980719541736"/>
                  <c:y val="-0.15651874070643415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069045691391087"/>
                  <c:y val="0.304029212040839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envelope'!$H$2:$H$37</c:f>
              <c:numCache>
                <c:formatCode>0.00</c:formatCode>
                <c:ptCount val="36"/>
                <c:pt idx="0">
                  <c:v>0.8571428571428571</c:v>
                </c:pt>
                <c:pt idx="1">
                  <c:v>0.2</c:v>
                </c:pt>
                <c:pt idx="2">
                  <c:v>1</c:v>
                </c:pt>
                <c:pt idx="3">
                  <c:v>0.4</c:v>
                </c:pt>
                <c:pt idx="4">
                  <c:v>0.4</c:v>
                </c:pt>
                <c:pt idx="5">
                  <c:v>0.75</c:v>
                </c:pt>
                <c:pt idx="6">
                  <c:v>0.3</c:v>
                </c:pt>
                <c:pt idx="7">
                  <c:v>0.9</c:v>
                </c:pt>
                <c:pt idx="8">
                  <c:v>1</c:v>
                </c:pt>
                <c:pt idx="9">
                  <c:v>0.375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6.6666666666666666E-2</c:v>
                </c:pt>
                <c:pt idx="29">
                  <c:v>0</c:v>
                </c:pt>
                <c:pt idx="30">
                  <c:v>0.5</c:v>
                </c:pt>
                <c:pt idx="31">
                  <c:v>0.13333333333333333</c:v>
                </c:pt>
                <c:pt idx="32">
                  <c:v>0.2</c:v>
                </c:pt>
                <c:pt idx="33">
                  <c:v>0.8</c:v>
                </c:pt>
                <c:pt idx="34">
                  <c:v>0</c:v>
                </c:pt>
                <c:pt idx="35">
                  <c:v>0.3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08-4A80-82DF-3DEF83227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021568"/>
        <c:axId val="2086022048"/>
      </c:scatterChart>
      <c:valAx>
        <c:axId val="2086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Impulses per Second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2048"/>
        <c:crosses val="autoZero"/>
        <c:crossBetween val="midCat"/>
      </c:valAx>
      <c:valAx>
        <c:axId val="208602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Dmax</a:t>
                </a:r>
                <a:r>
                  <a:rPr lang="en-US" baseline="0"/>
                  <a:t> (mm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02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Ch6 Imp/s</a:t>
            </a:r>
            <a:endParaRPr lang="en-US" sz="1000"/>
          </a:p>
        </c:rich>
      </c:tx>
      <c:layout>
        <c:manualLayout>
          <c:xMode val="edge"/>
          <c:yMode val="edge"/>
          <c:x val="0.10913628463856108"/>
          <c:y val="6.2854380752371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validation!$AY$18</c:f>
              <c:strCache>
                <c:ptCount val="1"/>
                <c:pt idx="0">
                  <c:v>Imp/s - Dmax (1)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3445744202660945"/>
                  <c:y val="-0.21474916812804476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validation!$AY$19:$AY$23</c:f>
              <c:numCache>
                <c:formatCode>0.00</c:formatCode>
                <c:ptCount val="5"/>
                <c:pt idx="1">
                  <c:v>39.250419737862266</c:v>
                </c:pt>
                <c:pt idx="2">
                  <c:v>27.524661448827725</c:v>
                </c:pt>
                <c:pt idx="3">
                  <c:v>27.524661448827725</c:v>
                </c:pt>
                <c:pt idx="4">
                  <c:v>29.449546358859745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E-4E26-AE78-1A6101C895C9}"/>
            </c:ext>
          </c:extLst>
        </c:ser>
        <c:ser>
          <c:idx val="1"/>
          <c:order val="1"/>
          <c:tx>
            <c:strRef>
              <c:f>validation!$AZ$18</c:f>
              <c:strCache>
                <c:ptCount val="1"/>
                <c:pt idx="0">
                  <c:v>Dmax - Imp/s (2)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0687950177302272"/>
                  <c:y val="-0.2318788840625376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validation!$AZ$19:$AZ$23</c:f>
              <c:numCache>
                <c:formatCode>0.00</c:formatCode>
                <c:ptCount val="5"/>
                <c:pt idx="1">
                  <c:v>53.097644481017909</c:v>
                </c:pt>
                <c:pt idx="2">
                  <c:v>43.216999999999999</c:v>
                </c:pt>
                <c:pt idx="3">
                  <c:v>43.216999999999999</c:v>
                </c:pt>
                <c:pt idx="4">
                  <c:v>45.099026951175652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smoothMarker"/>
        <c:varyColors val="0"/>
        <c:ser>
          <c:idx val="4"/>
          <c:order val="2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AE-4E26-AE78-1A6101C89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9.4642433766248361E-3"/>
          <c:y val="0.84588534767051127"/>
          <c:w val="0.97427125826455718"/>
          <c:h val="0.136513116109033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layout>
        <c:manualLayout>
          <c:xMode val="edge"/>
          <c:yMode val="edge"/>
          <c:x val="0.26889324348051119"/>
          <c:y val="5.5979639279546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F-4FB0-A26B-5F14CB8882D9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4F-4FB0-A26B-5F14CB8882D9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4F-4FB0-A26B-5F14CB8882D9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4F-4FB0-A26B-5F14CB8882D9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4F-4FB0-A26B-5F14CB8882D9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04F-4FB0-A26B-5F14CB88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C9-42B1-9990-6E2E7D02ED63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C9-42B1-9990-6E2E7D02ED63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C9-42B1-9990-6E2E7D02ED63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C9-42B1-9990-6E2E7D02ED63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C9-42B1-9990-6E2E7D02ED63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C9-42B1-9990-6E2E7D02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envelope'!$V$2:$V$37</c:f>
              <c:numCache>
                <c:formatCode>General</c:formatCode>
                <c:ptCount val="36"/>
                <c:pt idx="0">
                  <c:v>0.104819100180613</c:v>
                </c:pt>
                <c:pt idx="1">
                  <c:v>5.1422303101187901E-2</c:v>
                </c:pt>
                <c:pt idx="2">
                  <c:v>0.161944718485239</c:v>
                </c:pt>
                <c:pt idx="3">
                  <c:v>8.9416636847151898E-2</c:v>
                </c:pt>
                <c:pt idx="4">
                  <c:v>4.68499378365069E-2</c:v>
                </c:pt>
                <c:pt idx="5">
                  <c:v>5.1754391722476999E-2</c:v>
                </c:pt>
                <c:pt idx="6">
                  <c:v>4.5463397884194803E-2</c:v>
                </c:pt>
                <c:pt idx="7">
                  <c:v>0.10293183462706799</c:v>
                </c:pt>
                <c:pt idx="8">
                  <c:v>4.4543546788178297E-2</c:v>
                </c:pt>
                <c:pt idx="9">
                  <c:v>9.5639162401153693E-2</c:v>
                </c:pt>
                <c:pt idx="10">
                  <c:v>3.00794247374499E-2</c:v>
                </c:pt>
                <c:pt idx="11">
                  <c:v>0.10538288704710901</c:v>
                </c:pt>
                <c:pt idx="12">
                  <c:v>2.7724885205644801E-2</c:v>
                </c:pt>
                <c:pt idx="28">
                  <c:v>2.4016207968108199E-2</c:v>
                </c:pt>
                <c:pt idx="30">
                  <c:v>0.12653412852816501</c:v>
                </c:pt>
                <c:pt idx="31">
                  <c:v>3.4786896818932399E-2</c:v>
                </c:pt>
                <c:pt idx="32">
                  <c:v>5.04335454776157E-2</c:v>
                </c:pt>
                <c:pt idx="33">
                  <c:v>9.6840712231762202E-2</c:v>
                </c:pt>
                <c:pt idx="35">
                  <c:v>6.5041528765672305E-2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0-4C35-AD08-48A3113BFA5D}"/>
            </c:ext>
          </c:extLst>
        </c:ser>
        <c:ser>
          <c:idx val="0"/>
          <c:order val="1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envelope'!$W$2:$W$37</c:f>
              <c:numCache>
                <c:formatCode>General</c:formatCode>
                <c:ptCount val="36"/>
                <c:pt idx="0">
                  <c:v>0.41927640072245398</c:v>
                </c:pt>
                <c:pt idx="1">
                  <c:v>0.20568921240475099</c:v>
                </c:pt>
                <c:pt idx="2">
                  <c:v>0.64777887394095901</c:v>
                </c:pt>
                <c:pt idx="3">
                  <c:v>0.35766654738860698</c:v>
                </c:pt>
                <c:pt idx="4">
                  <c:v>0.18739975134602699</c:v>
                </c:pt>
                <c:pt idx="5">
                  <c:v>0.20701756688990799</c:v>
                </c:pt>
                <c:pt idx="6">
                  <c:v>0.25075332859211602</c:v>
                </c:pt>
                <c:pt idx="7">
                  <c:v>0.41172733850827198</c:v>
                </c:pt>
                <c:pt idx="8">
                  <c:v>0.17817418715271299</c:v>
                </c:pt>
                <c:pt idx="9">
                  <c:v>0.382556649604614</c:v>
                </c:pt>
                <c:pt idx="10">
                  <c:v>0.120317698949799</c:v>
                </c:pt>
                <c:pt idx="11">
                  <c:v>0.42153154818843802</c:v>
                </c:pt>
                <c:pt idx="12">
                  <c:v>0.110899540822579</c:v>
                </c:pt>
                <c:pt idx="13">
                  <c:v>8.9924460015169197E-2</c:v>
                </c:pt>
                <c:pt idx="15">
                  <c:v>8.9118018354809397E-2</c:v>
                </c:pt>
                <c:pt idx="16">
                  <c:v>4.3588035533449102E-2</c:v>
                </c:pt>
                <c:pt idx="17">
                  <c:v>4.5264926558627801E-2</c:v>
                </c:pt>
                <c:pt idx="18">
                  <c:v>9.8216553387208499E-2</c:v>
                </c:pt>
                <c:pt idx="19">
                  <c:v>6.4780702531506598E-2</c:v>
                </c:pt>
                <c:pt idx="20">
                  <c:v>4.2501950150423698E-2</c:v>
                </c:pt>
                <c:pt idx="23">
                  <c:v>2.7853920447008899E-2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0.14138370371945599</c:v>
                </c:pt>
                <c:pt idx="28">
                  <c:v>9.6064831872432796E-2</c:v>
                </c:pt>
                <c:pt idx="29">
                  <c:v>7.7688485677371896E-2</c:v>
                </c:pt>
                <c:pt idx="30">
                  <c:v>0.50613651411266203</c:v>
                </c:pt>
                <c:pt idx="31">
                  <c:v>0.206011803894672</c:v>
                </c:pt>
                <c:pt idx="32">
                  <c:v>0.201734181910463</c:v>
                </c:pt>
                <c:pt idx="33">
                  <c:v>0.38736284892704798</c:v>
                </c:pt>
                <c:pt idx="34">
                  <c:v>0.166679896852063</c:v>
                </c:pt>
                <c:pt idx="35">
                  <c:v>0.260166115062689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40-4C35-AD08-48A3113BFA5D}"/>
            </c:ext>
          </c:extLst>
        </c:ser>
        <c:ser>
          <c:idx val="2"/>
          <c:order val="2"/>
          <c:tx>
            <c:v>ch4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envelope'!$X$2:$X$37</c:f>
              <c:numCache>
                <c:formatCode>General</c:formatCode>
                <c:ptCount val="36"/>
                <c:pt idx="0">
                  <c:v>1.6771056028898099</c:v>
                </c:pt>
                <c:pt idx="1">
                  <c:v>0.82275684961900697</c:v>
                </c:pt>
                <c:pt idx="2">
                  <c:v>2.5911154957638298</c:v>
                </c:pt>
                <c:pt idx="3">
                  <c:v>1.4306661895544299</c:v>
                </c:pt>
                <c:pt idx="4">
                  <c:v>0.74959900538411095</c:v>
                </c:pt>
                <c:pt idx="5">
                  <c:v>0.82807026755963298</c:v>
                </c:pt>
                <c:pt idx="6">
                  <c:v>1.0030133143684601</c:v>
                </c:pt>
                <c:pt idx="7">
                  <c:v>1.6469093540330899</c:v>
                </c:pt>
                <c:pt idx="8">
                  <c:v>0.71269674861085297</c:v>
                </c:pt>
                <c:pt idx="9">
                  <c:v>1.53022659841845</c:v>
                </c:pt>
                <c:pt idx="10">
                  <c:v>0.48127079579919901</c:v>
                </c:pt>
                <c:pt idx="11">
                  <c:v>1.6861261927537501</c:v>
                </c:pt>
                <c:pt idx="12">
                  <c:v>0.44359816329031698</c:v>
                </c:pt>
                <c:pt idx="13">
                  <c:v>0.35969784006067601</c:v>
                </c:pt>
                <c:pt idx="14">
                  <c:v>0.175317651341791</c:v>
                </c:pt>
                <c:pt idx="15">
                  <c:v>0.35647207341923698</c:v>
                </c:pt>
                <c:pt idx="16">
                  <c:v>0.17435214213379599</c:v>
                </c:pt>
                <c:pt idx="17">
                  <c:v>0.18105970623451101</c:v>
                </c:pt>
                <c:pt idx="18">
                  <c:v>0.392866213548834</c:v>
                </c:pt>
                <c:pt idx="19">
                  <c:v>0.259122810126026</c:v>
                </c:pt>
                <c:pt idx="20">
                  <c:v>0.17000780060169399</c:v>
                </c:pt>
                <c:pt idx="21">
                  <c:v>8.56390953438151E-2</c:v>
                </c:pt>
                <c:pt idx="22">
                  <c:v>8.5713069200916994E-2</c:v>
                </c:pt>
                <c:pt idx="23">
                  <c:v>0.111415681788035</c:v>
                </c:pt>
                <c:pt idx="24">
                  <c:v>0.22405081109390301</c:v>
                </c:pt>
                <c:pt idx="25">
                  <c:v>0.174252813606527</c:v>
                </c:pt>
                <c:pt idx="26">
                  <c:v>0.371166958187158</c:v>
                </c:pt>
                <c:pt idx="27">
                  <c:v>0.56553481487782498</c:v>
                </c:pt>
                <c:pt idx="28">
                  <c:v>0.38425932748973102</c:v>
                </c:pt>
                <c:pt idx="29">
                  <c:v>0.31075394270948697</c:v>
                </c:pt>
                <c:pt idx="30">
                  <c:v>2.0245460564506401</c:v>
                </c:pt>
                <c:pt idx="31">
                  <c:v>0.82404721557868799</c:v>
                </c:pt>
                <c:pt idx="32">
                  <c:v>0.80693672764185198</c:v>
                </c:pt>
                <c:pt idx="33">
                  <c:v>1.5494513957081899</c:v>
                </c:pt>
                <c:pt idx="34">
                  <c:v>0.66671958740825399</c:v>
                </c:pt>
                <c:pt idx="35">
                  <c:v>1.04066446025075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240-4C35-AD08-48A3113BFA5D}"/>
            </c:ext>
          </c:extLst>
        </c:ser>
        <c:ser>
          <c:idx val="3"/>
          <c:order val="3"/>
          <c:tx>
            <c:v>ch3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envelope'!$Y$2:$Y$37</c:f>
              <c:numCache>
                <c:formatCode>General</c:formatCode>
                <c:ptCount val="36"/>
                <c:pt idx="0">
                  <c:v>6.7084224115592699</c:v>
                </c:pt>
                <c:pt idx="1">
                  <c:v>3.2910273984760301</c:v>
                </c:pt>
                <c:pt idx="2">
                  <c:v>10.3644619830553</c:v>
                </c:pt>
                <c:pt idx="3">
                  <c:v>5.7226647582177197</c:v>
                </c:pt>
                <c:pt idx="4">
                  <c:v>2.9983960215364398</c:v>
                </c:pt>
                <c:pt idx="5">
                  <c:v>3.3122810702385301</c:v>
                </c:pt>
                <c:pt idx="6">
                  <c:v>4.0120532574738599</c:v>
                </c:pt>
                <c:pt idx="7">
                  <c:v>6.5876374161323596</c:v>
                </c:pt>
                <c:pt idx="8">
                  <c:v>2.8507869944434101</c:v>
                </c:pt>
                <c:pt idx="9">
                  <c:v>6.1209063936738302</c:v>
                </c:pt>
                <c:pt idx="10">
                  <c:v>1.9250831831967901</c:v>
                </c:pt>
                <c:pt idx="11">
                  <c:v>6.7445047710150003</c:v>
                </c:pt>
                <c:pt idx="12">
                  <c:v>1.7743926531612599</c:v>
                </c:pt>
                <c:pt idx="13">
                  <c:v>1.4387913602427</c:v>
                </c:pt>
                <c:pt idx="14">
                  <c:v>0.70127060536716501</c:v>
                </c:pt>
                <c:pt idx="15">
                  <c:v>1.4258882936769499</c:v>
                </c:pt>
                <c:pt idx="16">
                  <c:v>0.69740856853518496</c:v>
                </c:pt>
                <c:pt idx="17">
                  <c:v>0.72423882493804503</c:v>
                </c:pt>
                <c:pt idx="18">
                  <c:v>1.57146485419533</c:v>
                </c:pt>
                <c:pt idx="19">
                  <c:v>1.0364912405041</c:v>
                </c:pt>
                <c:pt idx="20">
                  <c:v>0.68003120240677895</c:v>
                </c:pt>
                <c:pt idx="21">
                  <c:v>0.34626724490363803</c:v>
                </c:pt>
                <c:pt idx="22">
                  <c:v>0.346074787752647</c:v>
                </c:pt>
                <c:pt idx="23">
                  <c:v>0.445662727152142</c:v>
                </c:pt>
                <c:pt idx="24">
                  <c:v>0.89620324437561405</c:v>
                </c:pt>
                <c:pt idx="25">
                  <c:v>0.69701125442610801</c:v>
                </c:pt>
                <c:pt idx="26">
                  <c:v>1.48466783274863</c:v>
                </c:pt>
                <c:pt idx="27">
                  <c:v>2.2621392595112999</c:v>
                </c:pt>
                <c:pt idx="28">
                  <c:v>1.5370373099589201</c:v>
                </c:pt>
                <c:pt idx="29">
                  <c:v>1.2430157708379499</c:v>
                </c:pt>
                <c:pt idx="30">
                  <c:v>8.0981842258025907</c:v>
                </c:pt>
                <c:pt idx="31">
                  <c:v>3.2961888623147502</c:v>
                </c:pt>
                <c:pt idx="32">
                  <c:v>3.2277469105674101</c:v>
                </c:pt>
                <c:pt idx="33">
                  <c:v>6.19780558283278</c:v>
                </c:pt>
                <c:pt idx="34">
                  <c:v>2.6668783496330102</c:v>
                </c:pt>
                <c:pt idx="35">
                  <c:v>4.1626578410030204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240-4C35-AD08-48A3113BFA5D}"/>
            </c:ext>
          </c:extLst>
        </c:ser>
        <c:ser>
          <c:idx val="4"/>
          <c:order val="4"/>
          <c:tx>
            <c:v>ch2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envelope'!$Z$2:$Z$37</c:f>
              <c:numCache>
                <c:formatCode>General</c:formatCode>
                <c:ptCount val="36"/>
                <c:pt idx="0">
                  <c:v>26.833689646237001</c:v>
                </c:pt>
                <c:pt idx="1">
                  <c:v>13.164109593904101</c:v>
                </c:pt>
                <c:pt idx="2">
                  <c:v>41.457847932221398</c:v>
                </c:pt>
                <c:pt idx="3">
                  <c:v>22.890659032870801</c:v>
                </c:pt>
                <c:pt idx="4">
                  <c:v>11.993584086145701</c:v>
                </c:pt>
                <c:pt idx="5">
                  <c:v>13.249124280954099</c:v>
                </c:pt>
                <c:pt idx="6">
                  <c:v>16.0482130298954</c:v>
                </c:pt>
                <c:pt idx="7">
                  <c:v>26.3505496645294</c:v>
                </c:pt>
                <c:pt idx="8">
                  <c:v>11.4031479777736</c:v>
                </c:pt>
                <c:pt idx="9">
                  <c:v>24.483625574695299</c:v>
                </c:pt>
                <c:pt idx="10">
                  <c:v>7.7003327327871904</c:v>
                </c:pt>
                <c:pt idx="11">
                  <c:v>26.978019084060001</c:v>
                </c:pt>
                <c:pt idx="12">
                  <c:v>7.0975706126450699</c:v>
                </c:pt>
                <c:pt idx="13">
                  <c:v>5.7551654409708304</c:v>
                </c:pt>
                <c:pt idx="14">
                  <c:v>2.80508242146866</c:v>
                </c:pt>
                <c:pt idx="15">
                  <c:v>5.7035531747077997</c:v>
                </c:pt>
                <c:pt idx="16">
                  <c:v>2.7896342741407398</c:v>
                </c:pt>
                <c:pt idx="17">
                  <c:v>2.8969552997521801</c:v>
                </c:pt>
                <c:pt idx="18">
                  <c:v>6.2858594167813404</c:v>
                </c:pt>
                <c:pt idx="19">
                  <c:v>4.1459649620164196</c:v>
                </c:pt>
                <c:pt idx="20">
                  <c:v>2.72012480962711</c:v>
                </c:pt>
                <c:pt idx="21">
                  <c:v>1.3850689796145501</c:v>
                </c:pt>
                <c:pt idx="22">
                  <c:v>1.38429915101059</c:v>
                </c:pt>
                <c:pt idx="23">
                  <c:v>1.78265090860857</c:v>
                </c:pt>
                <c:pt idx="24">
                  <c:v>3.58481297750245</c:v>
                </c:pt>
                <c:pt idx="25">
                  <c:v>2.7880450177044298</c:v>
                </c:pt>
                <c:pt idx="26">
                  <c:v>5.9386713309945298</c:v>
                </c:pt>
                <c:pt idx="27">
                  <c:v>9.0485570380452103</c:v>
                </c:pt>
                <c:pt idx="28">
                  <c:v>6.1481492398356998</c:v>
                </c:pt>
                <c:pt idx="29">
                  <c:v>4.9720630833517996</c:v>
                </c:pt>
                <c:pt idx="30">
                  <c:v>32.392736903210299</c:v>
                </c:pt>
                <c:pt idx="31">
                  <c:v>13.184755449259001</c:v>
                </c:pt>
                <c:pt idx="32">
                  <c:v>12.9109876422696</c:v>
                </c:pt>
                <c:pt idx="33">
                  <c:v>24.791222331331099</c:v>
                </c:pt>
                <c:pt idx="34">
                  <c:v>10.667513398532</c:v>
                </c:pt>
                <c:pt idx="35">
                  <c:v>16.650631364012099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240-4C35-AD08-48A3113BFA5D}"/>
            </c:ext>
          </c:extLst>
        </c:ser>
        <c:ser>
          <c:idx val="5"/>
          <c:order val="5"/>
          <c:tx>
            <c:v>ch1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envelope'!$AA$2:$AA$37</c:f>
              <c:numCache>
                <c:formatCode>General</c:formatCode>
                <c:ptCount val="36"/>
                <c:pt idx="0">
                  <c:v>107.33475858494801</c:v>
                </c:pt>
                <c:pt idx="1">
                  <c:v>52.656438375616403</c:v>
                </c:pt>
                <c:pt idx="2">
                  <c:v>165.831391728885</c:v>
                </c:pt>
                <c:pt idx="3">
                  <c:v>91.562636131483501</c:v>
                </c:pt>
                <c:pt idx="4">
                  <c:v>47.974336344583101</c:v>
                </c:pt>
                <c:pt idx="5">
                  <c:v>52.996497123816503</c:v>
                </c:pt>
                <c:pt idx="6">
                  <c:v>64.192852119581701</c:v>
                </c:pt>
                <c:pt idx="7">
                  <c:v>105.402198658117</c:v>
                </c:pt>
                <c:pt idx="8">
                  <c:v>45.612591911094597</c:v>
                </c:pt>
                <c:pt idx="9">
                  <c:v>97.934502298781396</c:v>
                </c:pt>
                <c:pt idx="10">
                  <c:v>30.801330931148701</c:v>
                </c:pt>
                <c:pt idx="11">
                  <c:v>107.91207633624001</c:v>
                </c:pt>
                <c:pt idx="12">
                  <c:v>28.390282450580202</c:v>
                </c:pt>
                <c:pt idx="13">
                  <c:v>23.0206617638833</c:v>
                </c:pt>
                <c:pt idx="14">
                  <c:v>11.220329685874599</c:v>
                </c:pt>
                <c:pt idx="15">
                  <c:v>22.814212698831199</c:v>
                </c:pt>
                <c:pt idx="16">
                  <c:v>11.158537096562901</c:v>
                </c:pt>
                <c:pt idx="17">
                  <c:v>11.587821199008699</c:v>
                </c:pt>
                <c:pt idx="18">
                  <c:v>25.143437667125301</c:v>
                </c:pt>
                <c:pt idx="19">
                  <c:v>16.5838598480656</c:v>
                </c:pt>
                <c:pt idx="20">
                  <c:v>10.880499238508399</c:v>
                </c:pt>
                <c:pt idx="21">
                  <c:v>5.5402759184582102</c:v>
                </c:pt>
                <c:pt idx="22">
                  <c:v>5.5371966040423599</c:v>
                </c:pt>
                <c:pt idx="23">
                  <c:v>7.13060363443428</c:v>
                </c:pt>
                <c:pt idx="24">
                  <c:v>14.3392519100098</c:v>
                </c:pt>
                <c:pt idx="25">
                  <c:v>11.1521800708177</c:v>
                </c:pt>
                <c:pt idx="26">
                  <c:v>23.754685323978102</c:v>
                </c:pt>
                <c:pt idx="27">
                  <c:v>36.194228152180798</c:v>
                </c:pt>
                <c:pt idx="28">
                  <c:v>24.592596959342799</c:v>
                </c:pt>
                <c:pt idx="29">
                  <c:v>19.888252333407198</c:v>
                </c:pt>
                <c:pt idx="30">
                  <c:v>129.570947612841</c:v>
                </c:pt>
                <c:pt idx="31">
                  <c:v>52.739021797036003</c:v>
                </c:pt>
                <c:pt idx="32">
                  <c:v>51.643950569078498</c:v>
                </c:pt>
                <c:pt idx="33">
                  <c:v>99.164889325324495</c:v>
                </c:pt>
                <c:pt idx="34">
                  <c:v>42.670053594128298</c:v>
                </c:pt>
                <c:pt idx="35">
                  <c:v>66.602525456048397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240-4C35-AD08-48A3113BF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Linear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0"/>
          <c:order val="0"/>
          <c:tx>
            <c:strRef>
              <c:f>validation!$BJ$18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validation!$BJ$19:$BJ$23</c:f>
              <c:numCache>
                <c:formatCode>0.00</c:formatCode>
                <c:ptCount val="5"/>
                <c:pt idx="0">
                  <c:v>169.89940980089071</c:v>
                </c:pt>
                <c:pt idx="1">
                  <c:v>97.695819187166947</c:v>
                </c:pt>
                <c:pt idx="2">
                  <c:v>42.561160235106172</c:v>
                </c:pt>
                <c:pt idx="3">
                  <c:v>35.798757291920879</c:v>
                </c:pt>
                <c:pt idx="4">
                  <c:v>92.469075477977853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5-43BD-B4CB-7FC317EF7AE1}"/>
            </c:ext>
          </c:extLst>
        </c:ser>
        <c:ser>
          <c:idx val="1"/>
          <c:order val="1"/>
          <c:tx>
            <c:strRef>
              <c:f>validation!$BI$18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validation!$BI$19:$BI$23</c:f>
              <c:numCache>
                <c:formatCode>0.00</c:formatCode>
                <c:ptCount val="5"/>
                <c:pt idx="0">
                  <c:v>169.90196470395239</c:v>
                </c:pt>
                <c:pt idx="1">
                  <c:v>97.695476093415976</c:v>
                </c:pt>
                <c:pt idx="2">
                  <c:v>42.558604231101945</c:v>
                </c:pt>
                <c:pt idx="3">
                  <c:v>36.351979788789492</c:v>
                </c:pt>
                <c:pt idx="4">
                  <c:v>92.468522601215994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25-43BD-B4CB-7FC317EF7AE1}"/>
            </c:ext>
          </c:extLst>
        </c:ser>
        <c:ser>
          <c:idx val="2"/>
          <c:order val="2"/>
          <c:tx>
            <c:strRef>
              <c:f>validation!$BH$18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validation!$BH$19:$BH$23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97.695476093415976</c:v>
                </c:pt>
                <c:pt idx="2">
                  <c:v>42.558604231101967</c:v>
                </c:pt>
                <c:pt idx="3">
                  <c:v>36.351979788789485</c:v>
                </c:pt>
                <c:pt idx="4">
                  <c:v>92.468522601215938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25-43BD-B4CB-7FC317EF7AE1}"/>
            </c:ext>
          </c:extLst>
        </c:ser>
        <c:ser>
          <c:idx val="3"/>
          <c:order val="3"/>
          <c:tx>
            <c:strRef>
              <c:f>validation!$BG$18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validation!$B$19:$B$23</c:f>
              <c:numCache>
                <c:formatCode>General</c:formatCode>
                <c:ptCount val="5"/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validation!$BG$19:$BG$23</c:f>
              <c:numCache>
                <c:formatCode>0.00</c:formatCode>
                <c:ptCount val="5"/>
                <c:pt idx="0">
                  <c:v>169.90196470395313</c:v>
                </c:pt>
                <c:pt idx="1">
                  <c:v>97.695476093415863</c:v>
                </c:pt>
                <c:pt idx="2">
                  <c:v>42.55860423110196</c:v>
                </c:pt>
                <c:pt idx="3">
                  <c:v>36.351979788789492</c:v>
                </c:pt>
                <c:pt idx="4">
                  <c:v>92.468522601216051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E25-43BD-B4CB-7FC317EF7AE1}"/>
            </c:ext>
          </c:extLst>
        </c:ser>
        <c:ser>
          <c:idx val="5"/>
          <c:order val="4"/>
          <c:tx>
            <c:v>Ch5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validation!$BK$19:$BK$23</c:f>
              <c:numCache>
                <c:formatCode>0.00</c:formatCode>
                <c:ptCount val="5"/>
                <c:pt idx="0">
                  <c:v>166.79810978703136</c:v>
                </c:pt>
                <c:pt idx="1">
                  <c:v>97.20996129768622</c:v>
                </c:pt>
                <c:pt idx="2">
                  <c:v>44.072453848905766</c:v>
                </c:pt>
                <c:pt idx="3">
                  <c:v>33.411000000000001</c:v>
                </c:pt>
                <c:pt idx="4">
                  <c:v>92.172546755566742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E25-43BD-B4CB-7FC317EF7AE1}"/>
            </c:ext>
          </c:extLst>
        </c:ser>
        <c:ser>
          <c:idx val="6"/>
          <c:order val="5"/>
          <c:tx>
            <c:v>Ch6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validation!$BL$19:$BL$23</c:f>
              <c:numCache>
                <c:formatCode>General</c:formatCode>
                <c:ptCount val="5"/>
                <c:pt idx="0">
                  <c:v>133.37410261117151</c:v>
                </c:pt>
                <c:pt idx="1">
                  <c:v>94.751502888379235</c:v>
                </c:pt>
                <c:pt idx="2">
                  <c:v>59.341999999999999</c:v>
                </c:pt>
                <c:pt idx="3">
                  <c:v>59.341999999999999</c:v>
                </c:pt>
                <c:pt idx="4">
                  <c:v>91.955652593155037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E25-43BD-B4CB-7FC317EF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8838153210983952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Calculated</a:t>
            </a:r>
            <a:r>
              <a:rPr lang="en-US" sz="1000" baseline="0"/>
              <a:t> vs Measured Dmax - Power Max Amp</a:t>
            </a:r>
            <a:endParaRPr lang="en-US" sz="1000"/>
          </a:p>
        </c:rich>
      </c:tx>
      <c:layout>
        <c:manualLayout>
          <c:xMode val="edge"/>
          <c:yMode val="edge"/>
          <c:x val="0.15338224478320475"/>
          <c:y val="2.9332044351106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40681524526533"/>
          <c:y val="0.19474530778025054"/>
          <c:w val="0.77985741863453628"/>
          <c:h val="0.49277966487561925"/>
        </c:manualLayout>
      </c:layout>
      <c:scatterChart>
        <c:scatterStyle val="smoothMarker"/>
        <c:varyColors val="0"/>
        <c:ser>
          <c:idx val="4"/>
          <c:order val="6"/>
          <c:tx>
            <c:v>1:1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validation!$B$35:$B$36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validation!$C$35:$C$36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scatterChart>
        <c:scatterStyle val="lineMarker"/>
        <c:varyColors val="0"/>
        <c:ser>
          <c:idx val="3"/>
          <c:order val="0"/>
          <c:tx>
            <c:strRef>
              <c:f>validation!$BP$18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-8.5033233635177334E-3"/>
                </c:manualLayout>
              </c:layout>
              <c:numFmt formatCode="General" sourceLinked="0"/>
              <c:spPr>
                <a:solidFill>
                  <a:schemeClr val="accent4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validation!$BP$19:$BP$23</c:f>
              <c:numCache>
                <c:formatCode>0.00</c:formatCode>
                <c:ptCount val="5"/>
                <c:pt idx="0">
                  <c:v>148.54443363082297</c:v>
                </c:pt>
                <c:pt idx="1">
                  <c:v>99.694232599765229</c:v>
                </c:pt>
                <c:pt idx="2">
                  <c:v>37.892011567978848</c:v>
                </c:pt>
                <c:pt idx="3">
                  <c:v>24.277495488594788</c:v>
                </c:pt>
                <c:pt idx="4">
                  <c:v>95.357755524747361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B81-4B72-AB57-760E8D33B874}"/>
            </c:ext>
          </c:extLst>
        </c:ser>
        <c:ser>
          <c:idx val="2"/>
          <c:order val="1"/>
          <c:tx>
            <c:strRef>
              <c:f>validation!$BQ$18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09642416751989"/>
                  <c:y val="6.6921933539328529E-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validation!$BQ$19:$BQ$23</c:f>
              <c:numCache>
                <c:formatCode>0.00</c:formatCode>
                <c:ptCount val="5"/>
                <c:pt idx="0">
                  <c:v>148.55088810395125</c:v>
                </c:pt>
                <c:pt idx="1">
                  <c:v>99.698564460136211</c:v>
                </c:pt>
                <c:pt idx="2">
                  <c:v>37.89365803135999</c:v>
                </c:pt>
                <c:pt idx="3">
                  <c:v>24.278550381318947</c:v>
                </c:pt>
                <c:pt idx="4">
                  <c:v>95.361898958840129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81-4B72-AB57-760E8D33B874}"/>
            </c:ext>
          </c:extLst>
        </c:ser>
        <c:ser>
          <c:idx val="1"/>
          <c:order val="2"/>
          <c:tx>
            <c:strRef>
              <c:f>validation!$BR$18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9168850529092583"/>
                  <c:y val="-7.9738288216205877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validation!$BR$19:$BR$23</c:f>
              <c:numCache>
                <c:formatCode>0.00</c:formatCode>
                <c:ptCount val="5"/>
                <c:pt idx="0">
                  <c:v>148.56416624831871</c:v>
                </c:pt>
                <c:pt idx="1">
                  <c:v>99.707475964800153</c:v>
                </c:pt>
                <c:pt idx="2">
                  <c:v>37.897045136401111</c:v>
                </c:pt>
                <c:pt idx="3">
                  <c:v>24.280720506998595</c:v>
                </c:pt>
                <c:pt idx="4">
                  <c:v>95.37042283289928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1-4B72-AB57-760E8D33B874}"/>
            </c:ext>
          </c:extLst>
        </c:ser>
        <c:ser>
          <c:idx val="0"/>
          <c:order val="3"/>
          <c:tx>
            <c:strRef>
              <c:f>validation!$BS$18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validation!$BN$19:$BN$23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validation!$BS$19:$BS$23</c:f>
              <c:numCache>
                <c:formatCode>0.00</c:formatCode>
                <c:ptCount val="5"/>
                <c:pt idx="0">
                  <c:v>148.46770308891954</c:v>
                </c:pt>
                <c:pt idx="1">
                  <c:v>99.679486561846588</c:v>
                </c:pt>
                <c:pt idx="2">
                  <c:v>37.920313348849398</c:v>
                </c:pt>
                <c:pt idx="3">
                  <c:v>22.760195936132316</c:v>
                </c:pt>
                <c:pt idx="4">
                  <c:v>95.347571958453543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1-4B72-AB57-760E8D33B874}"/>
            </c:ext>
          </c:extLst>
        </c:ser>
        <c:ser>
          <c:idx val="5"/>
          <c:order val="4"/>
          <c:tx>
            <c:strRef>
              <c:f>validation!$BT$18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960167056198217"/>
                  <c:y val="0.23685477338603642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validation!$BT$19:$BT$23</c:f>
              <c:numCache>
                <c:formatCode>0.00</c:formatCode>
                <c:ptCount val="5"/>
                <c:pt idx="0">
                  <c:v>150.49778259856092</c:v>
                </c:pt>
                <c:pt idx="1">
                  <c:v>100.08569989084388</c:v>
                </c:pt>
                <c:pt idx="2">
                  <c:v>37.206163654402346</c:v>
                </c:pt>
                <c:pt idx="3">
                  <c:v>0</c:v>
                </c:pt>
                <c:pt idx="4">
                  <c:v>95.634608274952342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81-4B72-AB57-760E8D33B874}"/>
            </c:ext>
          </c:extLst>
        </c:ser>
        <c:ser>
          <c:idx val="6"/>
          <c:order val="5"/>
          <c:tx>
            <c:strRef>
              <c:f>validation!$BU$18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3920536977459005"/>
                  <c:y val="0.28283547494650779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validation!$BE$19:$BE$23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validation!$BU$19:$BU$23</c:f>
              <c:numCache>
                <c:formatCode>0.00</c:formatCode>
                <c:ptCount val="5"/>
                <c:pt idx="0">
                  <c:v>120.65882558744174</c:v>
                </c:pt>
                <c:pt idx="1">
                  <c:v>94.384158724984758</c:v>
                </c:pt>
                <c:pt idx="2">
                  <c:v>0</c:v>
                </c:pt>
                <c:pt idx="3">
                  <c:v>0</c:v>
                </c:pt>
                <c:pt idx="4">
                  <c:v>91.834151906724713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81-4B72-AB57-760E8D33B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576063"/>
        <c:axId val="1395555903"/>
      </c:scatterChart>
      <c:valAx>
        <c:axId val="139557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55903"/>
        <c:crosses val="autoZero"/>
        <c:crossBetween val="midCat"/>
      </c:valAx>
      <c:valAx>
        <c:axId val="1395555903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57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ayout>
        <c:manualLayout>
          <c:xMode val="edge"/>
          <c:yMode val="edge"/>
          <c:x val="9.4642433766248361E-3"/>
          <c:y val="0.84588534767051127"/>
          <c:w val="0.79042307261402944"/>
          <c:h val="0.125015878567316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Linear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5258319916485"/>
          <c:y val="0.17381898388579803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tx>
            <c:strRef>
              <c:f>validation!$CE$18</c:f>
              <c:strCache>
                <c:ptCount val="1"/>
                <c:pt idx="0">
                  <c:v>Ch6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C2-4C9F-AB90-A94DE6202D24}"/>
            </c:ext>
          </c:extLst>
        </c:ser>
        <c:ser>
          <c:idx val="0"/>
          <c:order val="1"/>
          <c:tx>
            <c:strRef>
              <c:f>validation!$CD$18</c:f>
              <c:strCache>
                <c:ptCount val="1"/>
                <c:pt idx="0">
                  <c:v>Ch5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C2-4C9F-AB90-A94DE6202D24}"/>
            </c:ext>
          </c:extLst>
        </c:ser>
        <c:ser>
          <c:idx val="2"/>
          <c:order val="2"/>
          <c:tx>
            <c:strRef>
              <c:f>validation!$CC$18</c:f>
              <c:strCache>
                <c:ptCount val="1"/>
                <c:pt idx="0">
                  <c:v>Ch4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C2-4C9F-AB90-A94DE6202D24}"/>
            </c:ext>
          </c:extLst>
        </c:ser>
        <c:ser>
          <c:idx val="3"/>
          <c:order val="3"/>
          <c:tx>
            <c:strRef>
              <c:f>validation!$CB$18</c:f>
              <c:strCache>
                <c:ptCount val="1"/>
                <c:pt idx="0">
                  <c:v>Ch3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C2-4C9F-AB90-A94DE6202D24}"/>
            </c:ext>
          </c:extLst>
        </c:ser>
        <c:ser>
          <c:idx val="4"/>
          <c:order val="4"/>
          <c:tx>
            <c:strRef>
              <c:f>validation!$CA$18</c:f>
              <c:strCache>
                <c:ptCount val="1"/>
                <c:pt idx="0">
                  <c:v>Ch2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2C2-4C9F-AB90-A94DE6202D24}"/>
            </c:ext>
          </c:extLst>
        </c:ser>
        <c:ser>
          <c:idx val="5"/>
          <c:order val="5"/>
          <c:tx>
            <c:strRef>
              <c:f>validation!$BZ$18</c:f>
              <c:strCache>
                <c:ptCount val="1"/>
                <c:pt idx="0">
                  <c:v>Ch1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2C2-4C9F-AB90-A94DE6202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</a:t>
            </a:r>
            <a:r>
              <a:rPr lang="en-US" baseline="0"/>
              <a:t>Amplitude by Channel v/s Max Size -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56-4E2B-A503-C9C9EB7F7CF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56-4E2B-A503-C9C9EB7F7CF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56-4E2B-A503-C9C9EB7F7CF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56-4E2B-A503-C9C9EB7F7CF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2218731027499502E-2"/>
                  <c:y val="-1.8169360007264129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E56-4E2B-A503-C9C9EB7F7CF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E56-4E2B-A503-C9C9EB7F7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Amplitude by Channel v/s Max Size - Log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382520993456"/>
          <c:y val="0.1598240740659114"/>
          <c:w val="0.83458344584749711"/>
          <c:h val="0.63735772576324046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3.192379480330651E-2"/>
                  <c:y val="-0.1014291557829612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envelope'!$O$2:$O$37</c:f>
              <c:numCache>
                <c:formatCode>General</c:formatCode>
                <c:ptCount val="36"/>
                <c:pt idx="0">
                  <c:v>6.4069250048013796E-2</c:v>
                </c:pt>
                <c:pt idx="1">
                  <c:v>5.1422303616638097E-2</c:v>
                </c:pt>
                <c:pt idx="2">
                  <c:v>9.4968206718967205E-2</c:v>
                </c:pt>
                <c:pt idx="3">
                  <c:v>5.6005964760614799E-2</c:v>
                </c:pt>
                <c:pt idx="4">
                  <c:v>4.6849938207403699E-2</c:v>
                </c:pt>
                <c:pt idx="5">
                  <c:v>3.9406083818281298E-2</c:v>
                </c:pt>
                <c:pt idx="6">
                  <c:v>4.5463397559226001E-2</c:v>
                </c:pt>
                <c:pt idx="7">
                  <c:v>9.5743592288179996E-2</c:v>
                </c:pt>
                <c:pt idx="8">
                  <c:v>3.8585276164057498E-2</c:v>
                </c:pt>
                <c:pt idx="9">
                  <c:v>9.5639162709086803E-2</c:v>
                </c:pt>
                <c:pt idx="10">
                  <c:v>2.85197693561322E-2</c:v>
                </c:pt>
                <c:pt idx="11">
                  <c:v>0.10538288717717199</c:v>
                </c:pt>
                <c:pt idx="12">
                  <c:v>2.77248857374158E-2</c:v>
                </c:pt>
                <c:pt idx="28">
                  <c:v>2.4016207968108199E-2</c:v>
                </c:pt>
                <c:pt idx="30">
                  <c:v>9.5477972807156197E-2</c:v>
                </c:pt>
                <c:pt idx="31">
                  <c:v>2.8717702047744001E-2</c:v>
                </c:pt>
                <c:pt idx="32">
                  <c:v>4.2099641834455401E-2</c:v>
                </c:pt>
                <c:pt idx="33">
                  <c:v>6.9669475601588704E-2</c:v>
                </c:pt>
                <c:pt idx="35">
                  <c:v>6.2038722824561902E-2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F-4BE0-8FBE-B5945392D836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8.8358879147860166E-3"/>
                  <c:y val="-6.4659348467524316E-2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envelope'!$P$2:$P$37</c:f>
              <c:numCache>
                <c:formatCode>General</c:formatCode>
                <c:ptCount val="36"/>
                <c:pt idx="0">
                  <c:v>0.17940701762775299</c:v>
                </c:pt>
                <c:pt idx="1">
                  <c:v>0.136504884052633</c:v>
                </c:pt>
                <c:pt idx="2">
                  <c:v>0.31788484763340902</c:v>
                </c:pt>
                <c:pt idx="3">
                  <c:v>0.16309275016740199</c:v>
                </c:pt>
                <c:pt idx="4">
                  <c:v>0.12535462962986799</c:v>
                </c:pt>
                <c:pt idx="5">
                  <c:v>0.15393753693111001</c:v>
                </c:pt>
                <c:pt idx="6">
                  <c:v>0.16338445100562901</c:v>
                </c:pt>
                <c:pt idx="7">
                  <c:v>0.18723147718286101</c:v>
                </c:pt>
                <c:pt idx="8">
                  <c:v>0.117415800187244</c:v>
                </c:pt>
                <c:pt idx="9">
                  <c:v>0.18581760283662399</c:v>
                </c:pt>
                <c:pt idx="10">
                  <c:v>0.101347429024516</c:v>
                </c:pt>
                <c:pt idx="11">
                  <c:v>0.15056990486005101</c:v>
                </c:pt>
                <c:pt idx="12">
                  <c:v>7.8677957752448305E-2</c:v>
                </c:pt>
                <c:pt idx="13">
                  <c:v>7.7959153032395798E-2</c:v>
                </c:pt>
                <c:pt idx="15">
                  <c:v>7.2703926665255297E-2</c:v>
                </c:pt>
                <c:pt idx="16">
                  <c:v>4.3588035701968897E-2</c:v>
                </c:pt>
                <c:pt idx="17">
                  <c:v>4.5264926352280903E-2</c:v>
                </c:pt>
                <c:pt idx="18">
                  <c:v>6.4224427234734496E-2</c:v>
                </c:pt>
                <c:pt idx="19">
                  <c:v>5.66060042990124E-2</c:v>
                </c:pt>
                <c:pt idx="20">
                  <c:v>4.2501949944915698E-2</c:v>
                </c:pt>
                <c:pt idx="23">
                  <c:v>2.7853920384742901E-2</c:v>
                </c:pt>
                <c:pt idx="24">
                  <c:v>5.6012702773475899E-2</c:v>
                </c:pt>
                <c:pt idx="25">
                  <c:v>4.3563203401631702E-2</c:v>
                </c:pt>
                <c:pt idx="26">
                  <c:v>9.2791739546789598E-2</c:v>
                </c:pt>
                <c:pt idx="27">
                  <c:v>8.2766257918429495E-2</c:v>
                </c:pt>
                <c:pt idx="28">
                  <c:v>6.1687066952672398E-2</c:v>
                </c:pt>
                <c:pt idx="29">
                  <c:v>6.6744949341475304E-2</c:v>
                </c:pt>
                <c:pt idx="30">
                  <c:v>0.192484405703403</c:v>
                </c:pt>
                <c:pt idx="31">
                  <c:v>0.11587567427319601</c:v>
                </c:pt>
                <c:pt idx="32">
                  <c:v>0.10745936765490099</c:v>
                </c:pt>
                <c:pt idx="33">
                  <c:v>0.21182245741774999</c:v>
                </c:pt>
                <c:pt idx="34">
                  <c:v>7.9120500982877304E-2</c:v>
                </c:pt>
                <c:pt idx="35">
                  <c:v>0.13350547172294899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5F-4BE0-8FBE-B5945392D83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9624995857340195E-2"/>
                  <c:y val="-2.0970105109486478E-2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envelope'!$Q$2:$Q$37</c:f>
              <c:numCache>
                <c:formatCode>General</c:formatCode>
                <c:ptCount val="36"/>
                <c:pt idx="0">
                  <c:v>0.59727911911144405</c:v>
                </c:pt>
                <c:pt idx="1">
                  <c:v>0.26754282688021702</c:v>
                </c:pt>
                <c:pt idx="2">
                  <c:v>0.78149567271952003</c:v>
                </c:pt>
                <c:pt idx="3">
                  <c:v>0.449858505678978</c:v>
                </c:pt>
                <c:pt idx="4">
                  <c:v>0.44063655773576799</c:v>
                </c:pt>
                <c:pt idx="5">
                  <c:v>0.46926879178815301</c:v>
                </c:pt>
                <c:pt idx="6">
                  <c:v>0.426009200925964</c:v>
                </c:pt>
                <c:pt idx="7">
                  <c:v>0.64667150537108198</c:v>
                </c:pt>
                <c:pt idx="8">
                  <c:v>0.46966320074897699</c:v>
                </c:pt>
                <c:pt idx="9">
                  <c:v>0.60536126077852104</c:v>
                </c:pt>
                <c:pt idx="10">
                  <c:v>0.24057369702033901</c:v>
                </c:pt>
                <c:pt idx="11">
                  <c:v>0.50129083006757003</c:v>
                </c:pt>
                <c:pt idx="12">
                  <c:v>0.26510584610390098</c:v>
                </c:pt>
                <c:pt idx="13">
                  <c:v>0.24135454645261201</c:v>
                </c:pt>
                <c:pt idx="14">
                  <c:v>0.12254395097085501</c:v>
                </c:pt>
                <c:pt idx="15">
                  <c:v>0.21382124817687001</c:v>
                </c:pt>
                <c:pt idx="16">
                  <c:v>0.13106034882425699</c:v>
                </c:pt>
                <c:pt idx="17">
                  <c:v>0.12707267062271299</c:v>
                </c:pt>
                <c:pt idx="18">
                  <c:v>0.22893530246709601</c:v>
                </c:pt>
                <c:pt idx="19">
                  <c:v>0.173305439270318</c:v>
                </c:pt>
                <c:pt idx="20">
                  <c:v>0.116374533955678</c:v>
                </c:pt>
                <c:pt idx="21">
                  <c:v>7.8663658425102104E-2</c:v>
                </c:pt>
                <c:pt idx="22">
                  <c:v>8.5713068849887802E-2</c:v>
                </c:pt>
                <c:pt idx="23">
                  <c:v>0.102227488893629</c:v>
                </c:pt>
                <c:pt idx="24">
                  <c:v>0.17662425401843199</c:v>
                </c:pt>
                <c:pt idx="25">
                  <c:v>0.14678489544762599</c:v>
                </c:pt>
                <c:pt idx="26">
                  <c:v>0.222368887754927</c:v>
                </c:pt>
                <c:pt idx="27">
                  <c:v>0.28137760228112102</c:v>
                </c:pt>
                <c:pt idx="28">
                  <c:v>0.19687478181427201</c:v>
                </c:pt>
                <c:pt idx="29">
                  <c:v>0.16107374150092801</c:v>
                </c:pt>
                <c:pt idx="30">
                  <c:v>0.54260603351381897</c:v>
                </c:pt>
                <c:pt idx="31">
                  <c:v>0.424330918118209</c:v>
                </c:pt>
                <c:pt idx="32">
                  <c:v>0.342981303210388</c:v>
                </c:pt>
                <c:pt idx="33">
                  <c:v>0.71876689058186105</c:v>
                </c:pt>
                <c:pt idx="34">
                  <c:v>0.25286216921415</c:v>
                </c:pt>
                <c:pt idx="35">
                  <c:v>0.41039439745539202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5F-4BE0-8FBE-B5945392D83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4.6294981352742307E-2"/>
                  <c:y val="-5.7355107502946645E-2"/>
                </c:manualLayout>
              </c:layout>
              <c:numFmt formatCode="General" sourceLinked="0"/>
              <c:spPr>
                <a:solidFill>
                  <a:schemeClr val="accent2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envelope'!$R$2:$R$37</c:f>
              <c:numCache>
                <c:formatCode>General</c:formatCode>
                <c:ptCount val="36"/>
                <c:pt idx="0">
                  <c:v>2.1218818406845701</c:v>
                </c:pt>
                <c:pt idx="1">
                  <c:v>0.98750358289623297</c:v>
                </c:pt>
                <c:pt idx="2">
                  <c:v>2.2740324054836099</c:v>
                </c:pt>
                <c:pt idx="3">
                  <c:v>1.61414237742101</c:v>
                </c:pt>
                <c:pt idx="4">
                  <c:v>1.4715502319528799</c:v>
                </c:pt>
                <c:pt idx="5">
                  <c:v>1.6679355265670801</c:v>
                </c:pt>
                <c:pt idx="6">
                  <c:v>1.2687679005852299</c:v>
                </c:pt>
                <c:pt idx="7">
                  <c:v>1.81287477386409</c:v>
                </c:pt>
                <c:pt idx="8">
                  <c:v>1.4945503386105301</c:v>
                </c:pt>
                <c:pt idx="9">
                  <c:v>1.2337579982911999</c:v>
                </c:pt>
                <c:pt idx="10">
                  <c:v>0.96229478808135804</c:v>
                </c:pt>
                <c:pt idx="11">
                  <c:v>1.0515823951961401</c:v>
                </c:pt>
                <c:pt idx="12">
                  <c:v>0.92664835919294097</c:v>
                </c:pt>
                <c:pt idx="13">
                  <c:v>0.62231226944989104</c:v>
                </c:pt>
                <c:pt idx="14">
                  <c:v>0.35900970208783201</c:v>
                </c:pt>
                <c:pt idx="15">
                  <c:v>0.60450240905165797</c:v>
                </c:pt>
                <c:pt idx="16">
                  <c:v>0.52424139529702896</c:v>
                </c:pt>
                <c:pt idx="17">
                  <c:v>0.43334728234498898</c:v>
                </c:pt>
                <c:pt idx="18">
                  <c:v>0.58198300914003198</c:v>
                </c:pt>
                <c:pt idx="19">
                  <c:v>0.56215790367475604</c:v>
                </c:pt>
                <c:pt idx="20">
                  <c:v>0.36853445483851999</c:v>
                </c:pt>
                <c:pt idx="21">
                  <c:v>0.286033381784213</c:v>
                </c:pt>
                <c:pt idx="22">
                  <c:v>0.28274257889141102</c:v>
                </c:pt>
                <c:pt idx="23">
                  <c:v>0.312084224737535</c:v>
                </c:pt>
                <c:pt idx="24">
                  <c:v>0.371998081424883</c:v>
                </c:pt>
                <c:pt idx="25">
                  <c:v>0.32808884276820199</c:v>
                </c:pt>
                <c:pt idx="26">
                  <c:v>0.58513216291286296</c:v>
                </c:pt>
                <c:pt idx="27">
                  <c:v>0.60837215584300797</c:v>
                </c:pt>
                <c:pt idx="28">
                  <c:v>0.46344710039377801</c:v>
                </c:pt>
                <c:pt idx="29">
                  <c:v>0.484952010213689</c:v>
                </c:pt>
                <c:pt idx="30">
                  <c:v>1.4445985101020999</c:v>
                </c:pt>
                <c:pt idx="31">
                  <c:v>1.0317760232201201</c:v>
                </c:pt>
                <c:pt idx="32">
                  <c:v>0.759859641009906</c:v>
                </c:pt>
                <c:pt idx="33">
                  <c:v>2.4352261038974299</c:v>
                </c:pt>
                <c:pt idx="34">
                  <c:v>0.66084681493743003</c:v>
                </c:pt>
                <c:pt idx="35">
                  <c:v>1.17781242915115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5F-4BE0-8FBE-B5945392D83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4554609959822581E-2"/>
                  <c:y val="6.0923701853323978E-2"/>
                </c:manualLayout>
              </c:layout>
              <c:numFmt formatCode="General" sourceLinked="0"/>
              <c:spPr>
                <a:solidFill>
                  <a:schemeClr val="accent4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envelope'!$S$2:$S$37</c:f>
              <c:numCache>
                <c:formatCode>General</c:formatCode>
                <c:ptCount val="36"/>
                <c:pt idx="0">
                  <c:v>8.4875273627382803</c:v>
                </c:pt>
                <c:pt idx="1">
                  <c:v>3.6696571758817198</c:v>
                </c:pt>
                <c:pt idx="2">
                  <c:v>8.3266858207082599</c:v>
                </c:pt>
                <c:pt idx="3">
                  <c:v>5.3915917727487104</c:v>
                </c:pt>
                <c:pt idx="4">
                  <c:v>5.0526826474058097</c:v>
                </c:pt>
                <c:pt idx="5">
                  <c:v>6.0491299651584196</c:v>
                </c:pt>
                <c:pt idx="6">
                  <c:v>4.6995148199797203</c:v>
                </c:pt>
                <c:pt idx="7">
                  <c:v>6.1106814199081896</c:v>
                </c:pt>
                <c:pt idx="8">
                  <c:v>5.97820135444214</c:v>
                </c:pt>
                <c:pt idx="9">
                  <c:v>4.9350319931648103</c:v>
                </c:pt>
                <c:pt idx="10">
                  <c:v>3.84917915232543</c:v>
                </c:pt>
                <c:pt idx="11">
                  <c:v>4.2063295807845602</c:v>
                </c:pt>
                <c:pt idx="12">
                  <c:v>3.7065934367717599</c:v>
                </c:pt>
                <c:pt idx="13">
                  <c:v>2.3516392566763402</c:v>
                </c:pt>
                <c:pt idx="14">
                  <c:v>1.2775871078584</c:v>
                </c:pt>
                <c:pt idx="15">
                  <c:v>2.4180096362066301</c:v>
                </c:pt>
                <c:pt idx="16">
                  <c:v>1.86124282879616</c:v>
                </c:pt>
                <c:pt idx="17">
                  <c:v>1.7333891293799499</c:v>
                </c:pt>
                <c:pt idx="18">
                  <c:v>2.1182747223488398</c:v>
                </c:pt>
                <c:pt idx="19">
                  <c:v>2.2486316146990202</c:v>
                </c:pt>
                <c:pt idx="20">
                  <c:v>1.38187374013061</c:v>
                </c:pt>
                <c:pt idx="21">
                  <c:v>1.08129059920596</c:v>
                </c:pt>
                <c:pt idx="22">
                  <c:v>0.96612323561066804</c:v>
                </c:pt>
                <c:pt idx="23">
                  <c:v>1.21105643309446</c:v>
                </c:pt>
                <c:pt idx="24">
                  <c:v>1.4536955966377501</c:v>
                </c:pt>
                <c:pt idx="25">
                  <c:v>1.23423783884298</c:v>
                </c:pt>
                <c:pt idx="26">
                  <c:v>2.3405286516514501</c:v>
                </c:pt>
                <c:pt idx="27">
                  <c:v>2.0097890273663599</c:v>
                </c:pt>
                <c:pt idx="28">
                  <c:v>1.6678313402251601</c:v>
                </c:pt>
                <c:pt idx="29">
                  <c:v>1.93980804085475</c:v>
                </c:pt>
                <c:pt idx="30">
                  <c:v>3.8969168791608402</c:v>
                </c:pt>
                <c:pt idx="31">
                  <c:v>3.52073104697577</c:v>
                </c:pt>
                <c:pt idx="32">
                  <c:v>2.5242279913372498</c:v>
                </c:pt>
                <c:pt idx="33">
                  <c:v>7.5299683456584097</c:v>
                </c:pt>
                <c:pt idx="34">
                  <c:v>2.5529730320435</c:v>
                </c:pt>
                <c:pt idx="35">
                  <c:v>3.97354688561304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5F-4BE0-8FBE-B5945392D836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42585062027076"/>
                  <c:y val="-4.0561215719082708E-2"/>
                </c:manualLayout>
              </c:layout>
              <c:numFmt formatCode="General" sourceLinked="0"/>
              <c:spPr>
                <a:solidFill>
                  <a:schemeClr val="accent6">
                    <a:lumMod val="75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'hilbert envelope'!$T$2:$T$37</c:f>
              <c:numCache>
                <c:formatCode>General</c:formatCode>
                <c:ptCount val="36"/>
                <c:pt idx="0">
                  <c:v>33.9501094509531</c:v>
                </c:pt>
                <c:pt idx="1">
                  <c:v>14.678628703526799</c:v>
                </c:pt>
                <c:pt idx="2">
                  <c:v>33.306743282832997</c:v>
                </c:pt>
                <c:pt idx="3">
                  <c:v>21.566367090994799</c:v>
                </c:pt>
                <c:pt idx="4">
                  <c:v>20.2107305896232</c:v>
                </c:pt>
                <c:pt idx="5">
                  <c:v>24.1965198606337</c:v>
                </c:pt>
                <c:pt idx="6">
                  <c:v>18.7980592799188</c:v>
                </c:pt>
                <c:pt idx="7">
                  <c:v>24.442725679632701</c:v>
                </c:pt>
                <c:pt idx="8">
                  <c:v>23.912805417768499</c:v>
                </c:pt>
                <c:pt idx="9">
                  <c:v>19.740127972659199</c:v>
                </c:pt>
                <c:pt idx="10">
                  <c:v>15.3967166093017</c:v>
                </c:pt>
                <c:pt idx="11">
                  <c:v>16.825318323138202</c:v>
                </c:pt>
                <c:pt idx="12">
                  <c:v>14.826373747087001</c:v>
                </c:pt>
                <c:pt idx="13">
                  <c:v>9.4065570267053804</c:v>
                </c:pt>
                <c:pt idx="14">
                  <c:v>5.1103484314336303</c:v>
                </c:pt>
                <c:pt idx="15">
                  <c:v>9.6720385448265294</c:v>
                </c:pt>
                <c:pt idx="16">
                  <c:v>7.4449713151846701</c:v>
                </c:pt>
                <c:pt idx="17">
                  <c:v>6.9335565175198299</c:v>
                </c:pt>
                <c:pt idx="18">
                  <c:v>8.4730988893953594</c:v>
                </c:pt>
                <c:pt idx="19">
                  <c:v>8.9945264587960896</c:v>
                </c:pt>
                <c:pt idx="20">
                  <c:v>5.5274949605224499</c:v>
                </c:pt>
                <c:pt idx="21">
                  <c:v>4.3251623968238597</c:v>
                </c:pt>
                <c:pt idx="22">
                  <c:v>3.8644929424426699</c:v>
                </c:pt>
                <c:pt idx="23">
                  <c:v>4.8442257323778604</c:v>
                </c:pt>
                <c:pt idx="24">
                  <c:v>5.8147823865510198</c:v>
                </c:pt>
                <c:pt idx="25">
                  <c:v>4.93695135537192</c:v>
                </c:pt>
                <c:pt idx="26">
                  <c:v>9.3621146066058198</c:v>
                </c:pt>
                <c:pt idx="27">
                  <c:v>8.0391561094654609</c:v>
                </c:pt>
                <c:pt idx="28">
                  <c:v>6.6713253609006697</c:v>
                </c:pt>
                <c:pt idx="29">
                  <c:v>7.7592321634190196</c:v>
                </c:pt>
                <c:pt idx="30">
                  <c:v>15.5876675166433</c:v>
                </c:pt>
                <c:pt idx="31">
                  <c:v>14.082924187903</c:v>
                </c:pt>
                <c:pt idx="32">
                  <c:v>10.096911965348999</c:v>
                </c:pt>
                <c:pt idx="33">
                  <c:v>30.1198733826336</c:v>
                </c:pt>
                <c:pt idx="34">
                  <c:v>10.211892128174</c:v>
                </c:pt>
                <c:pt idx="35">
                  <c:v>15.8941875424521</c:v>
                </c:pt>
              </c:numCache>
            </c:numRef>
          </c:xVal>
          <c:yVal>
            <c:numRef>
              <c:f>'hilbert envelope'!$B$2:$B$37</c:f>
              <c:numCache>
                <c:formatCode>General</c:formatCode>
                <c:ptCount val="36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  <c:pt idx="3">
                  <c:v>128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16</c:v>
                </c:pt>
                <c:pt idx="21">
                  <c:v>16</c:v>
                </c:pt>
                <c:pt idx="22">
                  <c:v>22.6</c:v>
                </c:pt>
                <c:pt idx="23">
                  <c:v>22.6</c:v>
                </c:pt>
                <c:pt idx="24">
                  <c:v>32</c:v>
                </c:pt>
                <c:pt idx="25">
                  <c:v>32</c:v>
                </c:pt>
                <c:pt idx="26">
                  <c:v>32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5F-4BE0-8FBE-B5945392D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39312"/>
        <c:axId val="299627312"/>
      </c:scatterChart>
      <c:valAx>
        <c:axId val="299639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27312"/>
        <c:crosses val="autoZero"/>
        <c:crossBetween val="midCat"/>
      </c:valAx>
      <c:valAx>
        <c:axId val="2996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Dmax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3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H1 Flood Calibration - Impact Pipes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6419688736091085"/>
                  <c:y val="5.276889114497869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floods!$F$3:$F$7</c:f>
              <c:numCache>
                <c:formatCode>General</c:formatCode>
                <c:ptCount val="5"/>
                <c:pt idx="0">
                  <c:v>90</c:v>
                </c:pt>
                <c:pt idx="1">
                  <c:v>90</c:v>
                </c:pt>
                <c:pt idx="2">
                  <c:v>45</c:v>
                </c:pt>
                <c:pt idx="3">
                  <c:v>64</c:v>
                </c:pt>
                <c:pt idx="4">
                  <c:v>90</c:v>
                </c:pt>
              </c:numCache>
            </c:numRef>
          </c:xVal>
          <c:yVal>
            <c:numRef>
              <c:f>floods!$B$3:$B$7</c:f>
              <c:numCache>
                <c:formatCode>General</c:formatCode>
                <c:ptCount val="5"/>
                <c:pt idx="0">
                  <c:v>7.0800000000000002E-2</c:v>
                </c:pt>
                <c:pt idx="1">
                  <c:v>4.87E-2</c:v>
                </c:pt>
                <c:pt idx="2">
                  <c:v>6.7999999999999996E-3</c:v>
                </c:pt>
                <c:pt idx="3">
                  <c:v>1.5E-3</c:v>
                </c:pt>
                <c:pt idx="4">
                  <c:v>4.9599999999999998E-2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C-4426-80EC-39C1B2E9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790400"/>
        <c:axId val="1128790880"/>
      </c:scatterChart>
      <c:valAx>
        <c:axId val="112879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880"/>
        <c:crosses val="autoZero"/>
        <c:crossBetween val="midCat"/>
      </c:valAx>
      <c:valAx>
        <c:axId val="11287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9" Type="http://schemas.openxmlformats.org/officeDocument/2006/relationships/chart" Target="../charts/chart65.xml"/><Relationship Id="rId21" Type="http://schemas.openxmlformats.org/officeDocument/2006/relationships/chart" Target="../charts/chart47.xml"/><Relationship Id="rId34" Type="http://schemas.openxmlformats.org/officeDocument/2006/relationships/chart" Target="../charts/chart60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33" Type="http://schemas.openxmlformats.org/officeDocument/2006/relationships/chart" Target="../charts/chart59.xml"/><Relationship Id="rId38" Type="http://schemas.openxmlformats.org/officeDocument/2006/relationships/chart" Target="../charts/chart64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29" Type="http://schemas.openxmlformats.org/officeDocument/2006/relationships/chart" Target="../charts/chart55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32" Type="http://schemas.openxmlformats.org/officeDocument/2006/relationships/chart" Target="../charts/chart58.xml"/><Relationship Id="rId37" Type="http://schemas.openxmlformats.org/officeDocument/2006/relationships/chart" Target="../charts/chart63.xml"/><Relationship Id="rId40" Type="http://schemas.openxmlformats.org/officeDocument/2006/relationships/chart" Target="../charts/chart66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28" Type="http://schemas.openxmlformats.org/officeDocument/2006/relationships/chart" Target="../charts/chart54.xml"/><Relationship Id="rId36" Type="http://schemas.openxmlformats.org/officeDocument/2006/relationships/chart" Target="../charts/chart62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31" Type="http://schemas.openxmlformats.org/officeDocument/2006/relationships/chart" Target="../charts/chart57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Relationship Id="rId27" Type="http://schemas.openxmlformats.org/officeDocument/2006/relationships/chart" Target="../charts/chart53.xml"/><Relationship Id="rId30" Type="http://schemas.openxmlformats.org/officeDocument/2006/relationships/chart" Target="../charts/chart56.xml"/><Relationship Id="rId35" Type="http://schemas.openxmlformats.org/officeDocument/2006/relationships/chart" Target="../charts/chart61.xml"/><Relationship Id="rId8" Type="http://schemas.openxmlformats.org/officeDocument/2006/relationships/chart" Target="../charts/chart34.xml"/><Relationship Id="rId3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668254</xdr:colOff>
      <xdr:row>38</xdr:row>
      <xdr:rowOff>135484</xdr:rowOff>
    </xdr:from>
    <xdr:to>
      <xdr:col>3</xdr:col>
      <xdr:colOff>614950</xdr:colOff>
      <xdr:row>55</xdr:row>
      <xdr:rowOff>40147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5BC6B-7FFA-7404-10B4-6C5ADDF9C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692634</xdr:colOff>
      <xdr:row>38</xdr:row>
      <xdr:rowOff>106638</xdr:rowOff>
    </xdr:from>
    <xdr:to>
      <xdr:col>7</xdr:col>
      <xdr:colOff>13993</xdr:colOff>
      <xdr:row>55</xdr:row>
      <xdr:rowOff>11301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4C9BAA-27B9-4ED8-97CD-E7E774109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56943</xdr:colOff>
      <xdr:row>38</xdr:row>
      <xdr:rowOff>114921</xdr:rowOff>
    </xdr:from>
    <xdr:to>
      <xdr:col>12</xdr:col>
      <xdr:colOff>402238</xdr:colOff>
      <xdr:row>55</xdr:row>
      <xdr:rowOff>19584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2B500A-9672-4C76-9840-B7AB33DA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697367</xdr:colOff>
      <xdr:row>55</xdr:row>
      <xdr:rowOff>91848</xdr:rowOff>
    </xdr:from>
    <xdr:to>
      <xdr:col>6</xdr:col>
      <xdr:colOff>870857</xdr:colOff>
      <xdr:row>85</xdr:row>
      <xdr:rowOff>159883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EB500E-0FBD-4FFF-A26E-78C825E9E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57430</xdr:colOff>
      <xdr:row>55</xdr:row>
      <xdr:rowOff>113459</xdr:rowOff>
    </xdr:from>
    <xdr:to>
      <xdr:col>18</xdr:col>
      <xdr:colOff>183295</xdr:colOff>
      <xdr:row>85</xdr:row>
      <xdr:rowOff>181494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C0D60EA-FC0E-4CF1-9A27-D1FDB42EE3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721179</xdr:colOff>
      <xdr:row>86</xdr:row>
      <xdr:rowOff>68036</xdr:rowOff>
    </xdr:from>
    <xdr:to>
      <xdr:col>7</xdr:col>
      <xdr:colOff>10205</xdr:colOff>
      <xdr:row>116</xdr:row>
      <xdr:rowOff>136071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0278AB-8DD2-4A74-B8C2-88A0A1CABE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136071</xdr:colOff>
      <xdr:row>86</xdr:row>
      <xdr:rowOff>95250</xdr:rowOff>
    </xdr:from>
    <xdr:to>
      <xdr:col>18</xdr:col>
      <xdr:colOff>261936</xdr:colOff>
      <xdr:row>116</xdr:row>
      <xdr:rowOff>163285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25AA566-695E-4F0B-8254-EF827BE98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344365</xdr:colOff>
      <xdr:row>38</xdr:row>
      <xdr:rowOff>141876</xdr:rowOff>
    </xdr:from>
    <xdr:to>
      <xdr:col>17</xdr:col>
      <xdr:colOff>332446</xdr:colOff>
      <xdr:row>49</xdr:row>
      <xdr:rowOff>117029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D470DA8-C972-4552-BB64-A07C9CDA47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263769</xdr:colOff>
      <xdr:row>38</xdr:row>
      <xdr:rowOff>153866</xdr:rowOff>
    </xdr:from>
    <xdr:to>
      <xdr:col>21</xdr:col>
      <xdr:colOff>251849</xdr:colOff>
      <xdr:row>49</xdr:row>
      <xdr:rowOff>129019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9B19E68-7F9D-47E4-8BDA-9F4A38260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500063</xdr:colOff>
      <xdr:row>1</xdr:row>
      <xdr:rowOff>71438</xdr:rowOff>
    </xdr:from>
    <xdr:to>
      <xdr:col>39</xdr:col>
      <xdr:colOff>235961</xdr:colOff>
      <xdr:row>25</xdr:row>
      <xdr:rowOff>36802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6D5A355-60C4-4EAD-BA45-9A6BF3D375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299357</xdr:colOff>
      <xdr:row>1</xdr:row>
      <xdr:rowOff>54429</xdr:rowOff>
    </xdr:from>
    <xdr:to>
      <xdr:col>51</xdr:col>
      <xdr:colOff>35255</xdr:colOff>
      <xdr:row>25</xdr:row>
      <xdr:rowOff>19793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619FECEC-5912-47AA-A558-DB5D5447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508196</xdr:colOff>
      <xdr:row>25</xdr:row>
      <xdr:rowOff>78093</xdr:rowOff>
    </xdr:from>
    <xdr:to>
      <xdr:col>39</xdr:col>
      <xdr:colOff>244094</xdr:colOff>
      <xdr:row>49</xdr:row>
      <xdr:rowOff>43457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1EE5840-815B-4298-9B2E-014A06BAF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39</xdr:col>
      <xdr:colOff>306456</xdr:colOff>
      <xdr:row>25</xdr:row>
      <xdr:rowOff>66261</xdr:rowOff>
    </xdr:from>
    <xdr:to>
      <xdr:col>51</xdr:col>
      <xdr:colOff>42355</xdr:colOff>
      <xdr:row>49</xdr:row>
      <xdr:rowOff>31625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56D361C-41BB-4544-BD8B-DBADC1805D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27</xdr:col>
      <xdr:colOff>476250</xdr:colOff>
      <xdr:row>57</xdr:row>
      <xdr:rowOff>17008</xdr:rowOff>
    </xdr:from>
    <xdr:to>
      <xdr:col>39</xdr:col>
      <xdr:colOff>212148</xdr:colOff>
      <xdr:row>80</xdr:row>
      <xdr:rowOff>172872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7151FD5-B402-4B8F-A319-066ABDD7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39</xdr:col>
      <xdr:colOff>275544</xdr:colOff>
      <xdr:row>57</xdr:row>
      <xdr:rowOff>-1</xdr:rowOff>
    </xdr:from>
    <xdr:to>
      <xdr:col>51</xdr:col>
      <xdr:colOff>11442</xdr:colOff>
      <xdr:row>80</xdr:row>
      <xdr:rowOff>155863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BD27C65-07B5-4341-8B07-C875638A3E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484383</xdr:colOff>
      <xdr:row>81</xdr:row>
      <xdr:rowOff>23663</xdr:rowOff>
    </xdr:from>
    <xdr:to>
      <xdr:col>39</xdr:col>
      <xdr:colOff>220281</xdr:colOff>
      <xdr:row>104</xdr:row>
      <xdr:rowOff>179527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177A9DA-EB73-40CF-819C-875947E2C6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39</xdr:col>
      <xdr:colOff>282643</xdr:colOff>
      <xdr:row>81</xdr:row>
      <xdr:rowOff>11831</xdr:rowOff>
    </xdr:from>
    <xdr:to>
      <xdr:col>51</xdr:col>
      <xdr:colOff>18542</xdr:colOff>
      <xdr:row>104</xdr:row>
      <xdr:rowOff>167695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AACD1488-0A4E-46E0-88FC-AFFBDADA0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322113</xdr:colOff>
      <xdr:row>37</xdr:row>
      <xdr:rowOff>105126</xdr:rowOff>
    </xdr:from>
    <xdr:to>
      <xdr:col>3</xdr:col>
      <xdr:colOff>164900</xdr:colOff>
      <xdr:row>54</xdr:row>
      <xdr:rowOff>9789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DB3AB-7EC7-42F2-A4D0-8F39B9C0E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222878</xdr:colOff>
      <xdr:row>37</xdr:row>
      <xdr:rowOff>117463</xdr:rowOff>
    </xdr:from>
    <xdr:to>
      <xdr:col>6</xdr:col>
      <xdr:colOff>366851</xdr:colOff>
      <xdr:row>54</xdr:row>
      <xdr:rowOff>22126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CDA652-B2BB-4757-ACB7-2B67D4F39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396813</xdr:colOff>
      <xdr:row>37</xdr:row>
      <xdr:rowOff>125746</xdr:rowOff>
    </xdr:from>
    <xdr:to>
      <xdr:col>11</xdr:col>
      <xdr:colOff>454192</xdr:colOff>
      <xdr:row>54</xdr:row>
      <xdr:rowOff>30409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E3BAF5-06F5-41B9-A624-650C2AC93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331520</xdr:colOff>
      <xdr:row>54</xdr:row>
      <xdr:rowOff>102673</xdr:rowOff>
    </xdr:from>
    <xdr:to>
      <xdr:col>6</xdr:col>
      <xdr:colOff>342653</xdr:colOff>
      <xdr:row>84</xdr:row>
      <xdr:rowOff>170708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334A6F-9ACB-4A46-BB89-DC3A2223A8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553163</xdr:colOff>
      <xdr:row>1</xdr:row>
      <xdr:rowOff>3058</xdr:rowOff>
    </xdr:from>
    <xdr:to>
      <xdr:col>32</xdr:col>
      <xdr:colOff>96705</xdr:colOff>
      <xdr:row>24</xdr:row>
      <xdr:rowOff>103910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464765-EF61-4BD6-8183-32D1BC880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571500</xdr:colOff>
      <xdr:row>24</xdr:row>
      <xdr:rowOff>171450</xdr:rowOff>
    </xdr:from>
    <xdr:to>
      <xdr:col>32</xdr:col>
      <xdr:colOff>115042</xdr:colOff>
      <xdr:row>48</xdr:row>
      <xdr:rowOff>81802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90C5EE-E454-49E9-A224-CCFDC0C4C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266700</xdr:colOff>
      <xdr:row>1</xdr:row>
      <xdr:rowOff>19050</xdr:rowOff>
    </xdr:from>
    <xdr:to>
      <xdr:col>43</xdr:col>
      <xdr:colOff>419842</xdr:colOff>
      <xdr:row>24</xdr:row>
      <xdr:rowOff>119902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781A26-72CD-4BF4-95AF-52F4BC07C3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247650</xdr:colOff>
      <xdr:row>25</xdr:row>
      <xdr:rowOff>19050</xdr:rowOff>
    </xdr:from>
    <xdr:to>
      <xdr:col>43</xdr:col>
      <xdr:colOff>400792</xdr:colOff>
      <xdr:row>48</xdr:row>
      <xdr:rowOff>119902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4DCB5C-BD65-433B-851A-91B401534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450273</xdr:colOff>
      <xdr:row>54</xdr:row>
      <xdr:rowOff>103909</xdr:rowOff>
    </xdr:from>
    <xdr:to>
      <xdr:col>17</xdr:col>
      <xdr:colOff>288223</xdr:colOff>
      <xdr:row>84</xdr:row>
      <xdr:rowOff>171944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12521FA-D52A-407A-AE73-B052E0B3B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123411</xdr:colOff>
      <xdr:row>23</xdr:row>
      <xdr:rowOff>69160</xdr:rowOff>
    </xdr:from>
    <xdr:to>
      <xdr:col>2</xdr:col>
      <xdr:colOff>819978</xdr:colOff>
      <xdr:row>33</xdr:row>
      <xdr:rowOff>163108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4C65D-0C9E-474C-AF01-DFDCBA30C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811697</xdr:colOff>
      <xdr:row>23</xdr:row>
      <xdr:rowOff>58597</xdr:rowOff>
    </xdr:from>
    <xdr:to>
      <xdr:col>5</xdr:col>
      <xdr:colOff>836544</xdr:colOff>
      <xdr:row>39</xdr:row>
      <xdr:rowOff>41412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567D33-46DD-B248-80E9-7E624FAC0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66264</xdr:colOff>
      <xdr:row>45</xdr:row>
      <xdr:rowOff>107675</xdr:rowOff>
    </xdr:from>
    <xdr:to>
      <xdr:col>2</xdr:col>
      <xdr:colOff>737152</xdr:colOff>
      <xdr:row>56</xdr:row>
      <xdr:rowOff>107675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679F5B-0A51-4FF8-8D60-72BCCB5E9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140805</xdr:colOff>
      <xdr:row>33</xdr:row>
      <xdr:rowOff>157369</xdr:rowOff>
    </xdr:from>
    <xdr:to>
      <xdr:col>2</xdr:col>
      <xdr:colOff>811695</xdr:colOff>
      <xdr:row>45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65CE5-9526-43D6-ABD1-C44A7C402B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99393</xdr:colOff>
      <xdr:row>45</xdr:row>
      <xdr:rowOff>190499</xdr:rowOff>
    </xdr:from>
    <xdr:to>
      <xdr:col>9</xdr:col>
      <xdr:colOff>306458</xdr:colOff>
      <xdr:row>56</xdr:row>
      <xdr:rowOff>165652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C64D8-E0C0-4279-AB72-44432ED8F6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107673</xdr:colOff>
      <xdr:row>23</xdr:row>
      <xdr:rowOff>57979</xdr:rowOff>
    </xdr:from>
    <xdr:to>
      <xdr:col>9</xdr:col>
      <xdr:colOff>291474</xdr:colOff>
      <xdr:row>33</xdr:row>
      <xdr:rowOff>182218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4982CB-C70B-4177-BD99-1DC496FCF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99392</xdr:colOff>
      <xdr:row>34</xdr:row>
      <xdr:rowOff>33132</xdr:rowOff>
    </xdr:from>
    <xdr:to>
      <xdr:col>9</xdr:col>
      <xdr:colOff>283193</xdr:colOff>
      <xdr:row>44</xdr:row>
      <xdr:rowOff>157371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50F4C8-B8EC-4990-BFEC-421978A88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331304</xdr:colOff>
      <xdr:row>23</xdr:row>
      <xdr:rowOff>66261</xdr:rowOff>
    </xdr:from>
    <xdr:to>
      <xdr:col>12</xdr:col>
      <xdr:colOff>455543</xdr:colOff>
      <xdr:row>39</xdr:row>
      <xdr:rowOff>49076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0BB64E0-EDBC-4B17-810E-FD05C69E9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556845</xdr:colOff>
      <xdr:row>46</xdr:row>
      <xdr:rowOff>50858</xdr:rowOff>
    </xdr:from>
    <xdr:to>
      <xdr:col>15</xdr:col>
      <xdr:colOff>601817</xdr:colOff>
      <xdr:row>57</xdr:row>
      <xdr:rowOff>26011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63319BF-52EF-43D2-8924-6D16394DD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504265</xdr:colOff>
      <xdr:row>23</xdr:row>
      <xdr:rowOff>78441</xdr:rowOff>
    </xdr:from>
    <xdr:to>
      <xdr:col>15</xdr:col>
      <xdr:colOff>545573</xdr:colOff>
      <xdr:row>34</xdr:row>
      <xdr:rowOff>53594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E5AEBEE-6E3D-4399-907E-467572355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504265</xdr:colOff>
      <xdr:row>34</xdr:row>
      <xdr:rowOff>123265</xdr:rowOff>
    </xdr:from>
    <xdr:to>
      <xdr:col>15</xdr:col>
      <xdr:colOff>545573</xdr:colOff>
      <xdr:row>45</xdr:row>
      <xdr:rowOff>98418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41F470B-22AC-49C7-AFD5-F5C20487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578828</xdr:colOff>
      <xdr:row>23</xdr:row>
      <xdr:rowOff>65943</xdr:rowOff>
    </xdr:from>
    <xdr:to>
      <xdr:col>19</xdr:col>
      <xdr:colOff>534548</xdr:colOff>
      <xdr:row>39</xdr:row>
      <xdr:rowOff>48758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1892222-A218-484E-A2A4-938C7BCAD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646681</xdr:colOff>
      <xdr:row>45</xdr:row>
      <xdr:rowOff>135070</xdr:rowOff>
    </xdr:from>
    <xdr:to>
      <xdr:col>22</xdr:col>
      <xdr:colOff>653079</xdr:colOff>
      <xdr:row>56</xdr:row>
      <xdr:rowOff>110223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47A7BB-F638-44E4-8C72-EA3D36215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567675</xdr:colOff>
      <xdr:row>23</xdr:row>
      <xdr:rowOff>5352</xdr:rowOff>
    </xdr:from>
    <xdr:to>
      <xdr:col>22</xdr:col>
      <xdr:colOff>573563</xdr:colOff>
      <xdr:row>33</xdr:row>
      <xdr:rowOff>171005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7F102C2-87AA-4436-AC98-CAABFAC09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604630</xdr:colOff>
      <xdr:row>34</xdr:row>
      <xdr:rowOff>66261</xdr:rowOff>
    </xdr:from>
    <xdr:to>
      <xdr:col>22</xdr:col>
      <xdr:colOff>610518</xdr:colOff>
      <xdr:row>45</xdr:row>
      <xdr:rowOff>41414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8580FA6-F121-4BCC-B9EC-A44C38A45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22</xdr:col>
      <xdr:colOff>621196</xdr:colOff>
      <xdr:row>23</xdr:row>
      <xdr:rowOff>8282</xdr:rowOff>
    </xdr:from>
    <xdr:to>
      <xdr:col>26</xdr:col>
      <xdr:colOff>405848</xdr:colOff>
      <xdr:row>38</xdr:row>
      <xdr:rowOff>181597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EC3E3EF-B9EC-40C3-967D-6F88E620E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26</xdr:col>
      <xdr:colOff>546653</xdr:colOff>
      <xdr:row>45</xdr:row>
      <xdr:rowOff>91108</xdr:rowOff>
    </xdr:from>
    <xdr:to>
      <xdr:col>28</xdr:col>
      <xdr:colOff>959096</xdr:colOff>
      <xdr:row>56</xdr:row>
      <xdr:rowOff>66261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836AD4C-804C-4441-9011-25A9F83C8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26</xdr:col>
      <xdr:colOff>496956</xdr:colOff>
      <xdr:row>23</xdr:row>
      <xdr:rowOff>24848</xdr:rowOff>
    </xdr:from>
    <xdr:to>
      <xdr:col>28</xdr:col>
      <xdr:colOff>909397</xdr:colOff>
      <xdr:row>34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80A632E-1A4D-4666-83F3-7B182213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480391</xdr:colOff>
      <xdr:row>34</xdr:row>
      <xdr:rowOff>41413</xdr:rowOff>
    </xdr:from>
    <xdr:to>
      <xdr:col>28</xdr:col>
      <xdr:colOff>892832</xdr:colOff>
      <xdr:row>45</xdr:row>
      <xdr:rowOff>16566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84FFF3D-43CF-44E2-BE84-90253C99D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29</xdr:col>
      <xdr:colOff>16565</xdr:colOff>
      <xdr:row>23</xdr:row>
      <xdr:rowOff>49696</xdr:rowOff>
    </xdr:from>
    <xdr:to>
      <xdr:col>32</xdr:col>
      <xdr:colOff>66261</xdr:colOff>
      <xdr:row>39</xdr:row>
      <xdr:rowOff>32511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F7CD427-0B1B-4F9C-AE22-52B179A81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38100</xdr:colOff>
      <xdr:row>45</xdr:row>
      <xdr:rowOff>114300</xdr:rowOff>
    </xdr:from>
    <xdr:to>
      <xdr:col>36</xdr:col>
      <xdr:colOff>8252</xdr:colOff>
      <xdr:row>56</xdr:row>
      <xdr:rowOff>89453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135D72B-C3C8-4BDD-8237-829090942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32</xdr:col>
      <xdr:colOff>142875</xdr:colOff>
      <xdr:row>23</xdr:row>
      <xdr:rowOff>47625</xdr:rowOff>
    </xdr:from>
    <xdr:to>
      <xdr:col>35</xdr:col>
      <xdr:colOff>722625</xdr:colOff>
      <xdr:row>34</xdr:row>
      <xdr:rowOff>22778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679499-0B14-401B-A504-B15509000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32</xdr:col>
      <xdr:colOff>161925</xdr:colOff>
      <xdr:row>34</xdr:row>
      <xdr:rowOff>95250</xdr:rowOff>
    </xdr:from>
    <xdr:to>
      <xdr:col>35</xdr:col>
      <xdr:colOff>741675</xdr:colOff>
      <xdr:row>45</xdr:row>
      <xdr:rowOff>70403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438959-0346-45B7-B179-1EB802BDB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36</xdr:col>
      <xdr:colOff>19050</xdr:colOff>
      <xdr:row>23</xdr:row>
      <xdr:rowOff>47625</xdr:rowOff>
    </xdr:from>
    <xdr:to>
      <xdr:col>40</xdr:col>
      <xdr:colOff>354496</xdr:colOff>
      <xdr:row>39</xdr:row>
      <xdr:rowOff>30440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0AD29C6-2C56-4909-993B-C325584D9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40</xdr:col>
      <xdr:colOff>480392</xdr:colOff>
      <xdr:row>46</xdr:row>
      <xdr:rowOff>33131</xdr:rowOff>
    </xdr:from>
    <xdr:to>
      <xdr:col>44</xdr:col>
      <xdr:colOff>437292</xdr:colOff>
      <xdr:row>57</xdr:row>
      <xdr:rowOff>8284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EF839A9-87F1-498A-889E-8EFE3EB360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40</xdr:col>
      <xdr:colOff>381000</xdr:colOff>
      <xdr:row>23</xdr:row>
      <xdr:rowOff>41413</xdr:rowOff>
    </xdr:from>
    <xdr:to>
      <xdr:col>44</xdr:col>
      <xdr:colOff>337898</xdr:colOff>
      <xdr:row>34</xdr:row>
      <xdr:rowOff>16566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C70BDB8-D0C3-409F-A04F-1AC55A08F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40</xdr:col>
      <xdr:colOff>422412</xdr:colOff>
      <xdr:row>34</xdr:row>
      <xdr:rowOff>99391</xdr:rowOff>
    </xdr:from>
    <xdr:to>
      <xdr:col>44</xdr:col>
      <xdr:colOff>379310</xdr:colOff>
      <xdr:row>45</xdr:row>
      <xdr:rowOff>74544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1888C49-6687-410B-BA9B-5153E1D14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44</xdr:col>
      <xdr:colOff>414131</xdr:colOff>
      <xdr:row>23</xdr:row>
      <xdr:rowOff>49696</xdr:rowOff>
    </xdr:from>
    <xdr:to>
      <xdr:col>48</xdr:col>
      <xdr:colOff>265044</xdr:colOff>
      <xdr:row>39</xdr:row>
      <xdr:rowOff>32511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B916C93B-7B2F-441E-827C-4214460BB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48</xdr:col>
      <xdr:colOff>438150</xdr:colOff>
      <xdr:row>46</xdr:row>
      <xdr:rowOff>66675</xdr:rowOff>
    </xdr:from>
    <xdr:to>
      <xdr:col>52</xdr:col>
      <xdr:colOff>408302</xdr:colOff>
      <xdr:row>57</xdr:row>
      <xdr:rowOff>41828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E4F7EEA-64FD-4641-A554-3667E76B6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48</xdr:col>
      <xdr:colOff>428625</xdr:colOff>
      <xdr:row>23</xdr:row>
      <xdr:rowOff>95250</xdr:rowOff>
    </xdr:from>
    <xdr:to>
      <xdr:col>52</xdr:col>
      <xdr:colOff>398775</xdr:colOff>
      <xdr:row>34</xdr:row>
      <xdr:rowOff>70403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7139D7C-DB7B-42F9-AFD3-7C247E00F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400050</xdr:colOff>
      <xdr:row>34</xdr:row>
      <xdr:rowOff>123825</xdr:rowOff>
    </xdr:from>
    <xdr:to>
      <xdr:col>52</xdr:col>
      <xdr:colOff>370200</xdr:colOff>
      <xdr:row>45</xdr:row>
      <xdr:rowOff>98978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624FE031-1A3A-4D42-BFF9-BC2C0DF5E0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52</xdr:col>
      <xdr:colOff>447675</xdr:colOff>
      <xdr:row>23</xdr:row>
      <xdr:rowOff>85725</xdr:rowOff>
    </xdr:from>
    <xdr:to>
      <xdr:col>56</xdr:col>
      <xdr:colOff>298588</xdr:colOff>
      <xdr:row>39</xdr:row>
      <xdr:rowOff>68540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7CE9466D-1416-43A7-9CCE-8001FA47E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369795</xdr:colOff>
      <xdr:row>23</xdr:row>
      <xdr:rowOff>56031</xdr:rowOff>
    </xdr:from>
    <xdr:to>
      <xdr:col>64</xdr:col>
      <xdr:colOff>43961</xdr:colOff>
      <xdr:row>39</xdr:row>
      <xdr:rowOff>56029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40C958-90D4-40B0-942B-B613B6925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64</xdr:col>
      <xdr:colOff>205153</xdr:colOff>
      <xdr:row>23</xdr:row>
      <xdr:rowOff>14654</xdr:rowOff>
    </xdr:from>
    <xdr:to>
      <xdr:col>72</xdr:col>
      <xdr:colOff>586154</xdr:colOff>
      <xdr:row>39</xdr:row>
      <xdr:rowOff>58616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D311CECD-BD2C-4F6A-947C-58427DE7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373672</xdr:colOff>
      <xdr:row>47</xdr:row>
      <xdr:rowOff>51289</xdr:rowOff>
    </xdr:from>
    <xdr:to>
      <xdr:col>64</xdr:col>
      <xdr:colOff>14654</xdr:colOff>
      <xdr:row>63</xdr:row>
      <xdr:rowOff>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4EBCA217-05E3-4361-826A-1DE13EF74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64</xdr:col>
      <xdr:colOff>223630</xdr:colOff>
      <xdr:row>48</xdr:row>
      <xdr:rowOff>49695</xdr:rowOff>
    </xdr:from>
    <xdr:to>
      <xdr:col>69</xdr:col>
      <xdr:colOff>12424</xdr:colOff>
      <xdr:row>64</xdr:row>
      <xdr:rowOff>32510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47D8167C-2C3B-468E-A996-0E49B8CB4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69</xdr:col>
      <xdr:colOff>87923</xdr:colOff>
      <xdr:row>48</xdr:row>
      <xdr:rowOff>51289</xdr:rowOff>
    </xdr:from>
    <xdr:to>
      <xdr:col>73</xdr:col>
      <xdr:colOff>484852</xdr:colOff>
      <xdr:row>64</xdr:row>
      <xdr:rowOff>34104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4E551408-1201-44CB-B573-A323F013F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75</xdr:col>
      <xdr:colOff>51957</xdr:colOff>
      <xdr:row>23</xdr:row>
      <xdr:rowOff>69273</xdr:rowOff>
    </xdr:from>
    <xdr:to>
      <xdr:col>83</xdr:col>
      <xdr:colOff>225138</xdr:colOff>
      <xdr:row>39</xdr:row>
      <xdr:rowOff>69273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A5CCFD7D-2D20-4DFA-A230-E2A147AE9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83</xdr:col>
      <xdr:colOff>400050</xdr:colOff>
      <xdr:row>23</xdr:row>
      <xdr:rowOff>57150</xdr:rowOff>
    </xdr:from>
    <xdr:to>
      <xdr:col>92</xdr:col>
      <xdr:colOff>85725</xdr:colOff>
      <xdr:row>39</xdr:row>
      <xdr:rowOff>38100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51AA83BC-59C6-4A44-AFD5-6F2A1813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75</xdr:col>
      <xdr:colOff>33131</xdr:colOff>
      <xdr:row>48</xdr:row>
      <xdr:rowOff>89159</xdr:rowOff>
    </xdr:from>
    <xdr:to>
      <xdr:col>83</xdr:col>
      <xdr:colOff>231321</xdr:colOff>
      <xdr:row>65</xdr:row>
      <xdr:rowOff>137672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2DAC88E5-A3B0-4C4C-A486-B217052EA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560070</xdr:colOff>
      <xdr:row>0</xdr:row>
      <xdr:rowOff>91440</xdr:rowOff>
    </xdr:from>
    <xdr:to>
      <xdr:col>12</xdr:col>
      <xdr:colOff>217170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6B00F-A438-8A09-D7D6-90C62CF2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2"/>
  <sheetViews>
    <sheetView topLeftCell="X55" zoomScale="70" zoomScaleNormal="70" workbookViewId="0">
      <selection activeCell="BA78" sqref="BA78"/>
    </sheetView>
  </sheetViews>
  <sheetFormatPr defaultRowHeight="15" x14ac:dyDescent="0.25"/>
  <cols>
    <col min="1" max="1" width="15.85546875" style="1" customWidth="1"/>
    <col min="2" max="2" width="13" style="1" customWidth="1"/>
    <col min="3" max="3" width="24.42578125" style="1" customWidth="1"/>
    <col min="4" max="4" width="17.85546875" style="1" customWidth="1"/>
    <col min="5" max="5" width="17.140625" style="1" customWidth="1"/>
    <col min="6" max="6" width="13.85546875" customWidth="1"/>
    <col min="7" max="7" width="13.28515625" customWidth="1"/>
    <col min="8" max="8" width="9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22</v>
      </c>
      <c r="F1" s="6" t="s">
        <v>23</v>
      </c>
      <c r="G1" s="6" t="s">
        <v>24</v>
      </c>
      <c r="H1" s="29" t="s">
        <v>102</v>
      </c>
      <c r="I1" s="29" t="s">
        <v>103</v>
      </c>
      <c r="J1" s="29" t="s">
        <v>104</v>
      </c>
      <c r="K1" s="29" t="s">
        <v>105</v>
      </c>
      <c r="L1" s="29" t="s">
        <v>107</v>
      </c>
      <c r="M1" s="29" t="s">
        <v>106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BA1" s="6" t="s">
        <v>25</v>
      </c>
      <c r="BB1" s="6" t="s">
        <v>26</v>
      </c>
      <c r="BC1" s="6" t="s">
        <v>27</v>
      </c>
      <c r="BD1" s="6" t="s">
        <v>28</v>
      </c>
      <c r="BE1" s="6" t="s">
        <v>29</v>
      </c>
      <c r="BF1" s="6" t="s">
        <v>30</v>
      </c>
    </row>
    <row r="2" spans="1:58" x14ac:dyDescent="0.25">
      <c r="A2" s="2">
        <v>167</v>
      </c>
      <c r="B2" s="2">
        <v>128</v>
      </c>
      <c r="C2" s="2">
        <v>41</v>
      </c>
      <c r="D2" s="2">
        <v>48</v>
      </c>
      <c r="E2" s="8">
        <v>0.104819100180613</v>
      </c>
      <c r="F2" s="8">
        <v>3.3154403752457901E-2</v>
      </c>
      <c r="G2" s="8">
        <v>2.2914216154744201E-2</v>
      </c>
      <c r="H2" s="27">
        <f t="shared" ref="H2:M2" si="0">BA2/($D2-$C2)</f>
        <v>0.8571428571428571</v>
      </c>
      <c r="I2" s="27">
        <f t="shared" si="0"/>
        <v>2.2857142857142856</v>
      </c>
      <c r="J2" s="27">
        <f t="shared" si="0"/>
        <v>13.714285714285714</v>
      </c>
      <c r="K2" s="27">
        <f t="shared" si="0"/>
        <v>37.714285714285715</v>
      </c>
      <c r="L2" s="27">
        <f t="shared" si="0"/>
        <v>86.285714285714292</v>
      </c>
      <c r="M2" s="27">
        <f t="shared" si="0"/>
        <v>139.71428571428572</v>
      </c>
      <c r="N2" s="49"/>
      <c r="O2">
        <v>6.4069250048013796E-2</v>
      </c>
      <c r="P2">
        <v>0.17940701762775299</v>
      </c>
      <c r="Q2">
        <v>0.59727911911144405</v>
      </c>
      <c r="R2">
        <v>2.1218818406845701</v>
      </c>
      <c r="S2">
        <v>8.4875273627382803</v>
      </c>
      <c r="T2">
        <v>33.9501094509531</v>
      </c>
      <c r="V2">
        <v>0.104819100180613</v>
      </c>
      <c r="W2">
        <v>0.41927640072245398</v>
      </c>
      <c r="X2">
        <v>1.6771056028898099</v>
      </c>
      <c r="Y2">
        <v>6.7084224115592699</v>
      </c>
      <c r="Z2">
        <v>26.833689646237001</v>
      </c>
      <c r="AA2">
        <v>107.33475858494801</v>
      </c>
      <c r="BA2" s="6">
        <v>6</v>
      </c>
      <c r="BB2" s="6">
        <v>16</v>
      </c>
      <c r="BC2" s="6">
        <v>96</v>
      </c>
      <c r="BD2" s="6">
        <v>264</v>
      </c>
      <c r="BE2" s="6">
        <v>604</v>
      </c>
      <c r="BF2" s="6">
        <v>978</v>
      </c>
    </row>
    <row r="3" spans="1:58" x14ac:dyDescent="0.25">
      <c r="A3" s="2">
        <v>6</v>
      </c>
      <c r="B3" s="2">
        <v>128</v>
      </c>
      <c r="C3" s="2">
        <v>80</v>
      </c>
      <c r="D3" s="2">
        <v>90</v>
      </c>
      <c r="E3" s="8">
        <v>5.1422303101187901E-2</v>
      </c>
      <c r="F3" s="8">
        <v>1.43345982575964E-2</v>
      </c>
      <c r="G3" s="8">
        <v>7.2966466530169603E-3</v>
      </c>
      <c r="H3" s="27">
        <f t="shared" ref="H3:H37" si="1">BA3/(D3-C3)</f>
        <v>0.2</v>
      </c>
      <c r="I3" s="27">
        <f t="shared" ref="I3:I37" si="2">BB3/($D3-$C3)</f>
        <v>0.8</v>
      </c>
      <c r="J3" s="27">
        <f t="shared" ref="J3:J37" si="3">BC3/($D3-$C3)</f>
        <v>6.5</v>
      </c>
      <c r="K3" s="27">
        <f t="shared" ref="K3:K37" si="4">BD3/($D3-$C3)</f>
        <v>19.5</v>
      </c>
      <c r="L3" s="27">
        <f t="shared" ref="L3:L37" si="5">BE3/($D3-$C3)</f>
        <v>62.8</v>
      </c>
      <c r="M3" s="27">
        <f t="shared" ref="M3:M37" si="6">BF3/($D3-$C3)</f>
        <v>169</v>
      </c>
      <c r="N3" s="49"/>
      <c r="O3">
        <v>5.1422303616638097E-2</v>
      </c>
      <c r="P3">
        <v>0.136504884052633</v>
      </c>
      <c r="Q3">
        <v>0.26754282688021702</v>
      </c>
      <c r="R3">
        <v>0.98750358289623297</v>
      </c>
      <c r="S3">
        <v>3.6696571758817198</v>
      </c>
      <c r="T3">
        <v>14.678628703526799</v>
      </c>
      <c r="V3">
        <v>5.1422303101187901E-2</v>
      </c>
      <c r="W3">
        <v>0.20568921240475099</v>
      </c>
      <c r="X3">
        <v>0.82275684961900697</v>
      </c>
      <c r="Y3">
        <v>3.2910273984760301</v>
      </c>
      <c r="Z3">
        <v>13.164109593904101</v>
      </c>
      <c r="AA3">
        <v>52.656438375616403</v>
      </c>
      <c r="BA3" s="6">
        <v>2</v>
      </c>
      <c r="BB3" s="6">
        <v>8</v>
      </c>
      <c r="BC3" s="6">
        <v>65</v>
      </c>
      <c r="BD3" s="6">
        <v>195</v>
      </c>
      <c r="BE3" s="6">
        <v>628</v>
      </c>
      <c r="BF3" s="6">
        <v>1690</v>
      </c>
    </row>
    <row r="4" spans="1:58" x14ac:dyDescent="0.25">
      <c r="A4" s="2">
        <v>8</v>
      </c>
      <c r="B4" s="2">
        <v>128</v>
      </c>
      <c r="C4" s="2">
        <v>115</v>
      </c>
      <c r="D4" s="2">
        <v>125</v>
      </c>
      <c r="E4" s="8">
        <v>0.161944718485239</v>
      </c>
      <c r="F4" s="8">
        <v>3.2526116479269097E-2</v>
      </c>
      <c r="G4" s="8">
        <v>7.7989329746457701E-3</v>
      </c>
      <c r="H4" s="27">
        <f t="shared" si="1"/>
        <v>1</v>
      </c>
      <c r="I4" s="27">
        <f t="shared" si="2"/>
        <v>3.1</v>
      </c>
      <c r="J4" s="27">
        <f t="shared" si="3"/>
        <v>8.9</v>
      </c>
      <c r="K4" s="27">
        <f t="shared" si="4"/>
        <v>23</v>
      </c>
      <c r="L4" s="27">
        <f t="shared" si="5"/>
        <v>50.9</v>
      </c>
      <c r="M4" s="27">
        <f t="shared" si="6"/>
        <v>149.30000000000001</v>
      </c>
      <c r="N4" s="49"/>
      <c r="O4">
        <v>9.4968206718967205E-2</v>
      </c>
      <c r="P4">
        <v>0.31788484763340902</v>
      </c>
      <c r="Q4">
        <v>0.78149567271952003</v>
      </c>
      <c r="R4">
        <v>2.2740324054836099</v>
      </c>
      <c r="S4">
        <v>8.3266858207082599</v>
      </c>
      <c r="T4">
        <v>33.306743282832997</v>
      </c>
      <c r="V4">
        <v>0.161944718485239</v>
      </c>
      <c r="W4">
        <v>0.64777887394095901</v>
      </c>
      <c r="X4">
        <v>2.5911154957638298</v>
      </c>
      <c r="Y4">
        <v>10.3644619830553</v>
      </c>
      <c r="Z4">
        <v>41.457847932221398</v>
      </c>
      <c r="AA4">
        <v>165.831391728885</v>
      </c>
      <c r="BA4" s="6">
        <v>10</v>
      </c>
      <c r="BB4" s="6">
        <v>31</v>
      </c>
      <c r="BC4" s="6">
        <v>89</v>
      </c>
      <c r="BD4" s="6">
        <v>230</v>
      </c>
      <c r="BE4" s="6">
        <v>509</v>
      </c>
      <c r="BF4" s="6">
        <v>1493</v>
      </c>
    </row>
    <row r="5" spans="1:58" x14ac:dyDescent="0.25">
      <c r="A5" s="2">
        <v>168</v>
      </c>
      <c r="B5" s="2">
        <v>128</v>
      </c>
      <c r="C5" s="2">
        <v>150</v>
      </c>
      <c r="D5" s="2">
        <v>160</v>
      </c>
      <c r="E5" s="8">
        <v>8.9416636847151898E-2</v>
      </c>
      <c r="F5" s="8">
        <v>2.1060905578879598E-2</v>
      </c>
      <c r="G5" s="8">
        <v>9.6694169987568603E-3</v>
      </c>
      <c r="H5" s="27">
        <f t="shared" si="1"/>
        <v>0.4</v>
      </c>
      <c r="I5" s="27">
        <f t="shared" si="2"/>
        <v>1.6</v>
      </c>
      <c r="J5" s="27">
        <f t="shared" si="3"/>
        <v>11</v>
      </c>
      <c r="K5" s="27">
        <f t="shared" si="4"/>
        <v>25.5</v>
      </c>
      <c r="L5" s="27">
        <f t="shared" si="5"/>
        <v>48.9</v>
      </c>
      <c r="M5" s="27">
        <f t="shared" si="6"/>
        <v>135.1</v>
      </c>
      <c r="N5" s="49"/>
      <c r="O5">
        <v>5.6005964760614799E-2</v>
      </c>
      <c r="P5">
        <v>0.16309275016740199</v>
      </c>
      <c r="Q5">
        <v>0.449858505678978</v>
      </c>
      <c r="R5">
        <v>1.61414237742101</v>
      </c>
      <c r="S5">
        <v>5.3915917727487104</v>
      </c>
      <c r="T5">
        <v>21.566367090994799</v>
      </c>
      <c r="V5">
        <v>8.9416636847151898E-2</v>
      </c>
      <c r="W5">
        <v>0.35766654738860698</v>
      </c>
      <c r="X5">
        <v>1.4306661895544299</v>
      </c>
      <c r="Y5">
        <v>5.7226647582177197</v>
      </c>
      <c r="Z5">
        <v>22.890659032870801</v>
      </c>
      <c r="AA5">
        <v>91.562636131483501</v>
      </c>
      <c r="BA5" s="6">
        <v>4</v>
      </c>
      <c r="BB5" s="6">
        <v>16</v>
      </c>
      <c r="BC5" s="6">
        <v>110</v>
      </c>
      <c r="BD5" s="6">
        <v>255</v>
      </c>
      <c r="BE5" s="6">
        <v>489</v>
      </c>
      <c r="BF5" s="6">
        <v>1351</v>
      </c>
    </row>
    <row r="6" spans="1:58" x14ac:dyDescent="0.25">
      <c r="A6" s="2">
        <v>150</v>
      </c>
      <c r="B6" s="2">
        <v>90</v>
      </c>
      <c r="C6" s="2">
        <v>194</v>
      </c>
      <c r="D6" s="2">
        <v>199</v>
      </c>
      <c r="E6" s="8">
        <v>4.68499378365069E-2</v>
      </c>
      <c r="F6" s="8">
        <v>1.9737041545963101E-2</v>
      </c>
      <c r="G6" s="8">
        <v>1.1301251811562101E-2</v>
      </c>
      <c r="H6" s="27">
        <f t="shared" si="1"/>
        <v>0.4</v>
      </c>
      <c r="I6" s="27">
        <f t="shared" si="2"/>
        <v>3.2</v>
      </c>
      <c r="J6" s="27">
        <f t="shared" si="3"/>
        <v>8.1999999999999993</v>
      </c>
      <c r="K6" s="27">
        <f t="shared" si="4"/>
        <v>27.8</v>
      </c>
      <c r="L6" s="27">
        <f t="shared" si="5"/>
        <v>82.8</v>
      </c>
      <c r="M6" s="27">
        <f t="shared" si="6"/>
        <v>176.4</v>
      </c>
      <c r="N6" s="49"/>
      <c r="O6">
        <v>4.6849938207403699E-2</v>
      </c>
      <c r="P6">
        <v>0.12535462962986799</v>
      </c>
      <c r="Q6">
        <v>0.44063655773576799</v>
      </c>
      <c r="R6">
        <v>1.4715502319528799</v>
      </c>
      <c r="S6">
        <v>5.0526826474058097</v>
      </c>
      <c r="T6">
        <v>20.2107305896232</v>
      </c>
      <c r="V6">
        <v>4.68499378365069E-2</v>
      </c>
      <c r="W6">
        <v>0.18739975134602699</v>
      </c>
      <c r="X6">
        <v>0.74959900538411095</v>
      </c>
      <c r="Y6">
        <v>2.9983960215364398</v>
      </c>
      <c r="Z6">
        <v>11.993584086145701</v>
      </c>
      <c r="AA6">
        <v>47.974336344583101</v>
      </c>
      <c r="BA6" s="6">
        <v>2</v>
      </c>
      <c r="BB6" s="6">
        <v>16</v>
      </c>
      <c r="BC6" s="6">
        <v>41</v>
      </c>
      <c r="BD6" s="6">
        <v>139</v>
      </c>
      <c r="BE6" s="6">
        <v>414</v>
      </c>
      <c r="BF6" s="6">
        <v>882</v>
      </c>
    </row>
    <row r="7" spans="1:58" x14ac:dyDescent="0.25">
      <c r="A7" s="2">
        <v>11</v>
      </c>
      <c r="B7" s="2">
        <v>90</v>
      </c>
      <c r="C7" s="2">
        <v>226</v>
      </c>
      <c r="D7" s="2">
        <v>234</v>
      </c>
      <c r="E7" s="8">
        <v>5.1754391722476999E-2</v>
      </c>
      <c r="F7" s="8">
        <v>2.3629413923689099E-2</v>
      </c>
      <c r="G7" s="8">
        <v>3.0143536797057099E-2</v>
      </c>
      <c r="H7" s="27">
        <f t="shared" si="1"/>
        <v>0.75</v>
      </c>
      <c r="I7" s="27">
        <f t="shared" si="2"/>
        <v>3.625</v>
      </c>
      <c r="J7" s="27">
        <f t="shared" si="3"/>
        <v>12.75</v>
      </c>
      <c r="K7" s="27">
        <f t="shared" si="4"/>
        <v>30.75</v>
      </c>
      <c r="L7" s="27">
        <f t="shared" si="5"/>
        <v>61.625</v>
      </c>
      <c r="M7" s="27">
        <f t="shared" si="6"/>
        <v>166.125</v>
      </c>
      <c r="N7" s="49"/>
      <c r="O7">
        <v>3.9406083818281298E-2</v>
      </c>
      <c r="P7">
        <v>0.15393753693111001</v>
      </c>
      <c r="Q7">
        <v>0.46926879178815301</v>
      </c>
      <c r="R7">
        <v>1.6679355265670801</v>
      </c>
      <c r="S7">
        <v>6.0491299651584196</v>
      </c>
      <c r="T7">
        <v>24.1965198606337</v>
      </c>
      <c r="V7">
        <v>5.1754391722476999E-2</v>
      </c>
      <c r="W7">
        <v>0.20701756688990799</v>
      </c>
      <c r="X7">
        <v>0.82807026755963298</v>
      </c>
      <c r="Y7">
        <v>3.3122810702385301</v>
      </c>
      <c r="Z7">
        <v>13.249124280954099</v>
      </c>
      <c r="AA7">
        <v>52.996497123816503</v>
      </c>
      <c r="BA7" s="6">
        <v>6</v>
      </c>
      <c r="BB7" s="6">
        <v>29</v>
      </c>
      <c r="BC7" s="6">
        <v>102</v>
      </c>
      <c r="BD7" s="6">
        <v>246</v>
      </c>
      <c r="BE7" s="6">
        <v>493</v>
      </c>
      <c r="BF7" s="6">
        <v>1329</v>
      </c>
    </row>
    <row r="8" spans="1:58" x14ac:dyDescent="0.25">
      <c r="A8" s="2">
        <v>22</v>
      </c>
      <c r="B8" s="2">
        <v>90</v>
      </c>
      <c r="C8" s="2">
        <v>265</v>
      </c>
      <c r="D8" s="2">
        <v>275</v>
      </c>
      <c r="E8" s="8">
        <v>6.2688332148029005E-2</v>
      </c>
      <c r="F8" s="8">
        <v>1.8357479777712401E-2</v>
      </c>
      <c r="G8" s="8">
        <v>5.3392743586913897E-3</v>
      </c>
      <c r="H8" s="27">
        <f t="shared" si="1"/>
        <v>0.3</v>
      </c>
      <c r="I8" s="27">
        <f t="shared" si="2"/>
        <v>2.1</v>
      </c>
      <c r="J8" s="27">
        <f t="shared" si="3"/>
        <v>9.1</v>
      </c>
      <c r="K8" s="27">
        <f t="shared" si="4"/>
        <v>21.2</v>
      </c>
      <c r="L8" s="27">
        <f t="shared" si="5"/>
        <v>66</v>
      </c>
      <c r="M8" s="27">
        <f t="shared" si="6"/>
        <v>158.1</v>
      </c>
      <c r="N8" s="49"/>
      <c r="O8">
        <v>4.5463397559226001E-2</v>
      </c>
      <c r="P8">
        <v>0.16338445100562901</v>
      </c>
      <c r="Q8">
        <v>0.426009200925964</v>
      </c>
      <c r="R8">
        <v>1.2687679005852299</v>
      </c>
      <c r="S8">
        <v>4.6995148199797203</v>
      </c>
      <c r="T8">
        <v>18.7980592799188</v>
      </c>
      <c r="V8">
        <v>4.5463397884194803E-2</v>
      </c>
      <c r="W8">
        <v>0.25075332859211602</v>
      </c>
      <c r="X8">
        <v>1.0030133143684601</v>
      </c>
      <c r="Y8">
        <v>4.0120532574738599</v>
      </c>
      <c r="Z8">
        <v>16.0482130298954</v>
      </c>
      <c r="AA8">
        <v>64.192852119581701</v>
      </c>
      <c r="BA8" s="6">
        <v>3</v>
      </c>
      <c r="BB8" s="6">
        <v>21</v>
      </c>
      <c r="BC8" s="6">
        <v>91</v>
      </c>
      <c r="BD8" s="6">
        <v>212</v>
      </c>
      <c r="BE8" s="6">
        <v>660</v>
      </c>
      <c r="BF8" s="6">
        <v>1581</v>
      </c>
    </row>
    <row r="9" spans="1:58" x14ac:dyDescent="0.25">
      <c r="A9" s="2">
        <v>152</v>
      </c>
      <c r="B9" s="2">
        <v>90</v>
      </c>
      <c r="C9" s="2">
        <v>310</v>
      </c>
      <c r="D9" s="2">
        <v>320</v>
      </c>
      <c r="E9" s="8">
        <v>0.10293183462706799</v>
      </c>
      <c r="F9" s="8">
        <v>2.3869849132825499E-2</v>
      </c>
      <c r="G9" s="8">
        <v>8.4624680045280194E-3</v>
      </c>
      <c r="H9" s="27">
        <f t="shared" si="1"/>
        <v>0.9</v>
      </c>
      <c r="I9" s="27">
        <f t="shared" si="2"/>
        <v>3.2</v>
      </c>
      <c r="J9" s="27">
        <f t="shared" si="3"/>
        <v>7.5</v>
      </c>
      <c r="K9" s="27">
        <f t="shared" si="4"/>
        <v>23.3</v>
      </c>
      <c r="L9" s="27">
        <f t="shared" si="5"/>
        <v>70</v>
      </c>
      <c r="M9" s="27">
        <f t="shared" si="6"/>
        <v>163.9</v>
      </c>
      <c r="N9" s="49"/>
      <c r="O9">
        <v>9.5743592288179996E-2</v>
      </c>
      <c r="P9">
        <v>0.18723147718286101</v>
      </c>
      <c r="Q9">
        <v>0.64667150537108198</v>
      </c>
      <c r="R9">
        <v>1.81287477386409</v>
      </c>
      <c r="S9">
        <v>6.1106814199081896</v>
      </c>
      <c r="T9">
        <v>24.442725679632701</v>
      </c>
      <c r="V9">
        <v>0.10293183462706799</v>
      </c>
      <c r="W9">
        <v>0.41172733850827198</v>
      </c>
      <c r="X9">
        <v>1.6469093540330899</v>
      </c>
      <c r="Y9">
        <v>6.5876374161323596</v>
      </c>
      <c r="Z9">
        <v>26.3505496645294</v>
      </c>
      <c r="AA9">
        <v>105.402198658117</v>
      </c>
      <c r="BA9" s="6">
        <v>9</v>
      </c>
      <c r="BB9" s="6">
        <v>32</v>
      </c>
      <c r="BC9" s="6">
        <v>75</v>
      </c>
      <c r="BD9" s="6">
        <v>233</v>
      </c>
      <c r="BE9" s="6">
        <v>700</v>
      </c>
      <c r="BF9" s="6">
        <v>1639</v>
      </c>
    </row>
    <row r="10" spans="1:58" x14ac:dyDescent="0.25">
      <c r="A10" s="2">
        <v>12</v>
      </c>
      <c r="B10" s="2">
        <v>64</v>
      </c>
      <c r="C10" s="2">
        <v>357</v>
      </c>
      <c r="D10" s="2">
        <v>360</v>
      </c>
      <c r="E10" s="8">
        <v>4.4543546788178297E-2</v>
      </c>
      <c r="F10" s="8">
        <v>2.3352349155409499E-2</v>
      </c>
      <c r="G10" s="8">
        <v>2.1759151907210301E-2</v>
      </c>
      <c r="H10" s="27">
        <f t="shared" si="1"/>
        <v>1</v>
      </c>
      <c r="I10" s="27">
        <f t="shared" si="2"/>
        <v>4.666666666666667</v>
      </c>
      <c r="J10" s="27">
        <f t="shared" si="3"/>
        <v>13.666666666666666</v>
      </c>
      <c r="K10" s="27">
        <f t="shared" si="4"/>
        <v>34.333333333333336</v>
      </c>
      <c r="L10" s="27">
        <f t="shared" si="5"/>
        <v>107.66666666666667</v>
      </c>
      <c r="M10" s="27">
        <f t="shared" si="6"/>
        <v>186.33333333333334</v>
      </c>
      <c r="N10" s="49"/>
      <c r="O10">
        <v>3.8585276164057498E-2</v>
      </c>
      <c r="P10">
        <v>0.117415800187244</v>
      </c>
      <c r="Q10">
        <v>0.46966320074897699</v>
      </c>
      <c r="R10">
        <v>1.4945503386105301</v>
      </c>
      <c r="S10">
        <v>5.97820135444214</v>
      </c>
      <c r="T10">
        <v>23.912805417768499</v>
      </c>
      <c r="V10">
        <v>4.4543546788178297E-2</v>
      </c>
      <c r="W10">
        <v>0.17817418715271299</v>
      </c>
      <c r="X10">
        <v>0.71269674861085297</v>
      </c>
      <c r="Y10">
        <v>2.8507869944434101</v>
      </c>
      <c r="Z10">
        <v>11.4031479777736</v>
      </c>
      <c r="AA10">
        <v>45.612591911094597</v>
      </c>
      <c r="BA10" s="6">
        <v>3</v>
      </c>
      <c r="BB10" s="6">
        <v>14</v>
      </c>
      <c r="BC10" s="6">
        <v>41</v>
      </c>
      <c r="BD10" s="6">
        <v>103</v>
      </c>
      <c r="BE10" s="6">
        <v>323</v>
      </c>
      <c r="BF10" s="6">
        <v>559</v>
      </c>
    </row>
    <row r="11" spans="1:58" x14ac:dyDescent="0.25">
      <c r="A11" s="2">
        <v>96</v>
      </c>
      <c r="B11" s="2">
        <v>64</v>
      </c>
      <c r="C11" s="2">
        <v>392</v>
      </c>
      <c r="D11" s="2">
        <v>400</v>
      </c>
      <c r="E11" s="8">
        <v>9.5639162401153693E-2</v>
      </c>
      <c r="F11" s="8">
        <v>1.9277468694701001E-2</v>
      </c>
      <c r="G11" s="8">
        <v>5.1627678565697001E-3</v>
      </c>
      <c r="H11" s="27">
        <f t="shared" si="1"/>
        <v>0.375</v>
      </c>
      <c r="I11" s="27">
        <f t="shared" si="2"/>
        <v>2.75</v>
      </c>
      <c r="J11" s="27">
        <f t="shared" si="3"/>
        <v>7.25</v>
      </c>
      <c r="K11" s="27">
        <f t="shared" si="4"/>
        <v>20.625</v>
      </c>
      <c r="L11" s="27">
        <f t="shared" si="5"/>
        <v>69.875</v>
      </c>
      <c r="M11" s="27">
        <f t="shared" si="6"/>
        <v>173</v>
      </c>
      <c r="N11" s="49"/>
      <c r="O11">
        <v>9.5639162709086803E-2</v>
      </c>
      <c r="P11">
        <v>0.18581760283662399</v>
      </c>
      <c r="Q11">
        <v>0.60536126077852104</v>
      </c>
      <c r="R11">
        <v>1.2337579982911999</v>
      </c>
      <c r="S11">
        <v>4.9350319931648103</v>
      </c>
      <c r="T11">
        <v>19.740127972659199</v>
      </c>
      <c r="V11">
        <v>9.5639162401153693E-2</v>
      </c>
      <c r="W11">
        <v>0.382556649604614</v>
      </c>
      <c r="X11">
        <v>1.53022659841845</v>
      </c>
      <c r="Y11">
        <v>6.1209063936738302</v>
      </c>
      <c r="Z11">
        <v>24.483625574695299</v>
      </c>
      <c r="AA11">
        <v>97.934502298781396</v>
      </c>
      <c r="BA11" s="6">
        <v>3</v>
      </c>
      <c r="BB11" s="6">
        <v>22</v>
      </c>
      <c r="BC11" s="6">
        <v>58</v>
      </c>
      <c r="BD11" s="6">
        <v>165</v>
      </c>
      <c r="BE11" s="6">
        <v>559</v>
      </c>
      <c r="BF11" s="6">
        <v>1384</v>
      </c>
    </row>
    <row r="12" spans="1:58" x14ac:dyDescent="0.25">
      <c r="A12" s="2">
        <v>101</v>
      </c>
      <c r="B12" s="2">
        <v>64</v>
      </c>
      <c r="C12" s="2">
        <v>432</v>
      </c>
      <c r="D12" s="2">
        <v>438</v>
      </c>
      <c r="E12" s="8">
        <v>3.00794247374499E-2</v>
      </c>
      <c r="F12" s="8">
        <v>1.50358559887077E-2</v>
      </c>
      <c r="G12" s="8">
        <v>9.2196022769056602E-3</v>
      </c>
      <c r="H12" s="27">
        <f t="shared" si="1"/>
        <v>0.33333333333333331</v>
      </c>
      <c r="I12" s="27">
        <f t="shared" si="2"/>
        <v>1.5</v>
      </c>
      <c r="J12" s="27">
        <f t="shared" si="3"/>
        <v>8.1666666666666661</v>
      </c>
      <c r="K12" s="27">
        <f t="shared" si="4"/>
        <v>22</v>
      </c>
      <c r="L12" s="27">
        <f t="shared" si="5"/>
        <v>90.666666666666671</v>
      </c>
      <c r="M12" s="27">
        <f t="shared" si="6"/>
        <v>173.5</v>
      </c>
      <c r="N12" s="49"/>
      <c r="O12">
        <v>2.85197693561322E-2</v>
      </c>
      <c r="P12">
        <v>0.101347429024516</v>
      </c>
      <c r="Q12">
        <v>0.24057369702033901</v>
      </c>
      <c r="R12">
        <v>0.96229478808135804</v>
      </c>
      <c r="S12">
        <v>3.84917915232543</v>
      </c>
      <c r="T12">
        <v>15.3967166093017</v>
      </c>
      <c r="V12">
        <v>3.00794247374499E-2</v>
      </c>
      <c r="W12">
        <v>0.120317698949799</v>
      </c>
      <c r="X12">
        <v>0.48127079579919901</v>
      </c>
      <c r="Y12">
        <v>1.9250831831967901</v>
      </c>
      <c r="Z12">
        <v>7.7003327327871904</v>
      </c>
      <c r="AA12">
        <v>30.801330931148701</v>
      </c>
      <c r="BA12" s="6">
        <v>2</v>
      </c>
      <c r="BB12" s="6">
        <v>9</v>
      </c>
      <c r="BC12" s="6">
        <v>49</v>
      </c>
      <c r="BD12" s="6">
        <v>132</v>
      </c>
      <c r="BE12" s="6">
        <v>544</v>
      </c>
      <c r="BF12" s="6">
        <v>1041</v>
      </c>
    </row>
    <row r="13" spans="1:58" x14ac:dyDescent="0.25">
      <c r="A13" s="2">
        <v>24</v>
      </c>
      <c r="B13" s="2">
        <v>64</v>
      </c>
      <c r="C13" s="2">
        <v>468</v>
      </c>
      <c r="D13" s="2">
        <v>478</v>
      </c>
      <c r="E13" s="8">
        <v>0.10538288704710901</v>
      </c>
      <c r="F13" s="8">
        <v>1.6430974908246999E-2</v>
      </c>
      <c r="G13" s="8">
        <v>6.0105568763227698E-3</v>
      </c>
      <c r="H13" s="27">
        <f t="shared" si="1"/>
        <v>0.5</v>
      </c>
      <c r="I13" s="27">
        <f t="shared" si="2"/>
        <v>1.8</v>
      </c>
      <c r="J13" s="27">
        <f t="shared" si="3"/>
        <v>4.3</v>
      </c>
      <c r="K13" s="27">
        <f t="shared" si="4"/>
        <v>13.9</v>
      </c>
      <c r="L13" s="27">
        <f t="shared" si="5"/>
        <v>58.6</v>
      </c>
      <c r="M13" s="27">
        <f t="shared" si="6"/>
        <v>173</v>
      </c>
      <c r="N13" s="49"/>
      <c r="O13">
        <v>0.10538288717717199</v>
      </c>
      <c r="P13">
        <v>0.15056990486005101</v>
      </c>
      <c r="Q13">
        <v>0.50129083006757003</v>
      </c>
      <c r="R13">
        <v>1.0515823951961401</v>
      </c>
      <c r="S13">
        <v>4.2063295807845602</v>
      </c>
      <c r="T13">
        <v>16.825318323138202</v>
      </c>
      <c r="V13">
        <v>0.10538288704710901</v>
      </c>
      <c r="W13">
        <v>0.42153154818843802</v>
      </c>
      <c r="X13">
        <v>1.6861261927537501</v>
      </c>
      <c r="Y13">
        <v>6.7445047710150003</v>
      </c>
      <c r="Z13">
        <v>26.978019084060001</v>
      </c>
      <c r="AA13">
        <v>107.91207633624001</v>
      </c>
      <c r="BA13" s="6">
        <v>5</v>
      </c>
      <c r="BB13" s="6">
        <v>18</v>
      </c>
      <c r="BC13" s="6">
        <v>43</v>
      </c>
      <c r="BD13" s="6">
        <v>139</v>
      </c>
      <c r="BE13" s="6">
        <v>586</v>
      </c>
      <c r="BF13" s="6">
        <v>1730</v>
      </c>
    </row>
    <row r="14" spans="1:58" x14ac:dyDescent="0.25">
      <c r="A14" s="2">
        <v>107</v>
      </c>
      <c r="B14" s="2">
        <v>45</v>
      </c>
      <c r="C14" s="2">
        <v>515</v>
      </c>
      <c r="D14" s="2">
        <v>520</v>
      </c>
      <c r="E14" s="8">
        <v>2.7724885205644801E-2</v>
      </c>
      <c r="F14" s="8">
        <v>1.4478880481023E-2</v>
      </c>
      <c r="G14" s="8">
        <v>1.4642800293065399E-2</v>
      </c>
      <c r="H14" s="27">
        <f t="shared" si="1"/>
        <v>0.2</v>
      </c>
      <c r="I14" s="27">
        <f t="shared" si="2"/>
        <v>2.6</v>
      </c>
      <c r="J14" s="27">
        <f t="shared" si="3"/>
        <v>7.8</v>
      </c>
      <c r="K14" s="27">
        <f t="shared" si="4"/>
        <v>15.6</v>
      </c>
      <c r="L14" s="27">
        <f t="shared" si="5"/>
        <v>69</v>
      </c>
      <c r="M14" s="27">
        <f t="shared" si="6"/>
        <v>188.6</v>
      </c>
      <c r="N14" s="49"/>
      <c r="O14">
        <v>2.77248857374158E-2</v>
      </c>
      <c r="P14">
        <v>7.8677957752448305E-2</v>
      </c>
      <c r="Q14">
        <v>0.26510584610390098</v>
      </c>
      <c r="R14">
        <v>0.92664835919294097</v>
      </c>
      <c r="S14">
        <v>3.7065934367717599</v>
      </c>
      <c r="T14">
        <v>14.826373747087001</v>
      </c>
      <c r="V14">
        <v>2.7724885205644801E-2</v>
      </c>
      <c r="W14">
        <v>0.110899540822579</v>
      </c>
      <c r="X14">
        <v>0.44359816329031698</v>
      </c>
      <c r="Y14">
        <v>1.7743926531612599</v>
      </c>
      <c r="Z14">
        <v>7.0975706126450699</v>
      </c>
      <c r="AA14">
        <v>28.390282450580202</v>
      </c>
      <c r="BA14" s="6">
        <v>1</v>
      </c>
      <c r="BB14" s="6">
        <v>13</v>
      </c>
      <c r="BC14" s="6">
        <v>39</v>
      </c>
      <c r="BD14" s="6">
        <v>78</v>
      </c>
      <c r="BE14" s="6">
        <v>345</v>
      </c>
      <c r="BF14" s="6">
        <v>943</v>
      </c>
    </row>
    <row r="15" spans="1:58" x14ac:dyDescent="0.25">
      <c r="A15" s="2">
        <v>162</v>
      </c>
      <c r="B15" s="2">
        <v>45</v>
      </c>
      <c r="C15" s="2">
        <v>550</v>
      </c>
      <c r="D15" s="2">
        <v>560</v>
      </c>
      <c r="E15" s="8">
        <v>2.2481115003792299E-2</v>
      </c>
      <c r="F15" s="8">
        <v>9.1860908476934702E-3</v>
      </c>
      <c r="G15" s="8">
        <v>5.26397191560033E-3</v>
      </c>
      <c r="H15" s="27">
        <f t="shared" si="1"/>
        <v>0</v>
      </c>
      <c r="I15" s="27">
        <f t="shared" si="2"/>
        <v>0.8</v>
      </c>
      <c r="J15" s="27">
        <f t="shared" si="3"/>
        <v>4</v>
      </c>
      <c r="K15" s="27">
        <f t="shared" si="4"/>
        <v>12.1</v>
      </c>
      <c r="L15" s="27">
        <f t="shared" si="5"/>
        <v>63.1</v>
      </c>
      <c r="M15" s="27">
        <f t="shared" si="6"/>
        <v>188.1</v>
      </c>
      <c r="N15" s="49"/>
      <c r="P15">
        <v>7.7959153032395798E-2</v>
      </c>
      <c r="Q15">
        <v>0.24135454645261201</v>
      </c>
      <c r="R15">
        <v>0.62231226944989104</v>
      </c>
      <c r="S15">
        <v>2.3516392566763402</v>
      </c>
      <c r="T15">
        <v>9.4065570267053804</v>
      </c>
      <c r="W15">
        <v>8.9924460015169197E-2</v>
      </c>
      <c r="X15">
        <v>0.35969784006067601</v>
      </c>
      <c r="Y15">
        <v>1.4387913602427</v>
      </c>
      <c r="Z15">
        <v>5.7551654409708304</v>
      </c>
      <c r="AA15">
        <v>23.0206617638833</v>
      </c>
      <c r="BA15" s="6">
        <v>0</v>
      </c>
      <c r="BB15" s="6">
        <v>8</v>
      </c>
      <c r="BC15" s="6">
        <v>40</v>
      </c>
      <c r="BD15" s="6">
        <v>121</v>
      </c>
      <c r="BE15" s="6">
        <v>631</v>
      </c>
      <c r="BF15" s="6">
        <v>1881</v>
      </c>
    </row>
    <row r="16" spans="1:58" x14ac:dyDescent="0.25">
      <c r="A16" s="2">
        <v>159</v>
      </c>
      <c r="B16" s="2">
        <v>45</v>
      </c>
      <c r="C16" s="2">
        <v>595</v>
      </c>
      <c r="D16" s="2">
        <v>610</v>
      </c>
      <c r="E16" s="8">
        <v>1.09573532088619E-2</v>
      </c>
      <c r="F16" s="8">
        <v>4.9905746416529098E-3</v>
      </c>
      <c r="G16" s="8">
        <v>4.5767283517164602E-3</v>
      </c>
      <c r="H16" s="27">
        <f t="shared" si="1"/>
        <v>0</v>
      </c>
      <c r="I16" s="27">
        <f t="shared" si="2"/>
        <v>0</v>
      </c>
      <c r="J16" s="27">
        <f t="shared" si="3"/>
        <v>0.73333333333333328</v>
      </c>
      <c r="K16" s="27">
        <f t="shared" si="4"/>
        <v>4.8</v>
      </c>
      <c r="L16" s="27">
        <f t="shared" si="5"/>
        <v>51.8</v>
      </c>
      <c r="M16" s="27">
        <f t="shared" si="6"/>
        <v>188</v>
      </c>
      <c r="N16" s="49"/>
      <c r="Q16">
        <v>0.12254395097085501</v>
      </c>
      <c r="R16">
        <v>0.35900970208783201</v>
      </c>
      <c r="S16">
        <v>1.2775871078584</v>
      </c>
      <c r="T16">
        <v>5.1103484314336303</v>
      </c>
      <c r="X16">
        <v>0.175317651341791</v>
      </c>
      <c r="Y16">
        <v>0.70127060536716501</v>
      </c>
      <c r="Z16">
        <v>2.80508242146866</v>
      </c>
      <c r="AA16">
        <v>11.220329685874599</v>
      </c>
      <c r="BA16" s="6">
        <v>0</v>
      </c>
      <c r="BB16" s="6">
        <v>0</v>
      </c>
      <c r="BC16" s="6">
        <v>11</v>
      </c>
      <c r="BD16" s="6">
        <v>72</v>
      </c>
      <c r="BE16" s="6">
        <v>777</v>
      </c>
      <c r="BF16" s="6">
        <v>2820</v>
      </c>
    </row>
    <row r="17" spans="1:58" x14ac:dyDescent="0.25">
      <c r="A17" s="2">
        <v>35</v>
      </c>
      <c r="B17" s="2">
        <v>45</v>
      </c>
      <c r="C17" s="2">
        <v>642</v>
      </c>
      <c r="D17" s="2">
        <v>648</v>
      </c>
      <c r="E17" s="8">
        <v>2.2279504588702301E-2</v>
      </c>
      <c r="F17" s="8">
        <v>9.4453501582737708E-3</v>
      </c>
      <c r="G17" s="8">
        <v>6.3512880877902899E-3</v>
      </c>
      <c r="H17" s="27">
        <f t="shared" si="1"/>
        <v>0</v>
      </c>
      <c r="I17" s="27">
        <f t="shared" si="2"/>
        <v>1</v>
      </c>
      <c r="J17" s="27">
        <f t="shared" si="3"/>
        <v>4</v>
      </c>
      <c r="K17" s="27">
        <f t="shared" si="4"/>
        <v>17.166666666666668</v>
      </c>
      <c r="L17" s="27">
        <f t="shared" si="5"/>
        <v>69.666666666666671</v>
      </c>
      <c r="M17" s="27">
        <f t="shared" si="6"/>
        <v>189.83333333333334</v>
      </c>
      <c r="N17" s="49"/>
      <c r="P17">
        <v>7.2703926665255297E-2</v>
      </c>
      <c r="Q17">
        <v>0.21382124817687001</v>
      </c>
      <c r="R17">
        <v>0.60450240905165797</v>
      </c>
      <c r="S17">
        <v>2.4180096362066301</v>
      </c>
      <c r="T17">
        <v>9.6720385448265294</v>
      </c>
      <c r="W17">
        <v>8.9118018354809397E-2</v>
      </c>
      <c r="X17">
        <v>0.35647207341923698</v>
      </c>
      <c r="Y17">
        <v>1.4258882936769499</v>
      </c>
      <c r="Z17">
        <v>5.7035531747077997</v>
      </c>
      <c r="AA17">
        <v>22.814212698831199</v>
      </c>
      <c r="BA17" s="6">
        <v>0</v>
      </c>
      <c r="BB17" s="6">
        <v>6</v>
      </c>
      <c r="BC17" s="6">
        <v>24</v>
      </c>
      <c r="BD17" s="6">
        <v>103</v>
      </c>
      <c r="BE17" s="6">
        <v>418</v>
      </c>
      <c r="BF17" s="6">
        <v>1139</v>
      </c>
    </row>
    <row r="18" spans="1:58" x14ac:dyDescent="0.25">
      <c r="A18" s="2">
        <v>69</v>
      </c>
      <c r="B18" s="2">
        <v>32</v>
      </c>
      <c r="C18" s="2">
        <v>685</v>
      </c>
      <c r="D18" s="2">
        <v>689</v>
      </c>
      <c r="E18" s="8">
        <v>1.0897008883362201E-2</v>
      </c>
      <c r="F18" s="8">
        <v>7.27047978157239E-3</v>
      </c>
      <c r="G18" s="8">
        <v>6.8585843273274603E-3</v>
      </c>
      <c r="H18" s="27">
        <f t="shared" si="1"/>
        <v>0</v>
      </c>
      <c r="I18" s="27">
        <f t="shared" si="2"/>
        <v>0.25</v>
      </c>
      <c r="J18" s="27">
        <f t="shared" si="3"/>
        <v>3</v>
      </c>
      <c r="K18" s="27">
        <f t="shared" si="4"/>
        <v>14.25</v>
      </c>
      <c r="L18" s="27">
        <f t="shared" si="5"/>
        <v>68.75</v>
      </c>
      <c r="M18" s="27">
        <f t="shared" si="6"/>
        <v>207.5</v>
      </c>
      <c r="N18" s="49"/>
      <c r="P18">
        <v>4.3588035701968897E-2</v>
      </c>
      <c r="Q18">
        <v>0.13106034882425699</v>
      </c>
      <c r="R18">
        <v>0.52424139529702896</v>
      </c>
      <c r="S18">
        <v>1.86124282879616</v>
      </c>
      <c r="T18">
        <v>7.4449713151846701</v>
      </c>
      <c r="W18">
        <v>4.3588035533449102E-2</v>
      </c>
      <c r="X18">
        <v>0.17435214213379599</v>
      </c>
      <c r="Y18">
        <v>0.69740856853518496</v>
      </c>
      <c r="Z18">
        <v>2.7896342741407398</v>
      </c>
      <c r="AA18">
        <v>11.158537096562901</v>
      </c>
      <c r="BA18" s="6">
        <v>0</v>
      </c>
      <c r="BB18" s="6">
        <v>1</v>
      </c>
      <c r="BC18" s="6">
        <v>12</v>
      </c>
      <c r="BD18" s="6">
        <v>57</v>
      </c>
      <c r="BE18" s="6">
        <v>275</v>
      </c>
      <c r="BF18" s="6">
        <v>830</v>
      </c>
    </row>
    <row r="19" spans="1:58" x14ac:dyDescent="0.25">
      <c r="A19" s="2">
        <v>85</v>
      </c>
      <c r="B19" s="2">
        <v>32</v>
      </c>
      <c r="C19" s="2">
        <v>730</v>
      </c>
      <c r="D19" s="2">
        <v>736</v>
      </c>
      <c r="E19" s="8">
        <v>1.13162316396569E-2</v>
      </c>
      <c r="F19" s="8">
        <v>6.77105129691932E-3</v>
      </c>
      <c r="G19" s="8">
        <v>5.0494700428746703E-3</v>
      </c>
      <c r="H19" s="27">
        <f t="shared" si="1"/>
        <v>0</v>
      </c>
      <c r="I19" s="27">
        <f t="shared" si="2"/>
        <v>0.16666666666666666</v>
      </c>
      <c r="J19" s="27">
        <f t="shared" si="3"/>
        <v>2.8333333333333335</v>
      </c>
      <c r="K19" s="27">
        <f t="shared" si="4"/>
        <v>12.666666666666666</v>
      </c>
      <c r="L19" s="27">
        <f t="shared" si="5"/>
        <v>54.666666666666664</v>
      </c>
      <c r="M19" s="27">
        <f t="shared" si="6"/>
        <v>204.66666666666666</v>
      </c>
      <c r="N19" s="49"/>
      <c r="P19">
        <v>4.5264926352280903E-2</v>
      </c>
      <c r="Q19">
        <v>0.12707267062271299</v>
      </c>
      <c r="R19">
        <v>0.43334728234498898</v>
      </c>
      <c r="S19">
        <v>1.7333891293799499</v>
      </c>
      <c r="T19">
        <v>6.9335565175198299</v>
      </c>
      <c r="W19">
        <v>4.5264926558627801E-2</v>
      </c>
      <c r="X19">
        <v>0.18105970623451101</v>
      </c>
      <c r="Y19">
        <v>0.72423882493804503</v>
      </c>
      <c r="Z19">
        <v>2.8969552997521801</v>
      </c>
      <c r="AA19">
        <v>11.587821199008699</v>
      </c>
      <c r="BA19" s="6">
        <v>0</v>
      </c>
      <c r="BB19" s="6">
        <v>1</v>
      </c>
      <c r="BC19" s="6">
        <v>17</v>
      </c>
      <c r="BD19" s="6">
        <v>76</v>
      </c>
      <c r="BE19" s="6">
        <v>328</v>
      </c>
      <c r="BF19" s="6">
        <v>1228</v>
      </c>
    </row>
    <row r="20" spans="1:58" x14ac:dyDescent="0.25">
      <c r="A20" s="2">
        <v>61</v>
      </c>
      <c r="B20" s="2">
        <v>32</v>
      </c>
      <c r="C20" s="2">
        <v>782</v>
      </c>
      <c r="D20" s="2">
        <v>788</v>
      </c>
      <c r="E20" s="8">
        <v>2.4554138346802101E-2</v>
      </c>
      <c r="F20" s="8">
        <v>8.2745106205033593E-3</v>
      </c>
      <c r="G20" s="8">
        <v>4.2829956428710502E-3</v>
      </c>
      <c r="H20" s="27">
        <f t="shared" si="1"/>
        <v>0</v>
      </c>
      <c r="I20" s="27">
        <f t="shared" si="2"/>
        <v>1</v>
      </c>
      <c r="J20" s="27">
        <f t="shared" si="3"/>
        <v>4.5</v>
      </c>
      <c r="K20" s="27">
        <f t="shared" si="4"/>
        <v>10.666666666666666</v>
      </c>
      <c r="L20" s="27">
        <f t="shared" si="5"/>
        <v>60.666666666666664</v>
      </c>
      <c r="M20" s="27">
        <f t="shared" si="6"/>
        <v>200.16666666666666</v>
      </c>
      <c r="N20" s="49"/>
      <c r="P20">
        <v>6.4224427234734496E-2</v>
      </c>
      <c r="Q20">
        <v>0.22893530246709601</v>
      </c>
      <c r="R20">
        <v>0.58198300914003198</v>
      </c>
      <c r="S20">
        <v>2.1182747223488398</v>
      </c>
      <c r="T20">
        <v>8.4730988893953594</v>
      </c>
      <c r="W20">
        <v>9.8216553387208499E-2</v>
      </c>
      <c r="X20">
        <v>0.392866213548834</v>
      </c>
      <c r="Y20">
        <v>1.57146485419533</v>
      </c>
      <c r="Z20">
        <v>6.2858594167813404</v>
      </c>
      <c r="AA20">
        <v>25.143437667125301</v>
      </c>
      <c r="BA20" s="6">
        <v>0</v>
      </c>
      <c r="BB20" s="6">
        <v>6</v>
      </c>
      <c r="BC20" s="6">
        <v>27</v>
      </c>
      <c r="BD20" s="6">
        <v>64</v>
      </c>
      <c r="BE20" s="6">
        <v>364</v>
      </c>
      <c r="BF20" s="6">
        <v>1201</v>
      </c>
    </row>
    <row r="21" spans="1:58" x14ac:dyDescent="0.25">
      <c r="A21" s="2">
        <v>52</v>
      </c>
      <c r="B21" s="2">
        <v>32</v>
      </c>
      <c r="C21" s="2">
        <v>820</v>
      </c>
      <c r="D21" s="2">
        <v>825</v>
      </c>
      <c r="E21" s="8">
        <v>1.6195175632876601E-2</v>
      </c>
      <c r="F21" s="8">
        <v>8.7837172608482301E-3</v>
      </c>
      <c r="G21" s="8">
        <v>7.5116788153303899E-3</v>
      </c>
      <c r="H21" s="27">
        <f t="shared" si="1"/>
        <v>0</v>
      </c>
      <c r="I21" s="27">
        <f t="shared" si="2"/>
        <v>0.6</v>
      </c>
      <c r="J21" s="27">
        <f t="shared" si="3"/>
        <v>4.2</v>
      </c>
      <c r="K21" s="27">
        <f t="shared" si="4"/>
        <v>14.8</v>
      </c>
      <c r="L21" s="27">
        <f t="shared" si="5"/>
        <v>79</v>
      </c>
      <c r="M21" s="27">
        <f t="shared" si="6"/>
        <v>198</v>
      </c>
      <c r="N21" s="49"/>
      <c r="P21">
        <v>5.66060042990124E-2</v>
      </c>
      <c r="Q21">
        <v>0.173305439270318</v>
      </c>
      <c r="R21">
        <v>0.56215790367475604</v>
      </c>
      <c r="S21">
        <v>2.2486316146990202</v>
      </c>
      <c r="T21">
        <v>8.9945264587960896</v>
      </c>
      <c r="W21">
        <v>6.4780702531506598E-2</v>
      </c>
      <c r="X21">
        <v>0.259122810126026</v>
      </c>
      <c r="Y21">
        <v>1.0364912405041</v>
      </c>
      <c r="Z21">
        <v>4.1459649620164196</v>
      </c>
      <c r="AA21">
        <v>16.5838598480656</v>
      </c>
      <c r="BA21" s="6">
        <v>0</v>
      </c>
      <c r="BB21" s="6">
        <v>3</v>
      </c>
      <c r="BC21" s="6">
        <v>21</v>
      </c>
      <c r="BD21" s="6">
        <v>74</v>
      </c>
      <c r="BE21" s="6">
        <v>395</v>
      </c>
      <c r="BF21" s="6">
        <v>990</v>
      </c>
    </row>
    <row r="22" spans="1:58" x14ac:dyDescent="0.25">
      <c r="A22" s="2">
        <v>165</v>
      </c>
      <c r="B22" s="2">
        <v>16</v>
      </c>
      <c r="C22" s="2">
        <v>865</v>
      </c>
      <c r="D22" s="2">
        <v>875</v>
      </c>
      <c r="E22" s="8">
        <v>1.06254875376059E-2</v>
      </c>
      <c r="F22" s="8">
        <v>5.3979442955963304E-3</v>
      </c>
      <c r="G22" s="8">
        <v>5.0606462291010196E-3</v>
      </c>
      <c r="H22" s="27">
        <f t="shared" si="1"/>
        <v>0</v>
      </c>
      <c r="I22" s="27">
        <f t="shared" si="2"/>
        <v>0.1</v>
      </c>
      <c r="J22" s="27">
        <f t="shared" si="3"/>
        <v>1.1000000000000001</v>
      </c>
      <c r="K22" s="27">
        <f t="shared" si="4"/>
        <v>6.2</v>
      </c>
      <c r="L22" s="27">
        <f t="shared" si="5"/>
        <v>60.7</v>
      </c>
      <c r="M22" s="27">
        <f t="shared" si="6"/>
        <v>191.1</v>
      </c>
      <c r="N22" s="49"/>
      <c r="P22">
        <v>4.2501949944915698E-2</v>
      </c>
      <c r="Q22">
        <v>0.116374533955678</v>
      </c>
      <c r="R22">
        <v>0.36853445483851999</v>
      </c>
      <c r="S22">
        <v>1.38187374013061</v>
      </c>
      <c r="T22">
        <v>5.5274949605224499</v>
      </c>
      <c r="W22">
        <v>4.2501950150423698E-2</v>
      </c>
      <c r="X22">
        <v>0.17000780060169399</v>
      </c>
      <c r="Y22">
        <v>0.68003120240677895</v>
      </c>
      <c r="Z22">
        <v>2.72012480962711</v>
      </c>
      <c r="AA22">
        <v>10.880499238508399</v>
      </c>
      <c r="BA22" s="6">
        <v>0</v>
      </c>
      <c r="BB22" s="6">
        <v>1</v>
      </c>
      <c r="BC22" s="6">
        <v>11</v>
      </c>
      <c r="BD22" s="6">
        <v>62</v>
      </c>
      <c r="BE22" s="6">
        <v>607</v>
      </c>
      <c r="BF22" s="6">
        <v>1911</v>
      </c>
    </row>
    <row r="23" spans="1:58" x14ac:dyDescent="0.25">
      <c r="A23" s="2">
        <v>166</v>
      </c>
      <c r="B23" s="2">
        <v>16</v>
      </c>
      <c r="C23" s="2">
        <v>920</v>
      </c>
      <c r="D23" s="2">
        <v>930</v>
      </c>
      <c r="E23" s="8">
        <v>5.4104257016193398E-3</v>
      </c>
      <c r="F23" s="8">
        <v>4.2237913969842902E-3</v>
      </c>
      <c r="G23" s="8">
        <v>4.0412722569313003E-3</v>
      </c>
      <c r="H23" s="27">
        <f t="shared" si="1"/>
        <v>0</v>
      </c>
      <c r="I23" s="27">
        <f t="shared" si="2"/>
        <v>0</v>
      </c>
      <c r="J23" s="27">
        <f t="shared" si="3"/>
        <v>0.2</v>
      </c>
      <c r="K23" s="27">
        <f t="shared" si="4"/>
        <v>3.2</v>
      </c>
      <c r="L23" s="27">
        <f t="shared" si="5"/>
        <v>53.6</v>
      </c>
      <c r="M23" s="27">
        <f t="shared" si="6"/>
        <v>202</v>
      </c>
      <c r="N23" s="49"/>
      <c r="Q23">
        <v>7.8663658425102104E-2</v>
      </c>
      <c r="R23">
        <v>0.286033381784213</v>
      </c>
      <c r="S23">
        <v>1.08129059920596</v>
      </c>
      <c r="T23">
        <v>4.3251623968238597</v>
      </c>
      <c r="X23">
        <v>8.56390953438151E-2</v>
      </c>
      <c r="Y23">
        <v>0.34626724490363803</v>
      </c>
      <c r="Z23">
        <v>1.3850689796145501</v>
      </c>
      <c r="AA23">
        <v>5.5402759184582102</v>
      </c>
      <c r="BA23" s="6">
        <v>0</v>
      </c>
      <c r="BB23" s="6"/>
      <c r="BC23" s="6">
        <v>2</v>
      </c>
      <c r="BD23" s="6">
        <v>32</v>
      </c>
      <c r="BE23" s="6">
        <v>536</v>
      </c>
      <c r="BF23" s="6">
        <v>2020</v>
      </c>
    </row>
    <row r="24" spans="1:58" x14ac:dyDescent="0.25">
      <c r="A24" s="2">
        <v>53</v>
      </c>
      <c r="B24" s="2">
        <v>22.6</v>
      </c>
      <c r="C24" s="2">
        <v>970</v>
      </c>
      <c r="D24" s="2">
        <v>985</v>
      </c>
      <c r="E24" s="8">
        <v>5.4074185586351197E-3</v>
      </c>
      <c r="F24" s="8">
        <v>3.7739188928974099E-3</v>
      </c>
      <c r="G24" s="8">
        <v>3.5257352179030601E-3</v>
      </c>
      <c r="H24" s="27">
        <f t="shared" si="1"/>
        <v>0</v>
      </c>
      <c r="I24" s="27">
        <f t="shared" si="2"/>
        <v>0</v>
      </c>
      <c r="J24" s="27">
        <f t="shared" si="3"/>
        <v>0.13333333333333333</v>
      </c>
      <c r="K24" s="27">
        <f t="shared" si="4"/>
        <v>2</v>
      </c>
      <c r="L24" s="27">
        <f t="shared" si="5"/>
        <v>40.06666666666667</v>
      </c>
      <c r="M24" s="27">
        <f t="shared" si="6"/>
        <v>200.2</v>
      </c>
      <c r="N24" s="49"/>
      <c r="Q24">
        <v>8.5713068849887802E-2</v>
      </c>
      <c r="R24">
        <v>0.28274257889141102</v>
      </c>
      <c r="S24">
        <v>0.96612323561066804</v>
      </c>
      <c r="T24">
        <v>3.8644929424426699</v>
      </c>
      <c r="X24">
        <v>8.5713069200916994E-2</v>
      </c>
      <c r="Y24">
        <v>0.346074787752647</v>
      </c>
      <c r="Z24">
        <v>1.38429915101059</v>
      </c>
      <c r="AA24">
        <v>5.5371966040423599</v>
      </c>
      <c r="BA24" s="6">
        <v>0</v>
      </c>
      <c r="BB24" s="6"/>
      <c r="BC24" s="6">
        <v>2</v>
      </c>
      <c r="BD24" s="6">
        <v>30</v>
      </c>
      <c r="BE24" s="6">
        <v>601</v>
      </c>
      <c r="BF24" s="6">
        <v>3003</v>
      </c>
    </row>
    <row r="25" spans="1:58" x14ac:dyDescent="0.25">
      <c r="A25" s="2">
        <v>45</v>
      </c>
      <c r="B25" s="2">
        <v>22.6</v>
      </c>
      <c r="C25" s="2">
        <v>1020</v>
      </c>
      <c r="D25" s="2">
        <v>1030</v>
      </c>
      <c r="E25" s="8">
        <v>6.9634801117522301E-3</v>
      </c>
      <c r="F25" s="8">
        <v>4.7306891897243297E-3</v>
      </c>
      <c r="G25" s="8">
        <v>4.5595536316889104E-3</v>
      </c>
      <c r="H25" s="27">
        <f t="shared" si="1"/>
        <v>0</v>
      </c>
      <c r="I25" s="27">
        <f t="shared" si="2"/>
        <v>0.1</v>
      </c>
      <c r="J25" s="27">
        <f t="shared" si="3"/>
        <v>0.4</v>
      </c>
      <c r="K25" s="27">
        <f t="shared" si="4"/>
        <v>5.0999999999999996</v>
      </c>
      <c r="L25" s="27">
        <f t="shared" si="5"/>
        <v>49.4</v>
      </c>
      <c r="M25" s="27">
        <f t="shared" si="6"/>
        <v>193.1</v>
      </c>
      <c r="N25" s="49"/>
      <c r="P25">
        <v>2.7853920384742901E-2</v>
      </c>
      <c r="Q25">
        <v>0.102227488893629</v>
      </c>
      <c r="R25">
        <v>0.312084224737535</v>
      </c>
      <c r="S25">
        <v>1.21105643309446</v>
      </c>
      <c r="T25">
        <v>4.8442257323778604</v>
      </c>
      <c r="W25">
        <v>2.7853920447008899E-2</v>
      </c>
      <c r="X25">
        <v>0.111415681788035</v>
      </c>
      <c r="Y25">
        <v>0.445662727152142</v>
      </c>
      <c r="Z25">
        <v>1.78265090860857</v>
      </c>
      <c r="AA25">
        <v>7.13060363443428</v>
      </c>
      <c r="BA25" s="6">
        <v>0</v>
      </c>
      <c r="BB25" s="6">
        <v>1</v>
      </c>
      <c r="BC25" s="6">
        <v>4</v>
      </c>
      <c r="BD25" s="6">
        <v>51</v>
      </c>
      <c r="BE25" s="6">
        <v>494</v>
      </c>
      <c r="BF25" s="6">
        <v>1931</v>
      </c>
    </row>
    <row r="26" spans="1:58" x14ac:dyDescent="0.25">
      <c r="A26" s="3">
        <v>1.1000000000000001</v>
      </c>
      <c r="B26" s="3">
        <v>32</v>
      </c>
      <c r="C26" s="4">
        <v>50</v>
      </c>
      <c r="D26" s="4">
        <v>70</v>
      </c>
      <c r="E26" s="8">
        <v>1.40031756933689E-2</v>
      </c>
      <c r="F26" s="8">
        <v>5.6784984243662398E-3</v>
      </c>
      <c r="G26" s="8">
        <v>4.6667095589632999E-3</v>
      </c>
      <c r="H26" s="27">
        <f t="shared" si="1"/>
        <v>0</v>
      </c>
      <c r="I26" s="27">
        <f t="shared" si="2"/>
        <v>0.05</v>
      </c>
      <c r="J26" s="27">
        <f t="shared" si="3"/>
        <v>0.9</v>
      </c>
      <c r="K26" s="27">
        <f t="shared" si="4"/>
        <v>7.55</v>
      </c>
      <c r="L26" s="27">
        <f t="shared" si="5"/>
        <v>59.8</v>
      </c>
      <c r="M26" s="27">
        <f t="shared" si="6"/>
        <v>180.85</v>
      </c>
      <c r="N26" s="49"/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  <c r="W26">
        <v>5.6012702773475899E-2</v>
      </c>
      <c r="X26">
        <v>0.22405081109390301</v>
      </c>
      <c r="Y26">
        <v>0.89620324437561405</v>
      </c>
      <c r="Z26">
        <v>3.58481297750245</v>
      </c>
      <c r="AA26">
        <v>14.3392519100098</v>
      </c>
      <c r="BA26" s="6">
        <v>0</v>
      </c>
      <c r="BB26" s="6">
        <v>1</v>
      </c>
      <c r="BC26" s="6">
        <v>18</v>
      </c>
      <c r="BD26" s="6">
        <v>151</v>
      </c>
      <c r="BE26" s="6">
        <v>1196</v>
      </c>
      <c r="BF26" s="6">
        <v>3617</v>
      </c>
    </row>
    <row r="27" spans="1:58" x14ac:dyDescent="0.25">
      <c r="A27" s="3">
        <v>1.2</v>
      </c>
      <c r="B27" s="3">
        <v>32</v>
      </c>
      <c r="C27" s="4">
        <v>70</v>
      </c>
      <c r="D27" s="4">
        <v>90</v>
      </c>
      <c r="E27" s="8">
        <v>1.0890800850407899E-2</v>
      </c>
      <c r="F27" s="8">
        <v>4.8212415579803897E-3</v>
      </c>
      <c r="G27" s="8">
        <v>4.1135640493545804E-3</v>
      </c>
      <c r="H27" s="27">
        <f t="shared" si="1"/>
        <v>0</v>
      </c>
      <c r="I27" s="27">
        <f t="shared" si="2"/>
        <v>0.05</v>
      </c>
      <c r="J27" s="27">
        <f t="shared" si="3"/>
        <v>0.55000000000000004</v>
      </c>
      <c r="K27" s="27">
        <f t="shared" si="4"/>
        <v>5.15</v>
      </c>
      <c r="L27" s="27">
        <f t="shared" si="5"/>
        <v>48.6</v>
      </c>
      <c r="M27" s="27">
        <f t="shared" si="6"/>
        <v>175.05</v>
      </c>
      <c r="N27" s="49"/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  <c r="W27">
        <v>4.3563203401631702E-2</v>
      </c>
      <c r="X27">
        <v>0.174252813606527</v>
      </c>
      <c r="Y27">
        <v>0.69701125442610801</v>
      </c>
      <c r="Z27">
        <v>2.7880450177044298</v>
      </c>
      <c r="AA27">
        <v>11.1521800708177</v>
      </c>
      <c r="BA27" s="6">
        <v>0</v>
      </c>
      <c r="BB27" s="6">
        <v>1</v>
      </c>
      <c r="BC27" s="6">
        <v>11</v>
      </c>
      <c r="BD27" s="6">
        <v>103</v>
      </c>
      <c r="BE27" s="6">
        <v>972</v>
      </c>
      <c r="BF27" s="6">
        <v>3501</v>
      </c>
    </row>
    <row r="28" spans="1:58" x14ac:dyDescent="0.25">
      <c r="A28" s="3">
        <v>1.3</v>
      </c>
      <c r="B28" s="3">
        <v>32</v>
      </c>
      <c r="C28" s="4">
        <v>90</v>
      </c>
      <c r="D28" s="4">
        <v>100</v>
      </c>
      <c r="E28" s="8">
        <v>2.3197934886697399E-2</v>
      </c>
      <c r="F28" s="8">
        <v>9.1426900455134907E-3</v>
      </c>
      <c r="G28" s="8">
        <v>6.1375608082080103E-3</v>
      </c>
      <c r="H28" s="27">
        <f t="shared" si="1"/>
        <v>0</v>
      </c>
      <c r="I28" s="27">
        <f t="shared" si="2"/>
        <v>0.4</v>
      </c>
      <c r="J28" s="27">
        <f t="shared" si="3"/>
        <v>3.5</v>
      </c>
      <c r="K28" s="27">
        <f t="shared" si="4"/>
        <v>16.3</v>
      </c>
      <c r="L28" s="27">
        <f t="shared" si="5"/>
        <v>78.8</v>
      </c>
      <c r="M28" s="27">
        <f t="shared" si="6"/>
        <v>174.9</v>
      </c>
      <c r="N28" s="49"/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  <c r="W28">
        <v>9.2791739546789598E-2</v>
      </c>
      <c r="X28">
        <v>0.371166958187158</v>
      </c>
      <c r="Y28">
        <v>1.48466783274863</v>
      </c>
      <c r="Z28">
        <v>5.9386713309945298</v>
      </c>
      <c r="AA28">
        <v>23.754685323978102</v>
      </c>
      <c r="BA28" s="6">
        <v>0</v>
      </c>
      <c r="BB28" s="6">
        <v>4</v>
      </c>
      <c r="BC28" s="6">
        <v>35</v>
      </c>
      <c r="BD28" s="6">
        <v>163</v>
      </c>
      <c r="BE28" s="6">
        <v>788</v>
      </c>
      <c r="BF28" s="6">
        <v>1749</v>
      </c>
    </row>
    <row r="29" spans="1:58" x14ac:dyDescent="0.25">
      <c r="A29" s="3">
        <v>2.1</v>
      </c>
      <c r="B29" s="3">
        <v>45</v>
      </c>
      <c r="C29" s="4">
        <v>120</v>
      </c>
      <c r="D29" s="4">
        <v>140</v>
      </c>
      <c r="E29" s="8">
        <v>3.5345925929864103E-2</v>
      </c>
      <c r="F29" s="8">
        <v>7.8507383881498607E-3</v>
      </c>
      <c r="G29" s="8">
        <v>4.0069409325786598E-3</v>
      </c>
      <c r="H29" s="27">
        <f t="shared" si="1"/>
        <v>0</v>
      </c>
      <c r="I29" s="27">
        <f t="shared" si="2"/>
        <v>0.55000000000000004</v>
      </c>
      <c r="J29" s="27">
        <f t="shared" si="3"/>
        <v>2.8</v>
      </c>
      <c r="K29" s="27">
        <f t="shared" si="4"/>
        <v>10.199999999999999</v>
      </c>
      <c r="L29" s="27">
        <f t="shared" si="5"/>
        <v>60.75</v>
      </c>
      <c r="M29" s="27">
        <f t="shared" si="6"/>
        <v>171.2</v>
      </c>
      <c r="N29" s="49"/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  <c r="W29">
        <v>0.14138370371945599</v>
      </c>
      <c r="X29">
        <v>0.56553481487782498</v>
      </c>
      <c r="Y29">
        <v>2.2621392595112999</v>
      </c>
      <c r="Z29">
        <v>9.0485570380452103</v>
      </c>
      <c r="AA29">
        <v>36.194228152180798</v>
      </c>
      <c r="BA29" s="6">
        <v>0</v>
      </c>
      <c r="BB29" s="6">
        <v>11</v>
      </c>
      <c r="BC29" s="6">
        <v>56</v>
      </c>
      <c r="BD29" s="6">
        <v>204</v>
      </c>
      <c r="BE29" s="6">
        <v>1215</v>
      </c>
      <c r="BF29" s="6">
        <v>3424</v>
      </c>
    </row>
    <row r="30" spans="1:58" x14ac:dyDescent="0.25">
      <c r="A30" s="3">
        <v>2.2000000000000002</v>
      </c>
      <c r="B30" s="3">
        <v>45</v>
      </c>
      <c r="C30" s="4">
        <v>140</v>
      </c>
      <c r="D30" s="4">
        <v>155</v>
      </c>
      <c r="E30" s="8">
        <v>2.4016207968108199E-2</v>
      </c>
      <c r="F30" s="8">
        <v>6.5149661727545603E-3</v>
      </c>
      <c r="G30" s="8">
        <v>4.26435563054003E-3</v>
      </c>
      <c r="H30" s="27">
        <f t="shared" si="1"/>
        <v>6.6666666666666666E-2</v>
      </c>
      <c r="I30" s="27">
        <f t="shared" si="2"/>
        <v>0.33333333333333331</v>
      </c>
      <c r="J30" s="27">
        <f t="shared" si="3"/>
        <v>1.7333333333333334</v>
      </c>
      <c r="K30" s="27">
        <f t="shared" si="4"/>
        <v>7.4666666666666668</v>
      </c>
      <c r="L30" s="27">
        <f t="shared" si="5"/>
        <v>54.06666666666667</v>
      </c>
      <c r="M30" s="27">
        <f t="shared" si="6"/>
        <v>187.2</v>
      </c>
      <c r="N30" s="49"/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  <c r="V30">
        <v>2.4016207968108199E-2</v>
      </c>
      <c r="W30">
        <v>9.6064831872432796E-2</v>
      </c>
      <c r="X30">
        <v>0.38425932748973102</v>
      </c>
      <c r="Y30">
        <v>1.5370373099589201</v>
      </c>
      <c r="Z30">
        <v>6.1481492398356998</v>
      </c>
      <c r="AA30">
        <v>24.592596959342799</v>
      </c>
      <c r="BA30" s="6">
        <v>1</v>
      </c>
      <c r="BB30" s="6">
        <v>5</v>
      </c>
      <c r="BC30" s="6">
        <v>26</v>
      </c>
      <c r="BD30" s="6">
        <v>112</v>
      </c>
      <c r="BE30" s="6">
        <v>811</v>
      </c>
      <c r="BF30" s="6">
        <v>2808</v>
      </c>
    </row>
    <row r="31" spans="1:58" x14ac:dyDescent="0.25">
      <c r="A31" s="3">
        <v>2.2999999999999998</v>
      </c>
      <c r="B31" s="3">
        <v>45</v>
      </c>
      <c r="C31" s="4">
        <v>160</v>
      </c>
      <c r="D31" s="4">
        <v>170</v>
      </c>
      <c r="E31" s="8">
        <v>1.9422121419342901E-2</v>
      </c>
      <c r="F31" s="8">
        <v>7.5773751595888898E-3</v>
      </c>
      <c r="G31" s="8">
        <v>5.3544304928017398E-3</v>
      </c>
      <c r="H31" s="27">
        <f t="shared" si="1"/>
        <v>0</v>
      </c>
      <c r="I31" s="27">
        <f t="shared" si="2"/>
        <v>0.3</v>
      </c>
      <c r="J31" s="27">
        <f t="shared" si="3"/>
        <v>2.8</v>
      </c>
      <c r="K31" s="27">
        <f t="shared" si="4"/>
        <v>14.7</v>
      </c>
      <c r="L31" s="27">
        <f t="shared" si="5"/>
        <v>70</v>
      </c>
      <c r="M31" s="27">
        <f t="shared" si="6"/>
        <v>183.8</v>
      </c>
      <c r="N31" s="49"/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  <c r="W31">
        <v>7.7688485677371896E-2</v>
      </c>
      <c r="X31">
        <v>0.31075394270948697</v>
      </c>
      <c r="Y31">
        <v>1.2430157708379499</v>
      </c>
      <c r="Z31">
        <v>4.9720630833517996</v>
      </c>
      <c r="AA31">
        <v>19.888252333407198</v>
      </c>
      <c r="BA31" s="6">
        <v>0</v>
      </c>
      <c r="BB31" s="6">
        <v>3</v>
      </c>
      <c r="BC31" s="6">
        <v>28</v>
      </c>
      <c r="BD31" s="6">
        <v>147</v>
      </c>
      <c r="BE31" s="6">
        <v>700</v>
      </c>
      <c r="BF31" s="6">
        <v>1838</v>
      </c>
    </row>
    <row r="32" spans="1:58" x14ac:dyDescent="0.25">
      <c r="A32" s="3">
        <v>3.1</v>
      </c>
      <c r="B32" s="3">
        <v>64</v>
      </c>
      <c r="C32" s="4">
        <v>190</v>
      </c>
      <c r="D32" s="4">
        <v>210</v>
      </c>
      <c r="E32" s="8">
        <v>0.12653412852816501</v>
      </c>
      <c r="F32" s="8">
        <v>1.5222331559222001E-2</v>
      </c>
      <c r="G32" s="8">
        <v>4.5052689799184196E-3</v>
      </c>
      <c r="H32" s="27">
        <f t="shared" si="1"/>
        <v>0.5</v>
      </c>
      <c r="I32" s="27">
        <f t="shared" si="2"/>
        <v>1.9</v>
      </c>
      <c r="J32" s="27">
        <f t="shared" si="3"/>
        <v>5.65</v>
      </c>
      <c r="K32" s="27">
        <f t="shared" si="4"/>
        <v>15.6</v>
      </c>
      <c r="L32" s="27">
        <f t="shared" si="5"/>
        <v>60.6</v>
      </c>
      <c r="M32" s="27">
        <f t="shared" si="6"/>
        <v>165.3</v>
      </c>
      <c r="N32" s="49"/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  <c r="V32">
        <v>0.12653412852816501</v>
      </c>
      <c r="W32">
        <v>0.50613651411266203</v>
      </c>
      <c r="X32">
        <v>2.0245460564506401</v>
      </c>
      <c r="Y32">
        <v>8.0981842258025907</v>
      </c>
      <c r="Z32">
        <v>32.392736903210299</v>
      </c>
      <c r="AA32">
        <v>129.570947612841</v>
      </c>
      <c r="BA32" s="6">
        <v>10</v>
      </c>
      <c r="BB32" s="6">
        <v>38</v>
      </c>
      <c r="BC32" s="6">
        <v>113</v>
      </c>
      <c r="BD32" s="6">
        <v>312</v>
      </c>
      <c r="BE32" s="6">
        <v>1212</v>
      </c>
      <c r="BF32" s="6">
        <v>3306</v>
      </c>
    </row>
    <row r="33" spans="1:58" x14ac:dyDescent="0.25">
      <c r="A33" s="3">
        <v>3.2</v>
      </c>
      <c r="B33" s="3">
        <v>64</v>
      </c>
      <c r="C33" s="4">
        <v>215</v>
      </c>
      <c r="D33" s="4">
        <v>230</v>
      </c>
      <c r="E33" s="8">
        <v>5.1502950973667999E-2</v>
      </c>
      <c r="F33" s="8">
        <v>1.37528556522491E-2</v>
      </c>
      <c r="G33" s="8">
        <v>4.5700514622563203E-3</v>
      </c>
      <c r="H33" s="27">
        <f t="shared" si="1"/>
        <v>0.13333333333333333</v>
      </c>
      <c r="I33" s="27">
        <f t="shared" si="2"/>
        <v>2</v>
      </c>
      <c r="J33" s="27">
        <f t="shared" si="3"/>
        <v>7.333333333333333</v>
      </c>
      <c r="K33" s="27">
        <f t="shared" si="4"/>
        <v>18.600000000000001</v>
      </c>
      <c r="L33" s="27">
        <f t="shared" si="5"/>
        <v>68.8</v>
      </c>
      <c r="M33" s="27">
        <f t="shared" si="6"/>
        <v>171.33333333333334</v>
      </c>
      <c r="N33" s="49"/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  <c r="V33">
        <v>3.4786896818932399E-2</v>
      </c>
      <c r="W33">
        <v>0.206011803894672</v>
      </c>
      <c r="X33">
        <v>0.82404721557868799</v>
      </c>
      <c r="Y33">
        <v>3.2961888623147502</v>
      </c>
      <c r="Z33">
        <v>13.184755449259001</v>
      </c>
      <c r="AA33">
        <v>52.739021797036003</v>
      </c>
      <c r="BA33" s="6">
        <v>2</v>
      </c>
      <c r="BB33" s="6">
        <v>30</v>
      </c>
      <c r="BC33" s="6">
        <v>110</v>
      </c>
      <c r="BD33" s="6">
        <v>279</v>
      </c>
      <c r="BE33" s="6">
        <v>1032</v>
      </c>
      <c r="BF33" s="6">
        <v>2570</v>
      </c>
    </row>
    <row r="34" spans="1:58" x14ac:dyDescent="0.25">
      <c r="A34" s="3">
        <v>3.3</v>
      </c>
      <c r="B34" s="3">
        <v>64</v>
      </c>
      <c r="C34" s="4">
        <v>230</v>
      </c>
      <c r="D34" s="4">
        <v>250</v>
      </c>
      <c r="E34" s="8">
        <v>5.04335454776157E-2</v>
      </c>
      <c r="F34" s="8">
        <v>9.8602655911611495E-3</v>
      </c>
      <c r="G34" s="8">
        <v>4.3864038070395503E-3</v>
      </c>
      <c r="H34" s="27">
        <f t="shared" si="1"/>
        <v>0.2</v>
      </c>
      <c r="I34" s="27">
        <f t="shared" si="2"/>
        <v>1</v>
      </c>
      <c r="J34" s="27">
        <f t="shared" si="3"/>
        <v>3.4</v>
      </c>
      <c r="K34" s="27">
        <f t="shared" si="4"/>
        <v>12.25</v>
      </c>
      <c r="L34" s="27">
        <f t="shared" si="5"/>
        <v>57.75</v>
      </c>
      <c r="M34" s="27">
        <f t="shared" si="6"/>
        <v>167.8</v>
      </c>
      <c r="N34" s="49"/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  <c r="V34">
        <v>5.04335454776157E-2</v>
      </c>
      <c r="W34">
        <v>0.201734181910463</v>
      </c>
      <c r="X34">
        <v>0.80693672764185198</v>
      </c>
      <c r="Y34">
        <v>3.2277469105674101</v>
      </c>
      <c r="Z34">
        <v>12.9109876422696</v>
      </c>
      <c r="AA34">
        <v>51.643950569078498</v>
      </c>
      <c r="BA34" s="6">
        <v>4</v>
      </c>
      <c r="BB34" s="6">
        <v>20</v>
      </c>
      <c r="BC34" s="6">
        <v>68</v>
      </c>
      <c r="BD34" s="6">
        <v>245</v>
      </c>
      <c r="BE34" s="6">
        <v>1155</v>
      </c>
      <c r="BF34" s="6">
        <v>3356</v>
      </c>
    </row>
    <row r="35" spans="1:58" x14ac:dyDescent="0.25">
      <c r="A35" s="3">
        <v>4.0999999999999996</v>
      </c>
      <c r="B35" s="3">
        <v>90</v>
      </c>
      <c r="C35" s="4">
        <v>270</v>
      </c>
      <c r="D35" s="4">
        <v>285</v>
      </c>
      <c r="E35" s="8">
        <v>9.6840712231762202E-2</v>
      </c>
      <c r="F35" s="8">
        <v>2.94139388502281E-2</v>
      </c>
      <c r="G35" s="8">
        <v>9.5407724532447606E-3</v>
      </c>
      <c r="H35" s="27">
        <f t="shared" si="1"/>
        <v>0.8</v>
      </c>
      <c r="I35" s="27">
        <f t="shared" si="2"/>
        <v>4.0666666666666664</v>
      </c>
      <c r="J35" s="27">
        <f t="shared" si="3"/>
        <v>12.466666666666667</v>
      </c>
      <c r="K35" s="27">
        <f t="shared" si="4"/>
        <v>32.666666666666664</v>
      </c>
      <c r="L35" s="27">
        <f t="shared" si="5"/>
        <v>67.933333333333337</v>
      </c>
      <c r="M35" s="27">
        <f t="shared" si="6"/>
        <v>150.53333333333333</v>
      </c>
      <c r="N35" s="49"/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  <c r="V35">
        <v>9.6840712231762202E-2</v>
      </c>
      <c r="W35">
        <v>0.38736284892704798</v>
      </c>
      <c r="X35">
        <v>1.5494513957081899</v>
      </c>
      <c r="Y35">
        <v>6.19780558283278</v>
      </c>
      <c r="Z35">
        <v>24.791222331331099</v>
      </c>
      <c r="AA35">
        <v>99.164889325324495</v>
      </c>
      <c r="BA35" s="6">
        <v>12</v>
      </c>
      <c r="BB35" s="6">
        <v>61</v>
      </c>
      <c r="BC35" s="6">
        <v>187</v>
      </c>
      <c r="BD35" s="6">
        <v>490</v>
      </c>
      <c r="BE35" s="6">
        <v>1019</v>
      </c>
      <c r="BF35" s="6">
        <v>2258</v>
      </c>
    </row>
    <row r="36" spans="1:58" x14ac:dyDescent="0.25">
      <c r="A36" s="3">
        <v>4.2</v>
      </c>
      <c r="B36" s="3">
        <v>90</v>
      </c>
      <c r="C36" s="4">
        <v>290</v>
      </c>
      <c r="D36" s="4">
        <v>310</v>
      </c>
      <c r="E36" s="8">
        <v>4.1669974213015902E-2</v>
      </c>
      <c r="F36" s="8">
        <v>9.9725509064199202E-3</v>
      </c>
      <c r="G36" s="8">
        <v>6.2822795747625101E-3</v>
      </c>
      <c r="H36" s="27">
        <f t="shared" si="1"/>
        <v>0</v>
      </c>
      <c r="I36" s="27">
        <f t="shared" si="2"/>
        <v>0.75</v>
      </c>
      <c r="J36" s="27">
        <f t="shared" si="3"/>
        <v>4.0999999999999996</v>
      </c>
      <c r="K36" s="27">
        <f t="shared" si="4"/>
        <v>17.649999999999999</v>
      </c>
      <c r="L36" s="27">
        <f t="shared" si="5"/>
        <v>69.7</v>
      </c>
      <c r="M36" s="27">
        <f t="shared" si="6"/>
        <v>167.75</v>
      </c>
      <c r="N36" s="49"/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  <c r="W36">
        <v>0.166679896852063</v>
      </c>
      <c r="X36">
        <v>0.66671958740825399</v>
      </c>
      <c r="Y36">
        <v>2.6668783496330102</v>
      </c>
      <c r="Z36">
        <v>10.667513398532</v>
      </c>
      <c r="AA36">
        <v>42.670053594128298</v>
      </c>
      <c r="BA36" s="6">
        <v>0</v>
      </c>
      <c r="BB36" s="6">
        <v>15</v>
      </c>
      <c r="BC36" s="6">
        <v>82</v>
      </c>
      <c r="BD36" s="6">
        <v>353</v>
      </c>
      <c r="BE36" s="6">
        <v>1394</v>
      </c>
      <c r="BF36" s="6">
        <v>3355</v>
      </c>
    </row>
    <row r="37" spans="1:58" x14ac:dyDescent="0.25">
      <c r="A37" s="3">
        <v>4.3</v>
      </c>
      <c r="B37" s="3">
        <v>90</v>
      </c>
      <c r="C37" s="4">
        <v>310</v>
      </c>
      <c r="D37" s="4">
        <v>330</v>
      </c>
      <c r="E37" s="8">
        <v>6.5041528765672305E-2</v>
      </c>
      <c r="F37" s="8">
        <v>1.5521667521925899E-2</v>
      </c>
      <c r="G37" s="8">
        <v>9.3037999635866304E-3</v>
      </c>
      <c r="H37" s="27">
        <f t="shared" si="1"/>
        <v>0.3</v>
      </c>
      <c r="I37" s="27">
        <f t="shared" si="2"/>
        <v>1.6</v>
      </c>
      <c r="J37" s="27">
        <f t="shared" si="3"/>
        <v>7.1</v>
      </c>
      <c r="K37" s="27">
        <f t="shared" si="4"/>
        <v>20.95</v>
      </c>
      <c r="L37" s="27">
        <f t="shared" si="5"/>
        <v>76.55</v>
      </c>
      <c r="M37" s="27">
        <f t="shared" si="6"/>
        <v>164.3</v>
      </c>
      <c r="N37" s="49"/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  <c r="V37">
        <v>6.5041528765672305E-2</v>
      </c>
      <c r="W37">
        <v>0.260166115062689</v>
      </c>
      <c r="X37">
        <v>1.04066446025075</v>
      </c>
      <c r="Y37">
        <v>4.1626578410030204</v>
      </c>
      <c r="Z37">
        <v>16.650631364012099</v>
      </c>
      <c r="AA37">
        <v>66.602525456048397</v>
      </c>
      <c r="BA37" s="6">
        <v>6</v>
      </c>
      <c r="BB37" s="6">
        <v>32</v>
      </c>
      <c r="BC37" s="6">
        <v>142</v>
      </c>
      <c r="BD37" s="6">
        <v>419</v>
      </c>
      <c r="BE37" s="6">
        <v>1531</v>
      </c>
      <c r="BF37" s="6">
        <v>3286</v>
      </c>
    </row>
    <row r="38" spans="1:58" x14ac:dyDescent="0.25">
      <c r="A38" s="5"/>
      <c r="B38" s="5"/>
      <c r="E38" s="5"/>
      <c r="F38" s="5"/>
      <c r="H38" s="29"/>
      <c r="I38" s="29"/>
      <c r="J38" s="29"/>
      <c r="K38" s="29"/>
      <c r="L38" s="29"/>
      <c r="M38" s="29"/>
    </row>
    <row r="39" spans="1:58" x14ac:dyDescent="0.25">
      <c r="A39" s="5"/>
      <c r="B39" s="5"/>
      <c r="E39" s="5"/>
      <c r="F39" s="5"/>
    </row>
    <row r="40" spans="1:58" x14ac:dyDescent="0.25">
      <c r="A40" s="5"/>
      <c r="B40" s="5"/>
      <c r="E40" s="5"/>
      <c r="F40" s="5"/>
    </row>
    <row r="41" spans="1:58" x14ac:dyDescent="0.25">
      <c r="A41" s="5"/>
      <c r="B41" s="5"/>
      <c r="E41" s="5"/>
      <c r="F41" s="5"/>
    </row>
    <row r="42" spans="1:58" x14ac:dyDescent="0.25">
      <c r="A42" s="5"/>
      <c r="B42" s="5"/>
      <c r="E42" s="5"/>
      <c r="F4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E796-D6C4-41DF-BB85-D95E6EE6B828}">
  <dimension ref="A1:T42"/>
  <sheetViews>
    <sheetView topLeftCell="A37" zoomScale="115" zoomScaleNormal="115" workbookViewId="0">
      <selection activeCell="AW21" sqref="AW21"/>
    </sheetView>
  </sheetViews>
  <sheetFormatPr defaultRowHeight="15" x14ac:dyDescent="0.25"/>
  <cols>
    <col min="1" max="1" width="15.85546875" style="6" customWidth="1"/>
    <col min="2" max="2" width="13" style="6" customWidth="1"/>
    <col min="3" max="3" width="24.42578125" style="6" customWidth="1"/>
    <col min="4" max="4" width="17.85546875" style="6" customWidth="1"/>
    <col min="5" max="5" width="17.140625" style="6" customWidth="1"/>
    <col min="6" max="6" width="13.85546875" customWidth="1"/>
    <col min="7" max="7" width="13.28515625" customWidth="1"/>
    <col min="8" max="8" width="9.5703125" customWidth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 s="2">
        <v>167</v>
      </c>
      <c r="B2" s="2">
        <v>128</v>
      </c>
      <c r="C2" s="2">
        <v>41</v>
      </c>
      <c r="D2" s="2">
        <v>48</v>
      </c>
      <c r="E2" s="6">
        <v>6.6690427082967907E-2</v>
      </c>
      <c r="F2" s="6">
        <v>2.1101976845681401E-2</v>
      </c>
      <c r="G2" s="6">
        <v>1.4590330903435899E-2</v>
      </c>
      <c r="H2" s="6">
        <v>2</v>
      </c>
      <c r="I2" s="6">
        <v>7</v>
      </c>
      <c r="J2" s="6">
        <v>21</v>
      </c>
      <c r="K2" s="6">
        <v>48</v>
      </c>
      <c r="L2" s="6">
        <v>94</v>
      </c>
      <c r="M2" s="6">
        <v>175</v>
      </c>
      <c r="O2">
        <v>6.6690427082967907E-2</v>
      </c>
      <c r="P2">
        <v>0.133248401300254</v>
      </c>
      <c r="Q2">
        <v>0.38015251653247001</v>
      </c>
      <c r="R2">
        <v>1.52061006612988</v>
      </c>
      <c r="S2">
        <v>5.4021060724944396</v>
      </c>
      <c r="T2">
        <v>21.608424289977702</v>
      </c>
    </row>
    <row r="3" spans="1:20" x14ac:dyDescent="0.25">
      <c r="A3" s="2">
        <v>6</v>
      </c>
      <c r="B3" s="2">
        <v>128</v>
      </c>
      <c r="C3" s="2">
        <v>80</v>
      </c>
      <c r="D3" s="2">
        <v>90</v>
      </c>
      <c r="E3" s="6">
        <v>3.2720894606666599E-2</v>
      </c>
      <c r="F3" s="6">
        <v>9.1227483137938607E-3</v>
      </c>
      <c r="G3" s="6">
        <v>4.6442476105229497E-3</v>
      </c>
      <c r="H3" s="6">
        <v>0</v>
      </c>
      <c r="I3" s="6">
        <v>3</v>
      </c>
      <c r="J3" s="6">
        <v>12</v>
      </c>
      <c r="K3" s="6">
        <v>39</v>
      </c>
      <c r="L3" s="6">
        <v>92</v>
      </c>
      <c r="M3" s="6">
        <v>290</v>
      </c>
      <c r="P3">
        <v>8.9260472545788797E-2</v>
      </c>
      <c r="Q3">
        <v>0.21052531399194699</v>
      </c>
      <c r="R3">
        <v>0.681053141624687</v>
      </c>
      <c r="S3">
        <v>2.3354235683312199</v>
      </c>
      <c r="T3">
        <v>9.3416942733249098</v>
      </c>
    </row>
    <row r="4" spans="1:20" x14ac:dyDescent="0.25">
      <c r="A4" s="2">
        <v>8</v>
      </c>
      <c r="B4" s="2">
        <v>128</v>
      </c>
      <c r="C4" s="2">
        <v>115</v>
      </c>
      <c r="D4" s="2">
        <v>125</v>
      </c>
      <c r="E4" s="6">
        <v>0.102958874138098</v>
      </c>
      <c r="F4" s="6">
        <v>2.0696188599347499E-2</v>
      </c>
      <c r="G4" s="6">
        <v>4.9617817149442403E-3</v>
      </c>
      <c r="H4" s="6">
        <v>2</v>
      </c>
      <c r="I4" s="6">
        <v>9</v>
      </c>
      <c r="J4" s="6">
        <v>27</v>
      </c>
      <c r="K4" s="6">
        <v>51</v>
      </c>
      <c r="L4" s="6">
        <v>88</v>
      </c>
      <c r="M4" s="6">
        <v>226</v>
      </c>
      <c r="O4">
        <v>0.102958874138098</v>
      </c>
      <c r="P4">
        <v>0.20225829301801401</v>
      </c>
      <c r="Q4">
        <v>0.57222123064548502</v>
      </c>
      <c r="R4">
        <v>1.58984377112502</v>
      </c>
      <c r="S4">
        <v>5.2982242814329599</v>
      </c>
      <c r="T4">
        <v>21.1928971257318</v>
      </c>
    </row>
    <row r="5" spans="1:20" x14ac:dyDescent="0.25">
      <c r="A5" s="2">
        <v>168</v>
      </c>
      <c r="B5" s="2">
        <v>128</v>
      </c>
      <c r="C5" s="2">
        <v>150</v>
      </c>
      <c r="D5" s="2">
        <v>160</v>
      </c>
      <c r="E5" s="6">
        <v>5.6916908128634897E-2</v>
      </c>
      <c r="F5" s="6">
        <v>1.3403884254664799E-2</v>
      </c>
      <c r="G5" s="6">
        <v>6.1567854794913101E-3</v>
      </c>
      <c r="H5" s="6">
        <v>1</v>
      </c>
      <c r="I5" s="6">
        <v>4</v>
      </c>
      <c r="J5" s="6">
        <v>25</v>
      </c>
      <c r="K5" s="6">
        <v>57</v>
      </c>
      <c r="L5" s="6">
        <v>80</v>
      </c>
      <c r="M5" s="6">
        <v>190</v>
      </c>
      <c r="O5">
        <v>2.94733386309321E-2</v>
      </c>
      <c r="P5">
        <v>0.14254293552479599</v>
      </c>
      <c r="Q5">
        <v>0.41515799817105098</v>
      </c>
      <c r="R5">
        <v>1.14519242373997</v>
      </c>
      <c r="S5">
        <v>3.4313943691941899</v>
      </c>
      <c r="T5">
        <v>13.725577476776699</v>
      </c>
    </row>
    <row r="6" spans="1:20" x14ac:dyDescent="0.25">
      <c r="A6" s="2">
        <v>150</v>
      </c>
      <c r="B6" s="2">
        <v>90</v>
      </c>
      <c r="C6" s="2">
        <v>194</v>
      </c>
      <c r="D6" s="2">
        <v>199</v>
      </c>
      <c r="E6" s="6">
        <v>2.9839490319102199E-2</v>
      </c>
      <c r="F6" s="6">
        <v>1.25672034538938E-2</v>
      </c>
      <c r="G6" s="6">
        <v>7.1936607435202499E-3</v>
      </c>
      <c r="H6" s="6">
        <v>0</v>
      </c>
      <c r="I6" s="6">
        <v>3</v>
      </c>
      <c r="J6" s="6">
        <v>16</v>
      </c>
      <c r="K6" s="6">
        <v>30</v>
      </c>
      <c r="L6" s="6">
        <v>67</v>
      </c>
      <c r="M6" s="6">
        <v>159</v>
      </c>
      <c r="P6">
        <v>0.11151705373231099</v>
      </c>
      <c r="Q6">
        <v>0.28058339341278499</v>
      </c>
      <c r="R6">
        <v>0.93699641271564704</v>
      </c>
      <c r="S6">
        <v>3.2172040841968199</v>
      </c>
      <c r="T6">
        <v>12.8688163367872</v>
      </c>
    </row>
    <row r="7" spans="1:20" x14ac:dyDescent="0.25">
      <c r="A7" s="2">
        <v>11</v>
      </c>
      <c r="B7" s="2">
        <v>90</v>
      </c>
      <c r="C7" s="2">
        <v>226</v>
      </c>
      <c r="D7" s="2">
        <v>234</v>
      </c>
      <c r="E7" s="6">
        <v>3.2943793471508102E-2</v>
      </c>
      <c r="F7" s="6">
        <v>1.5043728784366901E-2</v>
      </c>
      <c r="G7" s="6">
        <v>1.92055100945711E-2</v>
      </c>
      <c r="H7" s="6">
        <v>0</v>
      </c>
      <c r="I7" s="6">
        <v>4</v>
      </c>
      <c r="J7" s="6">
        <v>25</v>
      </c>
      <c r="K7" s="6">
        <v>60</v>
      </c>
      <c r="L7" s="6">
        <v>82</v>
      </c>
      <c r="M7" s="6">
        <v>231</v>
      </c>
      <c r="P7">
        <v>0.10035153252080301</v>
      </c>
      <c r="Q7">
        <v>0.34152871625689502</v>
      </c>
      <c r="R7">
        <v>1.1950408200604199</v>
      </c>
      <c r="S7">
        <v>3.8511945687979301</v>
      </c>
      <c r="T7">
        <v>15.404778275191701</v>
      </c>
    </row>
    <row r="8" spans="1:20" x14ac:dyDescent="0.25">
      <c r="A8" s="2">
        <v>22</v>
      </c>
      <c r="B8" s="2">
        <v>90</v>
      </c>
      <c r="C8" s="2">
        <v>265</v>
      </c>
      <c r="D8" s="2">
        <v>275</v>
      </c>
      <c r="E8" s="6">
        <v>3.9947365054969201E-2</v>
      </c>
      <c r="F8" s="6">
        <v>1.16888933720877E-2</v>
      </c>
      <c r="G8" s="6">
        <v>3.39792205613351E-3</v>
      </c>
      <c r="H8" s="6">
        <v>0</v>
      </c>
      <c r="I8" s="6">
        <v>5</v>
      </c>
      <c r="J8" s="6">
        <v>23</v>
      </c>
      <c r="K8" s="6">
        <v>60</v>
      </c>
      <c r="L8" s="6">
        <v>113</v>
      </c>
      <c r="M8" s="6">
        <v>285</v>
      </c>
      <c r="P8">
        <v>0.107289682378139</v>
      </c>
      <c r="Q8">
        <v>0.35852737397942602</v>
      </c>
      <c r="R8">
        <v>0.97487437782099795</v>
      </c>
      <c r="S8">
        <v>2.9923567032544698</v>
      </c>
      <c r="T8">
        <v>11.9694268130179</v>
      </c>
    </row>
    <row r="9" spans="1:20" x14ac:dyDescent="0.25">
      <c r="A9" s="2">
        <v>152</v>
      </c>
      <c r="B9" s="2">
        <v>90</v>
      </c>
      <c r="C9" s="2">
        <v>310</v>
      </c>
      <c r="D9" s="2">
        <v>320</v>
      </c>
      <c r="E9" s="6">
        <v>6.5501629557648697E-2</v>
      </c>
      <c r="F9" s="6">
        <v>1.51997739662497E-2</v>
      </c>
      <c r="G9" s="6">
        <v>5.3852609769233202E-3</v>
      </c>
      <c r="H9" s="6">
        <v>2</v>
      </c>
      <c r="I9" s="6">
        <v>8</v>
      </c>
      <c r="J9" s="6">
        <v>26</v>
      </c>
      <c r="K9" s="6">
        <v>44</v>
      </c>
      <c r="L9" s="6">
        <v>110</v>
      </c>
      <c r="M9" s="6">
        <v>293</v>
      </c>
      <c r="O9">
        <v>6.0973715406615503E-2</v>
      </c>
      <c r="P9">
        <v>0.175696805390364</v>
      </c>
      <c r="Q9">
        <v>0.476926097241889</v>
      </c>
      <c r="R9">
        <v>1.6471964412268101</v>
      </c>
      <c r="S9">
        <v>3.8911421353599298</v>
      </c>
      <c r="T9">
        <v>15.5645685414397</v>
      </c>
    </row>
    <row r="10" spans="1:20" x14ac:dyDescent="0.25">
      <c r="A10" s="2">
        <v>12</v>
      </c>
      <c r="B10" s="2">
        <v>64</v>
      </c>
      <c r="C10" s="2">
        <v>357</v>
      </c>
      <c r="D10" s="2">
        <v>360</v>
      </c>
      <c r="E10" s="6">
        <v>2.83696470737833E-2</v>
      </c>
      <c r="F10" s="6">
        <v>1.48717138836689E-2</v>
      </c>
      <c r="G10" s="6">
        <v>1.3854636629593299E-2</v>
      </c>
      <c r="H10" s="6">
        <v>0</v>
      </c>
      <c r="I10" s="6">
        <v>5</v>
      </c>
      <c r="J10" s="6">
        <v>9</v>
      </c>
      <c r="K10" s="6">
        <v>23</v>
      </c>
      <c r="L10" s="6">
        <v>42</v>
      </c>
      <c r="M10" s="6">
        <v>93</v>
      </c>
      <c r="P10">
        <v>9.8286328832509595E-2</v>
      </c>
      <c r="Q10">
        <v>0.299087575109173</v>
      </c>
      <c r="R10">
        <v>0.95178968855481305</v>
      </c>
      <c r="S10">
        <v>3.80715875421925</v>
      </c>
      <c r="T10">
        <v>15.228635016877</v>
      </c>
    </row>
    <row r="11" spans="1:20" x14ac:dyDescent="0.25">
      <c r="A11" s="2">
        <v>96</v>
      </c>
      <c r="B11" s="2">
        <v>64</v>
      </c>
      <c r="C11" s="2">
        <v>392</v>
      </c>
      <c r="D11" s="2">
        <v>400</v>
      </c>
      <c r="E11" s="6">
        <v>6.0918129563253702E-2</v>
      </c>
      <c r="F11" s="6">
        <v>1.2276827648125E-2</v>
      </c>
      <c r="G11" s="6">
        <v>3.2922321007487002E-3</v>
      </c>
      <c r="H11" s="6">
        <v>0</v>
      </c>
      <c r="I11" s="6">
        <v>6</v>
      </c>
      <c r="J11" s="6">
        <v>19</v>
      </c>
      <c r="K11" s="6">
        <v>35</v>
      </c>
      <c r="L11" s="6">
        <v>88</v>
      </c>
      <c r="M11" s="6">
        <v>234</v>
      </c>
      <c r="P11">
        <v>0.165431509232952</v>
      </c>
      <c r="Q11">
        <v>0.385519617534065</v>
      </c>
      <c r="R11">
        <v>1.09197237506292</v>
      </c>
      <c r="S11">
        <v>3.1428678779200201</v>
      </c>
      <c r="T11">
        <v>12.57147151168</v>
      </c>
    </row>
    <row r="12" spans="1:20" x14ac:dyDescent="0.25">
      <c r="A12" s="2">
        <v>101</v>
      </c>
      <c r="B12" s="2">
        <v>64</v>
      </c>
      <c r="C12" s="2">
        <v>432</v>
      </c>
      <c r="D12" s="2">
        <v>438</v>
      </c>
      <c r="E12" s="6">
        <v>1.9146509043753101E-2</v>
      </c>
      <c r="F12" s="6">
        <v>9.5708191698175502E-3</v>
      </c>
      <c r="G12" s="6">
        <v>5.8879008684037896E-3</v>
      </c>
      <c r="H12" s="6">
        <v>0</v>
      </c>
      <c r="I12" s="6">
        <v>3</v>
      </c>
      <c r="J12" s="6">
        <v>11</v>
      </c>
      <c r="K12" s="6">
        <v>33</v>
      </c>
      <c r="L12" s="6">
        <v>83</v>
      </c>
      <c r="M12" s="6">
        <v>193</v>
      </c>
      <c r="P12">
        <v>6.4482186129557001E-2</v>
      </c>
      <c r="Q12">
        <v>0.18720266903365301</v>
      </c>
      <c r="R12">
        <v>0.61253242686832299</v>
      </c>
      <c r="S12">
        <v>2.4501297074732902</v>
      </c>
      <c r="T12">
        <v>9.8005188298931696</v>
      </c>
    </row>
    <row r="13" spans="1:20" x14ac:dyDescent="0.25">
      <c r="A13" s="2">
        <v>24</v>
      </c>
      <c r="B13" s="2">
        <v>64</v>
      </c>
      <c r="C13" s="2">
        <v>468</v>
      </c>
      <c r="D13" s="2">
        <v>478</v>
      </c>
      <c r="E13" s="6">
        <v>6.70933941784113E-2</v>
      </c>
      <c r="F13" s="6">
        <v>1.04602465194444E-2</v>
      </c>
      <c r="G13" s="6">
        <v>3.8270467938784801E-3</v>
      </c>
      <c r="H13" s="6">
        <v>1</v>
      </c>
      <c r="I13" s="6">
        <v>6</v>
      </c>
      <c r="J13" s="6">
        <v>14</v>
      </c>
      <c r="K13" s="6">
        <v>32</v>
      </c>
      <c r="L13" s="6">
        <v>76</v>
      </c>
      <c r="M13" s="6">
        <v>299</v>
      </c>
      <c r="O13">
        <v>6.70933941784113E-2</v>
      </c>
      <c r="P13">
        <v>0.15850583255829701</v>
      </c>
      <c r="Q13">
        <v>0.38342692437070802</v>
      </c>
      <c r="R13">
        <v>0.96856306042927298</v>
      </c>
      <c r="S13">
        <v>2.67782310897777</v>
      </c>
      <c r="T13">
        <v>10.711292435911099</v>
      </c>
    </row>
    <row r="14" spans="1:20" x14ac:dyDescent="0.25">
      <c r="A14" s="2">
        <v>107</v>
      </c>
      <c r="B14" s="2">
        <v>45</v>
      </c>
      <c r="C14" s="2">
        <v>515</v>
      </c>
      <c r="D14" s="2">
        <v>520</v>
      </c>
      <c r="E14" s="6">
        <v>1.7649864163778801E-2</v>
      </c>
      <c r="F14" s="6">
        <v>9.2170786870176599E-3</v>
      </c>
      <c r="G14" s="6">
        <v>9.3140280254785501E-3</v>
      </c>
      <c r="H14" s="6">
        <v>0</v>
      </c>
      <c r="I14" s="6">
        <v>1</v>
      </c>
      <c r="J14" s="6">
        <v>10</v>
      </c>
      <c r="K14" s="6">
        <v>20</v>
      </c>
      <c r="L14" s="6">
        <v>57</v>
      </c>
      <c r="M14" s="6">
        <v>163</v>
      </c>
      <c r="P14">
        <v>7.0599456655115495E-2</v>
      </c>
      <c r="Q14">
        <v>0.20033826045176201</v>
      </c>
      <c r="R14">
        <v>0.67505961873673903</v>
      </c>
      <c r="S14">
        <v>2.35957214387652</v>
      </c>
      <c r="T14">
        <v>9.4382885755060908</v>
      </c>
    </row>
    <row r="15" spans="1:20" x14ac:dyDescent="0.25">
      <c r="A15" s="2">
        <v>162</v>
      </c>
      <c r="B15" s="2">
        <v>45</v>
      </c>
      <c r="C15" s="2">
        <v>550</v>
      </c>
      <c r="D15" s="2">
        <v>560</v>
      </c>
      <c r="E15" s="6">
        <v>1.43127986674233E-2</v>
      </c>
      <c r="F15" s="6">
        <v>5.8483206340073498E-3</v>
      </c>
      <c r="G15" s="6">
        <v>3.3522892183026902E-3</v>
      </c>
      <c r="H15" s="6">
        <v>0</v>
      </c>
      <c r="I15" s="6">
        <v>0</v>
      </c>
      <c r="J15" s="6">
        <v>10</v>
      </c>
      <c r="K15" s="6">
        <v>33</v>
      </c>
      <c r="L15" s="6">
        <v>91</v>
      </c>
      <c r="M15" s="6">
        <v>330</v>
      </c>
      <c r="Q15">
        <v>0.17392306767325499</v>
      </c>
      <c r="R15">
        <v>0.54319403345483996</v>
      </c>
      <c r="S15">
        <v>1.49717008230588</v>
      </c>
      <c r="T15">
        <v>5.98868032922352</v>
      </c>
    </row>
    <row r="16" spans="1:20" x14ac:dyDescent="0.25">
      <c r="A16" s="2">
        <v>159</v>
      </c>
      <c r="B16" s="2">
        <v>45</v>
      </c>
      <c r="C16" s="2">
        <v>595</v>
      </c>
      <c r="D16" s="2">
        <v>610</v>
      </c>
      <c r="E16" s="6">
        <v>6.98029244464741E-3</v>
      </c>
      <c r="F16" s="6">
        <v>3.1768296735807198E-3</v>
      </c>
      <c r="G16" s="6">
        <v>2.91375323254296E-3</v>
      </c>
      <c r="H16" s="6">
        <v>0</v>
      </c>
      <c r="I16" s="6">
        <v>0</v>
      </c>
      <c r="J16" s="6">
        <v>1</v>
      </c>
      <c r="K16" s="6">
        <v>13</v>
      </c>
      <c r="L16" s="6">
        <v>110</v>
      </c>
      <c r="M16" s="6">
        <v>462</v>
      </c>
      <c r="Q16">
        <v>7.8222474176770904E-2</v>
      </c>
      <c r="R16">
        <v>0.26270868021346999</v>
      </c>
      <c r="S16">
        <v>0.81326839643666604</v>
      </c>
      <c r="T16">
        <v>3.2530735857466602</v>
      </c>
    </row>
    <row r="17" spans="1:20" x14ac:dyDescent="0.25">
      <c r="A17" s="2">
        <v>35</v>
      </c>
      <c r="B17" s="2">
        <v>45</v>
      </c>
      <c r="C17" s="2">
        <v>642</v>
      </c>
      <c r="D17" s="2">
        <v>648</v>
      </c>
      <c r="E17" s="6">
        <v>1.41915603937014E-2</v>
      </c>
      <c r="F17" s="6">
        <v>6.0109108820433996E-3</v>
      </c>
      <c r="G17" s="6">
        <v>4.0407697373771598E-3</v>
      </c>
      <c r="H17" s="6">
        <v>0</v>
      </c>
      <c r="I17" s="6">
        <v>1</v>
      </c>
      <c r="J17" s="6">
        <v>5</v>
      </c>
      <c r="K17" s="6">
        <v>20</v>
      </c>
      <c r="L17" s="6">
        <v>66</v>
      </c>
      <c r="M17" s="6">
        <v>198</v>
      </c>
      <c r="P17">
        <v>5.6766241574805601E-2</v>
      </c>
      <c r="Q17">
        <v>0.185199094420121</v>
      </c>
      <c r="R17">
        <v>0.47432226673671202</v>
      </c>
      <c r="S17">
        <v>1.5387931858031101</v>
      </c>
      <c r="T17">
        <v>6.1551727432124403</v>
      </c>
    </row>
    <row r="18" spans="1:20" x14ac:dyDescent="0.25">
      <c r="A18" s="2">
        <v>69</v>
      </c>
      <c r="B18" s="2">
        <v>32</v>
      </c>
      <c r="C18" s="2">
        <v>685</v>
      </c>
      <c r="D18" s="2">
        <v>689</v>
      </c>
      <c r="E18" s="6">
        <v>6.9445741567009597E-3</v>
      </c>
      <c r="F18" s="6">
        <v>4.6291546972474602E-3</v>
      </c>
      <c r="G18" s="6">
        <v>4.3660606068748201E-3</v>
      </c>
      <c r="H18" s="6">
        <v>0</v>
      </c>
      <c r="I18" s="6">
        <v>0</v>
      </c>
      <c r="J18" s="6">
        <v>2</v>
      </c>
      <c r="K18" s="6">
        <v>12</v>
      </c>
      <c r="L18" s="6">
        <v>44</v>
      </c>
      <c r="M18" s="6">
        <v>142</v>
      </c>
      <c r="Q18">
        <v>0.11111318650721499</v>
      </c>
      <c r="R18">
        <v>0.33379571607651398</v>
      </c>
      <c r="S18">
        <v>1.18506360249534</v>
      </c>
      <c r="T18">
        <v>4.7402544099813904</v>
      </c>
    </row>
    <row r="19" spans="1:20" x14ac:dyDescent="0.25">
      <c r="A19" s="2">
        <v>85</v>
      </c>
      <c r="B19" s="2">
        <v>32</v>
      </c>
      <c r="C19" s="2">
        <v>730</v>
      </c>
      <c r="D19" s="2">
        <v>736</v>
      </c>
      <c r="E19" s="6">
        <v>7.2106074248904301E-3</v>
      </c>
      <c r="F19" s="6">
        <v>4.3107025126815799E-3</v>
      </c>
      <c r="G19" s="6">
        <v>3.2147255156120698E-3</v>
      </c>
      <c r="H19" s="6">
        <v>0</v>
      </c>
      <c r="I19" s="6">
        <v>0</v>
      </c>
      <c r="J19" s="6">
        <v>2</v>
      </c>
      <c r="K19" s="6">
        <v>20</v>
      </c>
      <c r="L19" s="6">
        <v>56</v>
      </c>
      <c r="M19" s="6">
        <v>221</v>
      </c>
      <c r="Q19">
        <v>0.10555265781537999</v>
      </c>
      <c r="R19">
        <v>0.29612036348347698</v>
      </c>
      <c r="S19">
        <v>1.10353984324648</v>
      </c>
      <c r="T19">
        <v>4.4141593729859396</v>
      </c>
    </row>
    <row r="20" spans="1:20" x14ac:dyDescent="0.25">
      <c r="A20" s="2">
        <v>61</v>
      </c>
      <c r="B20" s="2">
        <v>32</v>
      </c>
      <c r="C20" s="2">
        <v>782</v>
      </c>
      <c r="D20" s="2">
        <v>788</v>
      </c>
      <c r="E20" s="6">
        <v>1.56214487292647E-2</v>
      </c>
      <c r="F20" s="6">
        <v>5.2662949576556001E-3</v>
      </c>
      <c r="G20" s="6">
        <v>2.72445890625286E-3</v>
      </c>
      <c r="H20" s="6">
        <v>0</v>
      </c>
      <c r="I20" s="6">
        <v>0</v>
      </c>
      <c r="J20" s="6">
        <v>7</v>
      </c>
      <c r="K20" s="6">
        <v>15</v>
      </c>
      <c r="L20" s="6">
        <v>64</v>
      </c>
      <c r="M20" s="6">
        <v>195</v>
      </c>
      <c r="Q20">
        <v>0.16346172879229001</v>
      </c>
      <c r="R20">
        <v>0.58276981574497899</v>
      </c>
      <c r="S20">
        <v>1.3481715091598301</v>
      </c>
      <c r="T20">
        <v>5.3926860366393399</v>
      </c>
    </row>
    <row r="21" spans="1:20" x14ac:dyDescent="0.25">
      <c r="A21" s="2">
        <v>52</v>
      </c>
      <c r="B21" s="2">
        <v>32</v>
      </c>
      <c r="C21" s="2">
        <v>820</v>
      </c>
      <c r="D21" s="2">
        <v>825</v>
      </c>
      <c r="E21" s="6">
        <v>1.0312591811044301E-2</v>
      </c>
      <c r="F21" s="6">
        <v>5.5926120027780602E-3</v>
      </c>
      <c r="G21" s="6">
        <v>4.7824857373505204E-3</v>
      </c>
      <c r="H21" s="6">
        <v>0</v>
      </c>
      <c r="I21" s="6">
        <v>0</v>
      </c>
      <c r="J21" s="6">
        <v>6</v>
      </c>
      <c r="K21" s="6">
        <v>17</v>
      </c>
      <c r="L21" s="6">
        <v>63</v>
      </c>
      <c r="M21" s="6">
        <v>169</v>
      </c>
      <c r="Q21">
        <v>0.12586856113637501</v>
      </c>
      <c r="R21">
        <v>0.39446622668390502</v>
      </c>
      <c r="S21">
        <v>1.4317086727111801</v>
      </c>
      <c r="T21">
        <v>5.7268346908447398</v>
      </c>
    </row>
    <row r="22" spans="1:20" x14ac:dyDescent="0.25">
      <c r="A22" s="2">
        <v>165</v>
      </c>
      <c r="B22" s="2">
        <v>16</v>
      </c>
      <c r="C22" s="2">
        <v>865</v>
      </c>
      <c r="D22" s="2">
        <v>875</v>
      </c>
      <c r="E22" s="6">
        <v>6.7608710788982004E-3</v>
      </c>
      <c r="F22" s="6">
        <v>3.4367614154589199E-3</v>
      </c>
      <c r="G22" s="6">
        <v>3.2222345316923699E-3</v>
      </c>
      <c r="H22" s="6">
        <v>0</v>
      </c>
      <c r="I22" s="6">
        <v>0</v>
      </c>
      <c r="J22" s="6">
        <v>1</v>
      </c>
      <c r="K22" s="6">
        <v>14</v>
      </c>
      <c r="L22" s="6">
        <v>80</v>
      </c>
      <c r="M22" s="6">
        <v>345</v>
      </c>
      <c r="Q22">
        <v>0.108173937262371</v>
      </c>
      <c r="R22">
        <v>0.26302103771144297</v>
      </c>
      <c r="S22">
        <v>0.87981092235748504</v>
      </c>
      <c r="T22">
        <v>3.5192436894299401</v>
      </c>
    </row>
    <row r="23" spans="1:20" x14ac:dyDescent="0.25">
      <c r="A23" s="2">
        <v>166</v>
      </c>
      <c r="B23" s="2">
        <v>16</v>
      </c>
      <c r="C23" s="2">
        <v>920</v>
      </c>
      <c r="D23" s="2">
        <v>930</v>
      </c>
      <c r="E23" s="6">
        <v>3.4465260726030101E-3</v>
      </c>
      <c r="F23" s="6">
        <v>2.6888150842251301E-3</v>
      </c>
      <c r="G23" s="6">
        <v>2.57278566744263E-3</v>
      </c>
      <c r="H23" s="6">
        <v>0</v>
      </c>
      <c r="I23" s="6">
        <v>0</v>
      </c>
      <c r="J23" s="6">
        <v>0</v>
      </c>
      <c r="K23" s="6">
        <v>5</v>
      </c>
      <c r="L23" s="6">
        <v>43</v>
      </c>
      <c r="M23" s="6">
        <v>348</v>
      </c>
      <c r="R23">
        <v>0.18142026432720901</v>
      </c>
      <c r="S23">
        <v>0.68833666156163398</v>
      </c>
      <c r="T23">
        <v>2.7533466462465301</v>
      </c>
    </row>
    <row r="24" spans="1:20" x14ac:dyDescent="0.25">
      <c r="A24" s="2">
        <v>53</v>
      </c>
      <c r="B24" s="2">
        <v>22.6</v>
      </c>
      <c r="C24" s="2">
        <v>970</v>
      </c>
      <c r="D24" s="2">
        <v>985</v>
      </c>
      <c r="E24" s="6">
        <v>3.4421994274184999E-3</v>
      </c>
      <c r="F24" s="6">
        <v>2.4023949183714101E-3</v>
      </c>
      <c r="G24" s="6">
        <v>2.2444220975986898E-3</v>
      </c>
      <c r="H24" s="6">
        <v>0</v>
      </c>
      <c r="I24" s="6">
        <v>0</v>
      </c>
      <c r="J24" s="6">
        <v>0</v>
      </c>
      <c r="K24" s="6">
        <v>1</v>
      </c>
      <c r="L24" s="6">
        <v>60</v>
      </c>
      <c r="M24" s="6">
        <v>510</v>
      </c>
      <c r="R24">
        <v>0.21847975293149599</v>
      </c>
      <c r="S24">
        <v>0.64328487628210496</v>
      </c>
      <c r="T24">
        <v>2.4600523964123302</v>
      </c>
    </row>
    <row r="25" spans="1:20" x14ac:dyDescent="0.25">
      <c r="A25" s="2">
        <v>45</v>
      </c>
      <c r="B25" s="2">
        <v>22.6</v>
      </c>
      <c r="C25" s="2">
        <v>1020</v>
      </c>
      <c r="D25" s="2">
        <v>1030</v>
      </c>
      <c r="E25" s="6">
        <v>4.4351695112676698E-3</v>
      </c>
      <c r="F25" s="6">
        <v>3.0116236434756202E-3</v>
      </c>
      <c r="G25" s="6">
        <v>2.9058089666561498E-3</v>
      </c>
      <c r="H25" s="6">
        <v>0</v>
      </c>
      <c r="I25" s="6">
        <v>0</v>
      </c>
      <c r="J25" s="6">
        <v>1</v>
      </c>
      <c r="K25" s="6">
        <v>9</v>
      </c>
      <c r="L25" s="6">
        <v>64</v>
      </c>
      <c r="M25" s="6">
        <v>340</v>
      </c>
      <c r="Q25">
        <v>7.09627121802828E-2</v>
      </c>
      <c r="R25">
        <v>0.23087973266339301</v>
      </c>
      <c r="S25">
        <v>0.77097565272975999</v>
      </c>
      <c r="T25">
        <v>3.0839026109190399</v>
      </c>
    </row>
    <row r="26" spans="1:20" x14ac:dyDescent="0.25">
      <c r="A26" s="3">
        <v>1.1000000000000001</v>
      </c>
      <c r="B26" s="3">
        <v>32</v>
      </c>
      <c r="C26" s="4">
        <v>50</v>
      </c>
      <c r="D26" s="4">
        <v>70</v>
      </c>
      <c r="E26" s="6">
        <v>8.9091988856975293E-3</v>
      </c>
      <c r="F26" s="6">
        <v>3.6147518972306099E-3</v>
      </c>
      <c r="G26" s="6">
        <v>2.9716374894554099E-3</v>
      </c>
      <c r="H26" s="6">
        <v>0</v>
      </c>
      <c r="I26" s="6">
        <v>0</v>
      </c>
      <c r="J26" s="6">
        <v>5</v>
      </c>
      <c r="K26" s="6">
        <v>25</v>
      </c>
      <c r="L26" s="6">
        <v>163</v>
      </c>
      <c r="M26" s="6">
        <v>619</v>
      </c>
      <c r="P26">
        <v>5.6012702773475899E-2</v>
      </c>
      <c r="Q26">
        <v>0.17662425401843199</v>
      </c>
      <c r="R26">
        <v>0.371998081424883</v>
      </c>
      <c r="S26">
        <v>1.4536955966377501</v>
      </c>
      <c r="T26">
        <v>5.8147823865510198</v>
      </c>
    </row>
    <row r="27" spans="1:20" x14ac:dyDescent="0.25">
      <c r="A27" s="3">
        <v>1.2</v>
      </c>
      <c r="B27" s="3">
        <v>32</v>
      </c>
      <c r="C27" s="4">
        <v>70</v>
      </c>
      <c r="D27" s="4">
        <v>90</v>
      </c>
      <c r="E27" s="6">
        <v>6.9292715613829001E-3</v>
      </c>
      <c r="F27" s="6">
        <v>3.06887736670908E-3</v>
      </c>
      <c r="G27" s="6">
        <v>2.6196408724870799E-3</v>
      </c>
      <c r="H27" s="6">
        <v>0</v>
      </c>
      <c r="I27" s="6">
        <v>0</v>
      </c>
      <c r="J27" s="6">
        <v>1</v>
      </c>
      <c r="K27" s="6">
        <v>18</v>
      </c>
      <c r="L27" s="6">
        <v>130</v>
      </c>
      <c r="M27" s="6">
        <v>632</v>
      </c>
      <c r="P27">
        <v>4.3563203401631702E-2</v>
      </c>
      <c r="Q27">
        <v>0.14678489544762599</v>
      </c>
      <c r="R27">
        <v>0.32808884276820199</v>
      </c>
      <c r="S27">
        <v>1.23423783884298</v>
      </c>
      <c r="T27">
        <v>4.93695135537192</v>
      </c>
    </row>
    <row r="28" spans="1:20" x14ac:dyDescent="0.25">
      <c r="A28" s="3">
        <v>1.3</v>
      </c>
      <c r="B28" s="3">
        <v>32</v>
      </c>
      <c r="C28" s="4">
        <v>90</v>
      </c>
      <c r="D28" s="4">
        <v>100</v>
      </c>
      <c r="E28" s="6">
        <v>1.47385896428894E-2</v>
      </c>
      <c r="F28" s="6">
        <v>5.8173175175506697E-3</v>
      </c>
      <c r="G28" s="6">
        <v>3.9062453901120798E-3</v>
      </c>
      <c r="H28" s="6">
        <v>0</v>
      </c>
      <c r="I28" s="6">
        <v>1</v>
      </c>
      <c r="J28" s="6">
        <v>5</v>
      </c>
      <c r="K28" s="6">
        <v>31</v>
      </c>
      <c r="L28" s="6">
        <v>132</v>
      </c>
      <c r="M28" s="6">
        <v>313</v>
      </c>
      <c r="P28">
        <v>9.2791739546789598E-2</v>
      </c>
      <c r="Q28">
        <v>0.222368887754927</v>
      </c>
      <c r="R28">
        <v>0.58513216291286296</v>
      </c>
      <c r="S28">
        <v>2.3405286516514501</v>
      </c>
      <c r="T28">
        <v>9.3621146066058198</v>
      </c>
    </row>
    <row r="29" spans="1:20" x14ac:dyDescent="0.25">
      <c r="A29" s="3">
        <v>2.1</v>
      </c>
      <c r="B29" s="3">
        <v>45</v>
      </c>
      <c r="C29" s="4">
        <v>120</v>
      </c>
      <c r="D29" s="4">
        <v>140</v>
      </c>
      <c r="E29" s="6">
        <v>2.25186870565936E-2</v>
      </c>
      <c r="F29" s="6">
        <v>4.9991354160188201E-3</v>
      </c>
      <c r="G29" s="6">
        <v>2.5500654296637401E-3</v>
      </c>
      <c r="H29" s="6">
        <v>0</v>
      </c>
      <c r="I29" s="6">
        <v>2</v>
      </c>
      <c r="J29" s="6">
        <v>10</v>
      </c>
      <c r="K29" s="6">
        <v>46</v>
      </c>
      <c r="L29" s="6">
        <v>151</v>
      </c>
      <c r="M29" s="6">
        <v>608</v>
      </c>
      <c r="P29">
        <v>8.2766257918429495E-2</v>
      </c>
      <c r="Q29">
        <v>0.28137760228112102</v>
      </c>
      <c r="R29">
        <v>0.60837215584300797</v>
      </c>
      <c r="S29">
        <v>2.0097890273663599</v>
      </c>
      <c r="T29">
        <v>8.0391561094654609</v>
      </c>
    </row>
    <row r="30" spans="1:20" x14ac:dyDescent="0.25">
      <c r="A30" s="3">
        <v>2.2000000000000002</v>
      </c>
      <c r="B30" s="3">
        <v>45</v>
      </c>
      <c r="C30" s="4">
        <v>140</v>
      </c>
      <c r="D30" s="4">
        <v>155</v>
      </c>
      <c r="E30" s="6">
        <v>1.5294867364859001E-2</v>
      </c>
      <c r="F30" s="6">
        <v>4.1484743534522797E-3</v>
      </c>
      <c r="G30" s="6">
        <v>2.71426964444654E-3</v>
      </c>
      <c r="H30" s="6">
        <v>0</v>
      </c>
      <c r="I30" s="6">
        <v>1</v>
      </c>
      <c r="J30" s="6">
        <v>5</v>
      </c>
      <c r="K30" s="6">
        <v>18</v>
      </c>
      <c r="L30" s="6">
        <v>102</v>
      </c>
      <c r="M30" s="6">
        <v>452</v>
      </c>
      <c r="O30">
        <v>2.4016207968108199E-2</v>
      </c>
      <c r="P30">
        <v>6.1687066952672398E-2</v>
      </c>
      <c r="Q30">
        <v>0.19687478181427201</v>
      </c>
      <c r="R30">
        <v>0.46344710039377801</v>
      </c>
      <c r="S30">
        <v>1.6678313402251601</v>
      </c>
      <c r="T30">
        <v>6.6713253609006697</v>
      </c>
    </row>
    <row r="31" spans="1:20" x14ac:dyDescent="0.25">
      <c r="A31" s="3">
        <v>2.2999999999999998</v>
      </c>
      <c r="B31" s="3">
        <v>45</v>
      </c>
      <c r="C31" s="4">
        <v>160</v>
      </c>
      <c r="D31" s="4">
        <v>170</v>
      </c>
      <c r="E31" s="6">
        <v>1.2363766214190001E-2</v>
      </c>
      <c r="F31" s="6">
        <v>4.8242966278930601E-3</v>
      </c>
      <c r="G31" s="6">
        <v>3.40743614970838E-3</v>
      </c>
      <c r="H31" s="6">
        <v>0</v>
      </c>
      <c r="I31" s="6">
        <v>0</v>
      </c>
      <c r="J31" s="6">
        <v>5</v>
      </c>
      <c r="K31" s="6">
        <v>25</v>
      </c>
      <c r="L31" s="6">
        <v>106</v>
      </c>
      <c r="M31" s="6">
        <v>304</v>
      </c>
      <c r="P31">
        <v>6.6744949341475304E-2</v>
      </c>
      <c r="Q31">
        <v>0.16107374150092801</v>
      </c>
      <c r="R31">
        <v>0.484952010213689</v>
      </c>
      <c r="S31">
        <v>1.93980804085475</v>
      </c>
      <c r="T31">
        <v>7.7592321634190196</v>
      </c>
    </row>
    <row r="32" spans="1:20" x14ac:dyDescent="0.25">
      <c r="A32" s="3">
        <v>3.1</v>
      </c>
      <c r="B32" s="3">
        <v>64</v>
      </c>
      <c r="C32" s="4">
        <v>190</v>
      </c>
      <c r="D32" s="4">
        <v>210</v>
      </c>
      <c r="E32" s="6">
        <v>8.0927843677502997E-2</v>
      </c>
      <c r="F32" s="6">
        <v>9.6924269597843098E-3</v>
      </c>
      <c r="G32" s="6">
        <v>2.8688076768947999E-3</v>
      </c>
      <c r="H32" s="6">
        <v>2</v>
      </c>
      <c r="I32" s="6">
        <v>7</v>
      </c>
      <c r="J32" s="6">
        <v>28</v>
      </c>
      <c r="K32" s="6">
        <v>64</v>
      </c>
      <c r="L32" s="6">
        <v>172</v>
      </c>
      <c r="M32" s="6">
        <v>583</v>
      </c>
      <c r="O32">
        <v>9.5477972807156197E-2</v>
      </c>
      <c r="P32">
        <v>0.192484405703403</v>
      </c>
      <c r="Q32">
        <v>0.54260603351381897</v>
      </c>
      <c r="R32">
        <v>1.4445985101020999</v>
      </c>
      <c r="S32">
        <v>3.8969168791608402</v>
      </c>
      <c r="T32">
        <v>15.5876675166433</v>
      </c>
    </row>
    <row r="33" spans="1:20" x14ac:dyDescent="0.25">
      <c r="A33" s="3">
        <v>3.2</v>
      </c>
      <c r="B33" s="3">
        <v>64</v>
      </c>
      <c r="C33" s="4">
        <v>215</v>
      </c>
      <c r="D33" s="4">
        <v>230</v>
      </c>
      <c r="E33" s="6">
        <v>3.2770825255961797E-2</v>
      </c>
      <c r="F33" s="6">
        <v>8.7537882953942596E-3</v>
      </c>
      <c r="G33" s="6">
        <v>2.9094480124794301E-3</v>
      </c>
      <c r="H33" s="6">
        <v>0</v>
      </c>
      <c r="I33" s="6">
        <v>4</v>
      </c>
      <c r="J33" s="6">
        <v>25</v>
      </c>
      <c r="K33" s="6">
        <v>62</v>
      </c>
      <c r="L33" s="6">
        <v>164</v>
      </c>
      <c r="M33" s="6">
        <v>454</v>
      </c>
      <c r="O33">
        <v>2.8717702047744001E-2</v>
      </c>
      <c r="P33">
        <v>0.11587567427319601</v>
      </c>
      <c r="Q33">
        <v>0.424330918118209</v>
      </c>
      <c r="R33">
        <v>1.0317760232201201</v>
      </c>
      <c r="S33">
        <v>3.52073104697577</v>
      </c>
      <c r="T33">
        <v>14.082924187903</v>
      </c>
    </row>
    <row r="34" spans="1:20" x14ac:dyDescent="0.25">
      <c r="A34" s="3">
        <v>3.3</v>
      </c>
      <c r="B34" s="3">
        <v>64</v>
      </c>
      <c r="C34" s="4">
        <v>230</v>
      </c>
      <c r="D34" s="4">
        <v>250</v>
      </c>
      <c r="E34" s="6">
        <v>3.2088032772466697E-2</v>
      </c>
      <c r="F34" s="6">
        <v>6.2761382895869904E-3</v>
      </c>
      <c r="G34" s="6">
        <v>2.7927222762546698E-3</v>
      </c>
      <c r="H34" s="6">
        <v>0</v>
      </c>
      <c r="I34" s="6">
        <v>3</v>
      </c>
      <c r="J34" s="6">
        <v>17</v>
      </c>
      <c r="K34" s="6">
        <v>48</v>
      </c>
      <c r="L34" s="6">
        <v>181</v>
      </c>
      <c r="M34" s="6">
        <v>623</v>
      </c>
      <c r="O34">
        <v>4.2099641834455401E-2</v>
      </c>
      <c r="P34">
        <v>0.10745936765490099</v>
      </c>
      <c r="Q34">
        <v>0.342981303210388</v>
      </c>
      <c r="R34">
        <v>0.759859641009906</v>
      </c>
      <c r="S34">
        <v>2.5242279913372498</v>
      </c>
      <c r="T34">
        <v>10.096911965348999</v>
      </c>
    </row>
    <row r="35" spans="1:20" x14ac:dyDescent="0.25">
      <c r="A35" s="3">
        <v>4.0999999999999996</v>
      </c>
      <c r="B35" s="3">
        <v>90</v>
      </c>
      <c r="C35" s="4">
        <v>270</v>
      </c>
      <c r="D35" s="4">
        <v>285</v>
      </c>
      <c r="E35" s="6">
        <v>6.1720310731501603E-2</v>
      </c>
      <c r="F35" s="6">
        <v>1.87261826932381E-2</v>
      </c>
      <c r="G35" s="6">
        <v>6.0760171082971503E-3</v>
      </c>
      <c r="H35" s="6">
        <v>1</v>
      </c>
      <c r="I35" s="6">
        <v>14</v>
      </c>
      <c r="J35" s="6">
        <v>55</v>
      </c>
      <c r="K35" s="6">
        <v>111</v>
      </c>
      <c r="L35" s="6">
        <v>177</v>
      </c>
      <c r="M35" s="6">
        <v>396</v>
      </c>
      <c r="O35">
        <v>6.9669475601588704E-2</v>
      </c>
      <c r="P35">
        <v>0.21182245741774999</v>
      </c>
      <c r="Q35">
        <v>0.71876689058186105</v>
      </c>
      <c r="R35">
        <v>2.4352261038974299</v>
      </c>
      <c r="S35">
        <v>7.5299683456584097</v>
      </c>
      <c r="T35">
        <v>30.1198733826336</v>
      </c>
    </row>
    <row r="36" spans="1:20" x14ac:dyDescent="0.25">
      <c r="A36" s="3">
        <v>4.2</v>
      </c>
      <c r="B36" s="3">
        <v>90</v>
      </c>
      <c r="C36" s="4">
        <v>290</v>
      </c>
      <c r="D36" s="4">
        <v>310</v>
      </c>
      <c r="E36" s="6">
        <v>2.65212075258889E-2</v>
      </c>
      <c r="F36" s="6">
        <v>6.34952484332985E-3</v>
      </c>
      <c r="G36" s="6">
        <v>3.99861834458933E-3</v>
      </c>
      <c r="H36" s="6">
        <v>0</v>
      </c>
      <c r="I36" s="6">
        <v>3</v>
      </c>
      <c r="J36" s="6">
        <v>14</v>
      </c>
      <c r="K36" s="6">
        <v>69</v>
      </c>
      <c r="L36" s="6">
        <v>203</v>
      </c>
      <c r="M36" s="6">
        <v>560</v>
      </c>
      <c r="P36">
        <v>7.9120500982877304E-2</v>
      </c>
      <c r="Q36">
        <v>0.25286216921415</v>
      </c>
      <c r="R36">
        <v>0.66084681493743003</v>
      </c>
      <c r="S36">
        <v>2.5529730320435</v>
      </c>
      <c r="T36">
        <v>10.211892128174</v>
      </c>
    </row>
    <row r="37" spans="1:20" x14ac:dyDescent="0.25">
      <c r="A37" s="3">
        <v>4.3</v>
      </c>
      <c r="B37" s="3">
        <v>90</v>
      </c>
      <c r="C37" s="4">
        <v>310</v>
      </c>
      <c r="D37" s="4">
        <v>330</v>
      </c>
      <c r="E37" s="6">
        <v>4.1473368558109097E-2</v>
      </c>
      <c r="F37" s="6">
        <v>9.8834123353064001E-3</v>
      </c>
      <c r="G37" s="6">
        <v>5.9211829709309204E-3</v>
      </c>
      <c r="H37" s="6">
        <v>0</v>
      </c>
      <c r="I37" s="6">
        <v>6</v>
      </c>
      <c r="J37" s="6">
        <v>34</v>
      </c>
      <c r="K37" s="6">
        <v>95</v>
      </c>
      <c r="L37" s="6">
        <v>226</v>
      </c>
      <c r="M37" s="6">
        <v>594</v>
      </c>
      <c r="O37">
        <v>6.2038722824561902E-2</v>
      </c>
      <c r="P37">
        <v>0.13350547172294899</v>
      </c>
      <c r="Q37">
        <v>0.41039439745539202</v>
      </c>
      <c r="R37">
        <v>1.17781242915115</v>
      </c>
      <c r="S37">
        <v>3.97354688561304</v>
      </c>
      <c r="T37">
        <v>15.8941875424521</v>
      </c>
    </row>
    <row r="38" spans="1:20" x14ac:dyDescent="0.25">
      <c r="F38" s="6"/>
    </row>
    <row r="39" spans="1:20" x14ac:dyDescent="0.25">
      <c r="F39" s="6"/>
    </row>
    <row r="40" spans="1:20" x14ac:dyDescent="0.25">
      <c r="F40" s="6"/>
    </row>
    <row r="41" spans="1:20" x14ac:dyDescent="0.25">
      <c r="F41" s="6"/>
    </row>
    <row r="42" spans="1:20" x14ac:dyDescent="0.25">
      <c r="F42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A51C-0832-4187-ACFD-287EA715E1F0}">
  <dimension ref="A1:CN48"/>
  <sheetViews>
    <sheetView tabSelected="1" topLeftCell="AM1" zoomScale="145" zoomScaleNormal="145" workbookViewId="0">
      <selection activeCell="BC13" sqref="BC13"/>
    </sheetView>
  </sheetViews>
  <sheetFormatPr defaultRowHeight="15" x14ac:dyDescent="0.25"/>
  <cols>
    <col min="1" max="1" width="12.5703125" customWidth="1"/>
    <col min="2" max="2" width="12.7109375" customWidth="1"/>
    <col min="3" max="3" width="13.28515625" customWidth="1"/>
    <col min="4" max="4" width="14.42578125" customWidth="1"/>
    <col min="5" max="5" width="12.7109375" customWidth="1"/>
    <col min="6" max="6" width="13" customWidth="1"/>
    <col min="7" max="7" width="10.5703125" customWidth="1"/>
    <col min="9" max="9" width="13.42578125" customWidth="1"/>
    <col min="10" max="10" width="13.7109375" customWidth="1"/>
    <col min="11" max="11" width="13.42578125" customWidth="1"/>
    <col min="12" max="12" width="12.7109375" customWidth="1"/>
    <col min="13" max="13" width="12.28515625" customWidth="1"/>
    <col min="14" max="14" width="12.140625" customWidth="1"/>
    <col min="15" max="15" width="11.28515625" customWidth="1"/>
    <col min="16" max="16" width="11.7109375" customWidth="1"/>
    <col min="17" max="17" width="11.140625" customWidth="1"/>
    <col min="18" max="18" width="10.42578125" customWidth="1"/>
    <col min="20" max="20" width="12" customWidth="1"/>
    <col min="21" max="21" width="11.7109375" customWidth="1"/>
    <col min="22" max="22" width="12.42578125" customWidth="1"/>
    <col min="23" max="23" width="11.5703125" customWidth="1"/>
    <col min="24" max="24" width="11.85546875" customWidth="1"/>
    <col min="25" max="25" width="12.28515625" customWidth="1"/>
    <col min="27" max="27" width="15.7109375" customWidth="1"/>
    <col min="28" max="28" width="14.140625" customWidth="1"/>
    <col min="29" max="29" width="14.5703125" customWidth="1"/>
    <col min="30" max="30" width="13.7109375" customWidth="1"/>
    <col min="31" max="31" width="12.28515625" customWidth="1"/>
    <col min="32" max="32" width="14.85546875" customWidth="1"/>
    <col min="36" max="36" width="11.5703125" bestFit="1" customWidth="1"/>
    <col min="38" max="38" width="10.140625" customWidth="1"/>
  </cols>
  <sheetData>
    <row r="1" spans="1:50" x14ac:dyDescent="0.25">
      <c r="A1" t="s">
        <v>61</v>
      </c>
      <c r="B1" s="21" t="s">
        <v>74</v>
      </c>
      <c r="C1" s="21" t="s">
        <v>75</v>
      </c>
      <c r="D1" s="21" t="s">
        <v>76</v>
      </c>
      <c r="E1" s="21" t="s">
        <v>77</v>
      </c>
      <c r="F1" s="29" t="s">
        <v>101</v>
      </c>
      <c r="G1" s="29" t="s">
        <v>108</v>
      </c>
      <c r="H1" s="29" t="s">
        <v>109</v>
      </c>
      <c r="I1" s="29" t="s">
        <v>110</v>
      </c>
      <c r="J1" s="29" t="s">
        <v>111</v>
      </c>
      <c r="K1" s="29" t="s">
        <v>112</v>
      </c>
      <c r="L1" s="21"/>
      <c r="M1" s="21" t="s">
        <v>31</v>
      </c>
      <c r="N1" s="21" t="s">
        <v>32</v>
      </c>
      <c r="O1" s="21" t="s">
        <v>33</v>
      </c>
      <c r="P1" s="21" t="s">
        <v>34</v>
      </c>
      <c r="Q1" s="21" t="s">
        <v>35</v>
      </c>
      <c r="R1" s="21" t="s">
        <v>36</v>
      </c>
      <c r="S1" s="21"/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AA1" s="21" t="s">
        <v>62</v>
      </c>
      <c r="AB1" s="21" t="s">
        <v>63</v>
      </c>
      <c r="AC1" s="21" t="s">
        <v>64</v>
      </c>
      <c r="AD1" s="21" t="s">
        <v>65</v>
      </c>
      <c r="AE1" s="21" t="s">
        <v>66</v>
      </c>
      <c r="AF1" s="21" t="s">
        <v>67</v>
      </c>
      <c r="AH1" s="21" t="s">
        <v>25</v>
      </c>
      <c r="AI1" s="21" t="s">
        <v>26</v>
      </c>
      <c r="AJ1" s="21" t="s">
        <v>27</v>
      </c>
      <c r="AK1" s="21" t="s">
        <v>28</v>
      </c>
      <c r="AL1" s="21" t="s">
        <v>29</v>
      </c>
      <c r="AM1" s="21" t="s">
        <v>30</v>
      </c>
      <c r="AP1" s="40" t="s">
        <v>131</v>
      </c>
      <c r="AQ1" s="64" t="s">
        <v>132</v>
      </c>
      <c r="AR1" s="64"/>
      <c r="AS1" s="64" t="s">
        <v>47</v>
      </c>
      <c r="AT1" s="64"/>
      <c r="AU1" s="64"/>
      <c r="AV1" s="64"/>
      <c r="AW1" s="64"/>
      <c r="AX1" s="64"/>
    </row>
    <row r="2" spans="1:50" x14ac:dyDescent="0.25">
      <c r="A2" s="21" t="s">
        <v>68</v>
      </c>
      <c r="B2" s="23">
        <v>479.999977324263</v>
      </c>
      <c r="C2" s="24">
        <v>0.21698840087687299</v>
      </c>
      <c r="D2" s="24">
        <v>6.9417065E-2</v>
      </c>
      <c r="E2" s="24">
        <v>5.3667272000000002E-2</v>
      </c>
      <c r="F2" s="24">
        <f t="shared" ref="F2:K6" si="0">AH2/$B2</f>
        <v>0.22083334376574756</v>
      </c>
      <c r="G2" s="24">
        <f t="shared" si="0"/>
        <v>8.7479170799280563</v>
      </c>
      <c r="H2" s="24">
        <f t="shared" si="0"/>
        <v>80.606253807929605</v>
      </c>
      <c r="I2" s="24">
        <f t="shared" si="0"/>
        <v>167.91875793266999</v>
      </c>
      <c r="J2" s="24">
        <f t="shared" si="0"/>
        <v>148.08334032895601</v>
      </c>
      <c r="K2" s="24">
        <f t="shared" si="0"/>
        <v>47.883335595395678</v>
      </c>
      <c r="L2" s="21"/>
      <c r="M2" s="24">
        <v>0.120912157052691</v>
      </c>
      <c r="N2" s="24">
        <v>0.33180424301834099</v>
      </c>
      <c r="O2" s="24">
        <v>1.1106730436618699</v>
      </c>
      <c r="P2" s="24">
        <v>4.4426921746474797</v>
      </c>
      <c r="Q2" s="24">
        <v>17.770768698589901</v>
      </c>
      <c r="R2" s="24">
        <v>71.083074794359803</v>
      </c>
      <c r="S2" s="24"/>
      <c r="T2">
        <v>0.21698840087687299</v>
      </c>
      <c r="U2">
        <v>0.86795360350749196</v>
      </c>
      <c r="V2">
        <v>3.47181441402997</v>
      </c>
      <c r="W2">
        <v>13.8872576561198</v>
      </c>
      <c r="X2">
        <v>55.549030624479499</v>
      </c>
      <c r="Y2">
        <v>222.196122497918</v>
      </c>
      <c r="AA2" s="24">
        <v>0.118359313673794</v>
      </c>
      <c r="AB2" s="24">
        <v>0.30693782510638401</v>
      </c>
      <c r="AC2" s="24">
        <v>0.85867635779576901</v>
      </c>
      <c r="AD2" s="24">
        <v>3.4347054311830698</v>
      </c>
      <c r="AE2" s="24">
        <v>13.738821724732301</v>
      </c>
      <c r="AF2" s="24">
        <v>54.955286898929202</v>
      </c>
      <c r="AH2" s="21">
        <v>106</v>
      </c>
      <c r="AI2" s="21">
        <v>4199</v>
      </c>
      <c r="AJ2" s="21">
        <v>38691</v>
      </c>
      <c r="AK2" s="21">
        <v>80601</v>
      </c>
      <c r="AL2" s="21">
        <v>71080</v>
      </c>
      <c r="AM2" s="21">
        <v>22984</v>
      </c>
      <c r="AP2" s="40"/>
      <c r="AQ2" s="56" t="s">
        <v>133</v>
      </c>
      <c r="AR2" s="40" t="s">
        <v>134</v>
      </c>
      <c r="AS2" s="40" t="s">
        <v>125</v>
      </c>
      <c r="AT2" s="40" t="s">
        <v>126</v>
      </c>
      <c r="AU2" s="40" t="s">
        <v>127</v>
      </c>
      <c r="AV2" s="40" t="s">
        <v>128</v>
      </c>
      <c r="AW2" s="40" t="s">
        <v>129</v>
      </c>
      <c r="AX2" s="40" t="s">
        <v>130</v>
      </c>
    </row>
    <row r="3" spans="1:50" x14ac:dyDescent="0.25">
      <c r="A3" s="21" t="s">
        <v>70</v>
      </c>
      <c r="B3" s="23">
        <v>49.999977324263</v>
      </c>
      <c r="C3" s="24">
        <v>0.103785400341108</v>
      </c>
      <c r="D3" s="24">
        <v>9.3097685505032102E-3</v>
      </c>
      <c r="E3" s="24">
        <v>2.6623638531804101E-3</v>
      </c>
      <c r="F3" s="24">
        <f t="shared" si="0"/>
        <v>0.1400000634920924</v>
      </c>
      <c r="G3" s="24">
        <f t="shared" si="0"/>
        <v>0.64000029024956528</v>
      </c>
      <c r="H3" s="24">
        <f t="shared" si="0"/>
        <v>2.9600013424042393</v>
      </c>
      <c r="I3" s="24">
        <f t="shared" si="0"/>
        <v>9.5000043083919845</v>
      </c>
      <c r="J3" s="24">
        <f t="shared" si="0"/>
        <v>37.660017079372857</v>
      </c>
      <c r="K3" s="24">
        <f t="shared" si="0"/>
        <v>117.32005320637343</v>
      </c>
      <c r="L3" s="21"/>
      <c r="M3" s="24">
        <v>8.7491372398812203E-2</v>
      </c>
      <c r="N3" s="24">
        <v>0.209281252002183</v>
      </c>
      <c r="O3" s="24">
        <v>0.53107420883976697</v>
      </c>
      <c r="P3" s="24">
        <v>1.1427850401592301</v>
      </c>
      <c r="Q3" s="24">
        <v>2.42627671242104</v>
      </c>
      <c r="R3" s="24">
        <v>9.5332029957152908</v>
      </c>
      <c r="S3" s="24"/>
      <c r="T3">
        <v>0.103785400341108</v>
      </c>
      <c r="U3">
        <v>0.41514160136443401</v>
      </c>
      <c r="V3">
        <v>1.66056640545773</v>
      </c>
      <c r="W3">
        <v>6.6422656218309504</v>
      </c>
      <c r="X3">
        <v>26.569062487323801</v>
      </c>
      <c r="Y3">
        <v>106.27624994929501</v>
      </c>
      <c r="AA3" s="24">
        <v>0.103757048244818</v>
      </c>
      <c r="AB3" s="24">
        <v>0.14698858143442201</v>
      </c>
      <c r="AC3" s="24">
        <v>0.24910673933583599</v>
      </c>
      <c r="AD3" s="24">
        <v>0.37211833067852301</v>
      </c>
      <c r="AE3" s="24">
        <v>0.69718753395348498</v>
      </c>
      <c r="AF3" s="24">
        <v>2.7262605856567399</v>
      </c>
      <c r="AH3" s="21">
        <v>7</v>
      </c>
      <c r="AI3" s="21">
        <v>32</v>
      </c>
      <c r="AJ3" s="21">
        <v>148</v>
      </c>
      <c r="AK3" s="21">
        <v>475</v>
      </c>
      <c r="AL3" s="21">
        <v>1883</v>
      </c>
      <c r="AM3" s="21">
        <v>5866</v>
      </c>
      <c r="AP3" s="40" t="s">
        <v>135</v>
      </c>
      <c r="AQ3" s="57">
        <f>E42</f>
        <v>29.175457341110487</v>
      </c>
      <c r="AR3" s="27">
        <f>K42</f>
        <v>46.215463915678441</v>
      </c>
      <c r="AS3" s="27">
        <f>R42</f>
        <v>221.90026591919485</v>
      </c>
      <c r="AT3" s="27">
        <f>Y42</f>
        <v>65.131417703744205</v>
      </c>
      <c r="AU3" s="27">
        <f>AE42</f>
        <v>49.047349941565059</v>
      </c>
      <c r="AV3" s="27">
        <f>AL42</f>
        <v>46.323116535475371</v>
      </c>
      <c r="AW3" s="27">
        <f>AU42</f>
        <v>45.754146714834711</v>
      </c>
      <c r="AX3" s="27">
        <f>BC42</f>
        <v>39.693110517649679</v>
      </c>
    </row>
    <row r="4" spans="1:50" x14ac:dyDescent="0.25">
      <c r="A4" s="21" t="s">
        <v>71</v>
      </c>
      <c r="B4" s="23">
        <v>99.999977324263</v>
      </c>
      <c r="C4" s="24">
        <v>1.7343593585544201E-2</v>
      </c>
      <c r="D4" s="24">
        <v>3.7541223526986601E-3</v>
      </c>
      <c r="E4" s="24">
        <v>3.5652204100954199E-3</v>
      </c>
      <c r="F4" s="24">
        <f t="shared" si="0"/>
        <v>0</v>
      </c>
      <c r="G4" s="24">
        <f t="shared" si="0"/>
        <v>3.0000006802722641E-2</v>
      </c>
      <c r="H4" s="24">
        <f t="shared" si="0"/>
        <v>0.17000003854876164</v>
      </c>
      <c r="I4" s="24">
        <f t="shared" si="0"/>
        <v>2.2100005011339015</v>
      </c>
      <c r="J4" s="24">
        <f t="shared" si="0"/>
        <v>29.650006723357546</v>
      </c>
      <c r="K4" s="24">
        <f t="shared" si="0"/>
        <v>148.97003378005306</v>
      </c>
      <c r="L4" s="21"/>
      <c r="M4" s="24"/>
      <c r="N4" s="24">
        <v>4.8899641067386798E-2</v>
      </c>
      <c r="O4" s="24">
        <v>0.137793372793407</v>
      </c>
      <c r="P4" s="24">
        <v>0.30126664954396598</v>
      </c>
      <c r="Q4" s="24">
        <v>0.96105532229085699</v>
      </c>
      <c r="R4" s="24">
        <v>3.84422128916342</v>
      </c>
      <c r="S4" s="24"/>
      <c r="U4">
        <v>6.9374374342176998E-2</v>
      </c>
      <c r="V4">
        <v>0.27749749736870799</v>
      </c>
      <c r="W4">
        <v>1.10998998947483</v>
      </c>
      <c r="X4">
        <v>4.4399599578993296</v>
      </c>
      <c r="Y4">
        <v>17.759839831597301</v>
      </c>
      <c r="AA4" s="24"/>
      <c r="AB4" s="24">
        <v>4.8899641067386798E-2</v>
      </c>
      <c r="AC4" s="24">
        <v>0.11369963117038601</v>
      </c>
      <c r="AD4" s="24">
        <v>0.28479190741614602</v>
      </c>
      <c r="AE4" s="24">
        <v>0.91269642498442904</v>
      </c>
      <c r="AF4" s="24">
        <v>3.65078569993771</v>
      </c>
      <c r="AH4" s="21">
        <v>0</v>
      </c>
      <c r="AI4" s="21">
        <v>3</v>
      </c>
      <c r="AJ4" s="21">
        <v>17</v>
      </c>
      <c r="AK4" s="21">
        <v>221</v>
      </c>
      <c r="AL4" s="21">
        <v>2965</v>
      </c>
      <c r="AM4" s="21">
        <v>14897</v>
      </c>
      <c r="AP4" s="54" t="s">
        <v>44</v>
      </c>
      <c r="AQ4" s="58">
        <f t="shared" ref="AQ4:AQ6" si="1">E43</f>
        <v>12.928170918535644</v>
      </c>
      <c r="AR4" s="55">
        <f t="shared" ref="AR4:AR6" si="2">K43</f>
        <v>36.55417195211966</v>
      </c>
      <c r="AS4" s="55">
        <f t="shared" ref="AS4:AS6" si="3">R43</f>
        <v>46.686099673170034</v>
      </c>
      <c r="AT4" s="55">
        <f t="shared" ref="AT4:AT6" si="4">Y43</f>
        <v>28.571778249735484</v>
      </c>
      <c r="AU4" s="55">
        <f t="shared" ref="AU4:AU6" si="5">AE43</f>
        <v>43.576551485958873</v>
      </c>
      <c r="AV4" s="55">
        <f t="shared" ref="AV4:AV6" si="6">AL43</f>
        <v>38.604565340151872</v>
      </c>
      <c r="AW4" s="55">
        <f t="shared" ref="AW4" si="7">AU43</f>
        <v>30.672057550046308</v>
      </c>
      <c r="AX4" s="55">
        <f t="shared" ref="AX4" si="8">BC43</f>
        <v>27.615189304368705</v>
      </c>
    </row>
    <row r="5" spans="1:50" x14ac:dyDescent="0.25">
      <c r="A5" s="21" t="s">
        <v>72</v>
      </c>
      <c r="B5" s="23">
        <v>199.999977324263</v>
      </c>
      <c r="C5" s="24">
        <v>7.6130482621443903E-3</v>
      </c>
      <c r="D5" s="24">
        <v>4.6194348205836396E-3</v>
      </c>
      <c r="E5" s="24">
        <v>4.7748825034219702E-3</v>
      </c>
      <c r="F5" s="24">
        <f t="shared" si="0"/>
        <v>0</v>
      </c>
      <c r="G5" s="24">
        <f t="shared" si="0"/>
        <v>0</v>
      </c>
      <c r="H5" s="24">
        <f t="shared" si="0"/>
        <v>4.0000004535147911E-2</v>
      </c>
      <c r="I5" s="24">
        <f t="shared" si="0"/>
        <v>3.0800003492063892</v>
      </c>
      <c r="J5" s="24">
        <f t="shared" si="0"/>
        <v>51.075005790816995</v>
      </c>
      <c r="K5" s="24">
        <f t="shared" si="0"/>
        <v>148.6900168582786</v>
      </c>
      <c r="L5" s="21"/>
      <c r="M5" s="24"/>
      <c r="N5" s="24"/>
      <c r="O5" s="24">
        <v>8.7334190395029695E-2</v>
      </c>
      <c r="P5" s="24">
        <v>0.33191630848951997</v>
      </c>
      <c r="Q5" s="24">
        <v>1.1911345040895001</v>
      </c>
      <c r="R5" s="24">
        <v>4.7303012562776399</v>
      </c>
      <c r="S5" s="24"/>
      <c r="V5">
        <v>0.107860658537048</v>
      </c>
      <c r="W5">
        <v>0.48723508877724098</v>
      </c>
      <c r="X5">
        <v>1.9489403551089599</v>
      </c>
      <c r="Y5">
        <v>7.7957614204358503</v>
      </c>
      <c r="AA5" s="24"/>
      <c r="AB5" s="24"/>
      <c r="AC5" s="24">
        <v>8.4555204603017103E-2</v>
      </c>
      <c r="AD5" s="24">
        <v>0.332343247681325</v>
      </c>
      <c r="AE5" s="24">
        <v>1.22806705924614</v>
      </c>
      <c r="AF5" s="24">
        <v>4.8894796835041001</v>
      </c>
      <c r="AH5" s="21">
        <v>0</v>
      </c>
      <c r="AI5" s="21">
        <v>0</v>
      </c>
      <c r="AJ5" s="21">
        <v>8</v>
      </c>
      <c r="AK5" s="21">
        <v>616</v>
      </c>
      <c r="AL5" s="21">
        <v>10215</v>
      </c>
      <c r="AM5" s="21">
        <v>29738</v>
      </c>
      <c r="AP5" s="40" t="s">
        <v>45</v>
      </c>
      <c r="AQ5" s="57">
        <f t="shared" si="1"/>
        <v>18.714955766413365</v>
      </c>
      <c r="AR5" s="27">
        <f t="shared" si="2"/>
        <v>41.002360985769059</v>
      </c>
      <c r="AS5" s="51">
        <f t="shared" si="3"/>
        <v>124841497437074.22</v>
      </c>
      <c r="AT5" s="27">
        <f t="shared" si="4"/>
        <v>40.103901497053201</v>
      </c>
      <c r="AU5" s="27">
        <f t="shared" si="5"/>
        <v>46.742408326217351</v>
      </c>
      <c r="AV5" s="27">
        <f t="shared" si="6"/>
        <v>45.642551491060068</v>
      </c>
      <c r="AW5" s="27" t="s">
        <v>122</v>
      </c>
      <c r="AX5" s="27" t="s">
        <v>122</v>
      </c>
    </row>
    <row r="6" spans="1:50" x14ac:dyDescent="0.25">
      <c r="A6" s="21" t="s">
        <v>73</v>
      </c>
      <c r="B6" s="23">
        <v>149.999977324263</v>
      </c>
      <c r="C6" s="24">
        <v>9.5590751489404505E-2</v>
      </c>
      <c r="D6" s="24">
        <v>4.1750172724988703E-3</v>
      </c>
      <c r="E6" s="24">
        <v>3.0008966016067001E-3</v>
      </c>
      <c r="F6" s="24">
        <f t="shared" si="0"/>
        <v>2.6666670697909411E-2</v>
      </c>
      <c r="G6" s="24">
        <f t="shared" si="0"/>
        <v>4.6666673721341465E-2</v>
      </c>
      <c r="H6" s="24">
        <f t="shared" si="0"/>
        <v>0.28666671000252614</v>
      </c>
      <c r="I6" s="24">
        <f t="shared" si="0"/>
        <v>2.1666669942051393</v>
      </c>
      <c r="J6" s="24">
        <f t="shared" si="0"/>
        <v>31.580004773999217</v>
      </c>
      <c r="K6" s="24">
        <f t="shared" si="0"/>
        <v>140.93335463845122</v>
      </c>
      <c r="L6" s="21"/>
      <c r="M6" s="24">
        <v>9.5590751489404505E-2</v>
      </c>
      <c r="N6" s="24">
        <v>0.38236300595761802</v>
      </c>
      <c r="O6" s="24">
        <v>0.30150636762101002</v>
      </c>
      <c r="P6" s="24">
        <v>0.40942486346857698</v>
      </c>
      <c r="Q6" s="24">
        <v>1.08441649984316</v>
      </c>
      <c r="R6" s="24">
        <v>4.2752176870388396</v>
      </c>
      <c r="S6" s="24"/>
      <c r="T6">
        <v>9.5590751489404505E-2</v>
      </c>
      <c r="U6">
        <v>0.38236300595761802</v>
      </c>
      <c r="V6">
        <v>1.5294520238304701</v>
      </c>
      <c r="W6">
        <v>6.1178080953218803</v>
      </c>
      <c r="X6">
        <v>24.4712323812875</v>
      </c>
      <c r="Y6">
        <v>97.884929525150199</v>
      </c>
      <c r="AA6" s="24">
        <v>9.5590751489404505E-2</v>
      </c>
      <c r="AB6" s="24">
        <v>0.38236300595761802</v>
      </c>
      <c r="AC6" s="24">
        <v>0.161126362185676</v>
      </c>
      <c r="AD6" s="24">
        <v>0.28514455549158801</v>
      </c>
      <c r="AE6" s="24">
        <v>0.77490970037964602</v>
      </c>
      <c r="AF6" s="24">
        <v>3.07291812004526</v>
      </c>
      <c r="AH6" s="21">
        <v>4</v>
      </c>
      <c r="AI6" s="21">
        <v>7</v>
      </c>
      <c r="AJ6" s="21">
        <v>43</v>
      </c>
      <c r="AK6" s="21">
        <v>325</v>
      </c>
      <c r="AL6" s="21">
        <v>4737</v>
      </c>
      <c r="AM6" s="21">
        <v>21140</v>
      </c>
      <c r="AP6" s="40" t="s">
        <v>136</v>
      </c>
      <c r="AQ6" s="57">
        <f t="shared" si="1"/>
        <v>20.07363987061624</v>
      </c>
      <c r="AR6" s="27">
        <f t="shared" si="2"/>
        <v>43.849084476060163</v>
      </c>
      <c r="AS6" s="27">
        <f t="shared" si="3"/>
        <v>52.697356819929738</v>
      </c>
      <c r="AT6" s="27">
        <f t="shared" si="4"/>
        <v>33.281567358941764</v>
      </c>
      <c r="AU6" s="27">
        <f t="shared" si="5"/>
        <v>56.853987041922856</v>
      </c>
      <c r="AV6" s="27">
        <f t="shared" si="6"/>
        <v>59.388122118072737</v>
      </c>
      <c r="AW6" s="27" t="s">
        <v>122</v>
      </c>
      <c r="AX6" s="27" t="s">
        <v>122</v>
      </c>
    </row>
    <row r="7" spans="1:50" x14ac:dyDescent="0.25">
      <c r="B7" s="23"/>
      <c r="F7" s="24"/>
      <c r="M7" s="24"/>
      <c r="N7" s="24"/>
      <c r="O7" s="24"/>
      <c r="P7" s="24"/>
      <c r="Q7" s="24"/>
      <c r="R7" s="24"/>
      <c r="S7" s="24"/>
      <c r="AA7" s="24"/>
      <c r="AB7" s="24"/>
      <c r="AC7" s="24"/>
      <c r="AD7" s="24"/>
      <c r="AE7" s="24"/>
      <c r="AF7" s="24"/>
      <c r="AP7" s="40"/>
      <c r="AQ7" s="40"/>
      <c r="AR7" s="40"/>
      <c r="AS7" s="40"/>
      <c r="AT7" s="40"/>
      <c r="AU7" s="40"/>
      <c r="AV7" s="40"/>
      <c r="AW7" s="40"/>
      <c r="AX7" s="40"/>
    </row>
    <row r="8" spans="1:50" x14ac:dyDescent="0.25">
      <c r="AQ8" t="s">
        <v>137</v>
      </c>
      <c r="AR8" s="49">
        <f>MIN(AQ3:AX6)</f>
        <v>12.928170918535644</v>
      </c>
    </row>
    <row r="9" spans="1:50" x14ac:dyDescent="0.25">
      <c r="A9" t="s">
        <v>69</v>
      </c>
      <c r="B9" s="21" t="s">
        <v>74</v>
      </c>
      <c r="C9" s="21" t="s">
        <v>75</v>
      </c>
      <c r="D9" s="21" t="s">
        <v>76</v>
      </c>
      <c r="E9" s="21" t="s">
        <v>77</v>
      </c>
      <c r="F9" s="29" t="s">
        <v>101</v>
      </c>
      <c r="G9" s="29" t="s">
        <v>108</v>
      </c>
      <c r="H9" s="29" t="s">
        <v>109</v>
      </c>
      <c r="I9" s="29" t="s">
        <v>110</v>
      </c>
      <c r="J9" s="29" t="s">
        <v>111</v>
      </c>
      <c r="K9" s="29" t="s">
        <v>112</v>
      </c>
      <c r="L9" s="21"/>
      <c r="M9" s="21" t="s">
        <v>31</v>
      </c>
      <c r="N9" s="21" t="s">
        <v>32</v>
      </c>
      <c r="O9" s="21" t="s">
        <v>33</v>
      </c>
      <c r="P9" s="21" t="s">
        <v>34</v>
      </c>
      <c r="Q9" s="21" t="s">
        <v>35</v>
      </c>
      <c r="R9" s="21" t="s">
        <v>36</v>
      </c>
      <c r="S9" s="21"/>
      <c r="T9" t="s">
        <v>91</v>
      </c>
      <c r="U9" t="s">
        <v>92</v>
      </c>
      <c r="V9" t="s">
        <v>93</v>
      </c>
      <c r="W9" t="s">
        <v>94</v>
      </c>
      <c r="X9" t="s">
        <v>95</v>
      </c>
      <c r="Y9" t="s">
        <v>96</v>
      </c>
      <c r="AA9" s="21" t="s">
        <v>62</v>
      </c>
      <c r="AB9" s="21" t="s">
        <v>63</v>
      </c>
      <c r="AC9" s="21" t="s">
        <v>64</v>
      </c>
      <c r="AD9" s="21" t="s">
        <v>65</v>
      </c>
      <c r="AE9" s="21" t="s">
        <v>66</v>
      </c>
      <c r="AF9" s="21" t="s">
        <v>67</v>
      </c>
      <c r="AH9" s="21" t="s">
        <v>25</v>
      </c>
      <c r="AI9" s="21" t="s">
        <v>26</v>
      </c>
      <c r="AJ9" s="21" t="s">
        <v>27</v>
      </c>
      <c r="AK9" s="21" t="s">
        <v>28</v>
      </c>
      <c r="AL9" s="21" t="s">
        <v>29</v>
      </c>
      <c r="AM9" s="21" t="s">
        <v>30</v>
      </c>
    </row>
    <row r="10" spans="1:50" x14ac:dyDescent="0.25">
      <c r="A10" s="21" t="s">
        <v>68</v>
      </c>
      <c r="B10" s="23">
        <v>479.999977324263</v>
      </c>
      <c r="C10" s="24">
        <v>0.13821112529558399</v>
      </c>
      <c r="D10" s="24">
        <v>4.4193026175934902E-2</v>
      </c>
      <c r="E10" s="24">
        <v>3.4241041168528601E-2</v>
      </c>
      <c r="F10" s="24">
        <f t="shared" ref="F10:K14" si="9">AH10/$B10</f>
        <v>2.0833334317523354E-3</v>
      </c>
      <c r="G10" s="24">
        <f t="shared" si="9"/>
        <v>0.24583334494677558</v>
      </c>
      <c r="H10" s="24">
        <f t="shared" si="9"/>
        <v>9.7770837952137093</v>
      </c>
      <c r="I10" s="24">
        <f t="shared" si="9"/>
        <v>25.077084518002859</v>
      </c>
      <c r="J10" s="24">
        <f t="shared" si="9"/>
        <v>15.779167412092189</v>
      </c>
      <c r="K10" s="24">
        <f t="shared" si="9"/>
        <v>1.0145833812633873</v>
      </c>
      <c r="M10" s="24">
        <v>0.11751364062379099</v>
      </c>
      <c r="N10" s="24">
        <v>0.319395141827227</v>
      </c>
      <c r="O10" s="24">
        <v>0.78876324282771304</v>
      </c>
      <c r="P10" s="24">
        <v>2.8283536752598302</v>
      </c>
      <c r="Q10" s="24">
        <v>11.313414701039299</v>
      </c>
      <c r="R10" s="24">
        <v>45.253658804157297</v>
      </c>
      <c r="T10">
        <v>0.11751364062379099</v>
      </c>
      <c r="U10">
        <v>0.55284450118233697</v>
      </c>
      <c r="V10">
        <v>2.2113780047293399</v>
      </c>
      <c r="W10">
        <v>8.8455120189173897</v>
      </c>
      <c r="X10">
        <v>35.382048075669502</v>
      </c>
      <c r="Y10">
        <v>141.52819230267801</v>
      </c>
      <c r="AA10" s="24">
        <v>0.11751364062379099</v>
      </c>
      <c r="AB10" s="24">
        <v>0.31127578181348298</v>
      </c>
      <c r="AC10" s="24">
        <v>0.66601437811950503</v>
      </c>
      <c r="AD10" s="24">
        <v>2.19142663478583</v>
      </c>
      <c r="AE10" s="24">
        <v>8.7657065391433306</v>
      </c>
      <c r="AF10" s="24">
        <v>35.062826156573301</v>
      </c>
      <c r="AH10" s="21">
        <v>1</v>
      </c>
      <c r="AI10" s="21">
        <v>118</v>
      </c>
      <c r="AJ10" s="21">
        <v>4693</v>
      </c>
      <c r="AK10" s="21">
        <v>12037</v>
      </c>
      <c r="AL10" s="21">
        <v>7574</v>
      </c>
      <c r="AM10" s="21">
        <v>487</v>
      </c>
    </row>
    <row r="11" spans="1:50" x14ac:dyDescent="0.25">
      <c r="A11" s="21" t="s">
        <v>70</v>
      </c>
      <c r="B11" s="23">
        <v>49.999977324263</v>
      </c>
      <c r="C11" s="24">
        <v>6.6031662526564394E-2</v>
      </c>
      <c r="D11" s="24">
        <v>5.9237163792602698E-3</v>
      </c>
      <c r="E11" s="24">
        <v>1.6943786080546501E-3</v>
      </c>
      <c r="F11" s="24">
        <f t="shared" si="9"/>
        <v>2.0000009070298915E-2</v>
      </c>
      <c r="G11" s="24">
        <f t="shared" si="9"/>
        <v>0.16000007256239132</v>
      </c>
      <c r="H11" s="24">
        <f t="shared" si="9"/>
        <v>0.70000031746046198</v>
      </c>
      <c r="I11" s="24">
        <f t="shared" si="9"/>
        <v>2.0800009433110871</v>
      </c>
      <c r="J11" s="24">
        <f t="shared" si="9"/>
        <v>5.0800023038559239</v>
      </c>
      <c r="K11" s="24">
        <f t="shared" si="9"/>
        <v>18.120008217690817</v>
      </c>
      <c r="M11" s="24">
        <v>6.5989610525165596E-2</v>
      </c>
      <c r="N11" s="24">
        <v>0.22263256137064</v>
      </c>
      <c r="O11" s="24">
        <v>0.47163864454092103</v>
      </c>
      <c r="P11" s="24">
        <v>1.0948630488961699</v>
      </c>
      <c r="Q11" s="24">
        <v>2.1495545555098401</v>
      </c>
      <c r="R11" s="24">
        <v>6.0658855723625198</v>
      </c>
      <c r="T11">
        <v>6.5989610525165596E-2</v>
      </c>
      <c r="U11">
        <v>0.26412665010625702</v>
      </c>
      <c r="V11">
        <v>1.0565066004250301</v>
      </c>
      <c r="W11">
        <v>4.2260264017001203</v>
      </c>
      <c r="X11">
        <v>16.904105606800499</v>
      </c>
      <c r="Y11">
        <v>67.616422427201996</v>
      </c>
      <c r="AA11" s="24">
        <v>6.5989610525165596E-2</v>
      </c>
      <c r="AB11" s="24">
        <v>0.26395844210066199</v>
      </c>
      <c r="AC11" s="24">
        <v>0.18898032241923399</v>
      </c>
      <c r="AD11" s="24">
        <v>0.49289501164511501</v>
      </c>
      <c r="AE11" s="24">
        <v>0.59134539304591804</v>
      </c>
      <c r="AF11" s="24">
        <v>1.7350436946479599</v>
      </c>
      <c r="AH11" s="21">
        <v>1</v>
      </c>
      <c r="AI11" s="21">
        <v>8</v>
      </c>
      <c r="AJ11" s="21">
        <v>35</v>
      </c>
      <c r="AK11" s="21">
        <v>104</v>
      </c>
      <c r="AL11" s="21">
        <v>254</v>
      </c>
      <c r="AM11" s="21">
        <v>906</v>
      </c>
    </row>
    <row r="12" spans="1:50" x14ac:dyDescent="0.25">
      <c r="A12" s="21" t="s">
        <v>71</v>
      </c>
      <c r="B12" s="23">
        <v>99.999977324263</v>
      </c>
      <c r="C12" s="24">
        <v>1.10431355128058E-2</v>
      </c>
      <c r="D12" s="24">
        <v>2.38994288849095E-3</v>
      </c>
      <c r="E12" s="24">
        <v>2.2696459116837101E-3</v>
      </c>
      <c r="F12" s="24">
        <f t="shared" si="9"/>
        <v>0</v>
      </c>
      <c r="G12" s="24">
        <f t="shared" si="9"/>
        <v>0</v>
      </c>
      <c r="H12" s="24">
        <f t="shared" si="9"/>
        <v>3.0000006802722641E-2</v>
      </c>
      <c r="I12" s="24">
        <f t="shared" si="9"/>
        <v>0.30000006802722645</v>
      </c>
      <c r="J12" s="24">
        <f t="shared" si="9"/>
        <v>3.7200008435376075</v>
      </c>
      <c r="K12" s="24">
        <f t="shared" si="9"/>
        <v>25.920005877552363</v>
      </c>
      <c r="M12" s="24"/>
      <c r="N12" s="24"/>
      <c r="O12" s="24">
        <v>0.12454786890579</v>
      </c>
      <c r="P12" s="24">
        <v>0.242137126172387</v>
      </c>
      <c r="Q12" s="24">
        <v>0.67744631977663905</v>
      </c>
      <c r="R12" s="24">
        <v>2.4473015178147302</v>
      </c>
      <c r="V12">
        <v>0.176690168204894</v>
      </c>
      <c r="W12">
        <v>0.706760672819577</v>
      </c>
      <c r="X12">
        <v>2.8270426912783</v>
      </c>
      <c r="Y12">
        <v>11.3081707651132</v>
      </c>
      <c r="AA12" s="24"/>
      <c r="AB12" s="24"/>
      <c r="AC12" s="24">
        <v>0.12454786890579</v>
      </c>
      <c r="AD12" s="24">
        <v>0.21183497378216101</v>
      </c>
      <c r="AE12" s="24">
        <v>0.64348467898534101</v>
      </c>
      <c r="AF12" s="24">
        <v>2.32411741356412</v>
      </c>
      <c r="AH12" s="21">
        <v>0</v>
      </c>
      <c r="AI12" s="21">
        <v>0</v>
      </c>
      <c r="AJ12" s="21">
        <v>3</v>
      </c>
      <c r="AK12" s="21">
        <v>30</v>
      </c>
      <c r="AL12" s="21">
        <v>372</v>
      </c>
      <c r="AM12" s="21">
        <v>2592</v>
      </c>
    </row>
    <row r="13" spans="1:50" x14ac:dyDescent="0.25">
      <c r="A13" s="21" t="s">
        <v>72</v>
      </c>
      <c r="B13" s="23">
        <v>199.999977324263</v>
      </c>
      <c r="C13" s="24">
        <v>4.8520580407350701E-3</v>
      </c>
      <c r="D13" s="24">
        <v>2.9407908289032802E-3</v>
      </c>
      <c r="E13" s="24">
        <v>3.04017817618787E-3</v>
      </c>
      <c r="F13" s="24">
        <f t="shared" si="9"/>
        <v>0</v>
      </c>
      <c r="G13" s="24">
        <f t="shared" si="9"/>
        <v>0</v>
      </c>
      <c r="H13" s="24">
        <f t="shared" si="9"/>
        <v>5.0000005668934889E-3</v>
      </c>
      <c r="I13" s="24">
        <f t="shared" si="9"/>
        <v>0.22500002551020701</v>
      </c>
      <c r="J13" s="24">
        <f t="shared" si="9"/>
        <v>6.1500006972789922</v>
      </c>
      <c r="K13" s="24">
        <f t="shared" si="9"/>
        <v>27.075003069728243</v>
      </c>
      <c r="M13" s="24"/>
      <c r="N13" s="24"/>
      <c r="O13" s="24">
        <v>5.20992200193965E-2</v>
      </c>
      <c r="P13" s="24">
        <v>0.233009368203276</v>
      </c>
      <c r="Q13" s="24">
        <v>0.79102472557700698</v>
      </c>
      <c r="R13" s="24">
        <v>3.0113698087969598</v>
      </c>
      <c r="V13">
        <v>5.20992200193965E-2</v>
      </c>
      <c r="W13">
        <v>0.31053171460704398</v>
      </c>
      <c r="X13">
        <v>1.2421268584281699</v>
      </c>
      <c r="Y13">
        <v>4.96850743371271</v>
      </c>
      <c r="AA13" s="24"/>
      <c r="AB13" s="24"/>
      <c r="AC13" s="24">
        <v>5.20992200193965E-2</v>
      </c>
      <c r="AD13" s="24">
        <v>0.23814678675494999</v>
      </c>
      <c r="AE13" s="24">
        <v>0.80506910343512195</v>
      </c>
      <c r="AF13" s="24">
        <v>3.1131424524163802</v>
      </c>
      <c r="AH13" s="21">
        <v>0</v>
      </c>
      <c r="AI13" s="21">
        <v>0</v>
      </c>
      <c r="AJ13" s="21">
        <v>1</v>
      </c>
      <c r="AK13" s="21">
        <v>45</v>
      </c>
      <c r="AL13" s="21">
        <v>1230</v>
      </c>
      <c r="AM13" s="21">
        <v>5415</v>
      </c>
    </row>
    <row r="14" spans="1:50" x14ac:dyDescent="0.25">
      <c r="A14" s="21" t="s">
        <v>73</v>
      </c>
      <c r="B14" s="23">
        <v>149.999977324263</v>
      </c>
      <c r="C14" s="24">
        <v>6.0826315188722703E-2</v>
      </c>
      <c r="D14" s="24">
        <v>2.6578026532706302E-3</v>
      </c>
      <c r="E14" s="24">
        <v>1.9108250897470101E-3</v>
      </c>
      <c r="F14" s="24">
        <f t="shared" si="9"/>
        <v>1.3333335348954705E-2</v>
      </c>
      <c r="G14" s="24">
        <f t="shared" si="9"/>
        <v>1.3333335348954705E-2</v>
      </c>
      <c r="H14" s="24">
        <f t="shared" si="9"/>
        <v>6.0000009070296172E-2</v>
      </c>
      <c r="I14" s="24">
        <f t="shared" si="9"/>
        <v>0.33333338372386762</v>
      </c>
      <c r="J14" s="24">
        <f t="shared" si="9"/>
        <v>3.8533339158479096</v>
      </c>
      <c r="K14" s="24">
        <f t="shared" si="9"/>
        <v>23.866670274628923</v>
      </c>
      <c r="M14" s="24">
        <v>6.0826315188722703E-2</v>
      </c>
      <c r="N14" s="24">
        <v>0.24330526075489101</v>
      </c>
      <c r="O14" s="24">
        <v>0.57360216979313905</v>
      </c>
      <c r="P14" s="24">
        <v>0.50341126904308597</v>
      </c>
      <c r="Q14" s="24">
        <v>0.74484765650534701</v>
      </c>
      <c r="R14" s="24">
        <v>2.7215899169491302</v>
      </c>
      <c r="T14">
        <v>6.0826315188722703E-2</v>
      </c>
      <c r="U14">
        <v>0.24330526075489101</v>
      </c>
      <c r="V14">
        <v>0.97322104301956402</v>
      </c>
      <c r="W14">
        <v>3.8928841720782499</v>
      </c>
      <c r="X14">
        <v>15.571536688313</v>
      </c>
      <c r="Y14">
        <v>62.286146753252098</v>
      </c>
      <c r="AA14" s="24">
        <v>6.0826315188722703E-2</v>
      </c>
      <c r="AB14" s="24">
        <v>0.24330526075489101</v>
      </c>
      <c r="AC14" s="24">
        <v>0.57360216979313905</v>
      </c>
      <c r="AD14" s="24">
        <v>0.22441896315984</v>
      </c>
      <c r="AE14" s="24">
        <v>0.53928918915970003</v>
      </c>
      <c r="AF14" s="24">
        <v>1.9566848919009401</v>
      </c>
      <c r="AH14" s="21">
        <v>2</v>
      </c>
      <c r="AI14" s="21">
        <v>2</v>
      </c>
      <c r="AJ14" s="21">
        <v>9</v>
      </c>
      <c r="AK14" s="21">
        <v>50</v>
      </c>
      <c r="AL14" s="21">
        <v>578</v>
      </c>
      <c r="AM14" s="21">
        <v>3580</v>
      </c>
    </row>
    <row r="17" spans="1:92" x14ac:dyDescent="0.25">
      <c r="C17" s="64" t="s">
        <v>90</v>
      </c>
      <c r="D17" s="64"/>
      <c r="E17" s="64"/>
      <c r="F17" s="64"/>
      <c r="I17" s="64" t="s">
        <v>90</v>
      </c>
      <c r="J17" s="64"/>
      <c r="K17" s="64"/>
      <c r="L17" s="64"/>
      <c r="O17" s="64" t="s">
        <v>119</v>
      </c>
      <c r="P17" s="64"/>
      <c r="Q17" s="64"/>
      <c r="R17" s="64"/>
      <c r="V17" s="64" t="s">
        <v>119</v>
      </c>
      <c r="W17" s="64"/>
      <c r="X17" s="64"/>
      <c r="Y17" s="64"/>
      <c r="AC17" s="64" t="s">
        <v>119</v>
      </c>
      <c r="AD17" s="64"/>
      <c r="AE17" s="64"/>
      <c r="AF17" s="64"/>
      <c r="AJ17" s="64" t="s">
        <v>119</v>
      </c>
      <c r="AK17" s="64"/>
      <c r="AL17" s="64"/>
      <c r="AM17" s="64"/>
      <c r="AQ17" s="64" t="s">
        <v>119</v>
      </c>
      <c r="AR17" s="64"/>
      <c r="AS17" s="64"/>
      <c r="AT17" s="64"/>
      <c r="AY17" s="64" t="s">
        <v>119</v>
      </c>
      <c r="AZ17" s="64"/>
      <c r="BA17" s="64"/>
      <c r="BB17" s="64"/>
      <c r="BG17" s="64" t="s">
        <v>44</v>
      </c>
      <c r="BH17" s="64"/>
      <c r="BI17" s="64"/>
      <c r="BJ17" s="64"/>
      <c r="BP17" s="64" t="s">
        <v>45</v>
      </c>
      <c r="BQ17" s="64"/>
      <c r="BR17" s="64"/>
      <c r="BS17" s="64"/>
      <c r="BZ17" s="64" t="s">
        <v>44</v>
      </c>
      <c r="CA17" s="64"/>
      <c r="CB17" s="64"/>
      <c r="CC17" s="64"/>
    </row>
    <row r="18" spans="1:92" ht="35.25" customHeight="1" x14ac:dyDescent="0.25">
      <c r="A18" s="25" t="s">
        <v>78</v>
      </c>
      <c r="B18" s="26" t="s">
        <v>79</v>
      </c>
      <c r="C18" s="38" t="s">
        <v>84</v>
      </c>
      <c r="D18" s="38" t="s">
        <v>80</v>
      </c>
      <c r="E18" s="38" t="s">
        <v>82</v>
      </c>
      <c r="F18" s="38" t="s">
        <v>83</v>
      </c>
      <c r="H18" s="46"/>
      <c r="I18" s="38" t="s">
        <v>98</v>
      </c>
      <c r="J18" s="38" t="s">
        <v>81</v>
      </c>
      <c r="K18" s="38" t="s">
        <v>97</v>
      </c>
      <c r="L18" s="38" t="s">
        <v>99</v>
      </c>
      <c r="M18" s="28"/>
      <c r="N18" s="53" t="s">
        <v>117</v>
      </c>
      <c r="O18" s="38" t="s">
        <v>113</v>
      </c>
      <c r="P18" s="38" t="s">
        <v>114</v>
      </c>
      <c r="Q18" s="38" t="s">
        <v>115</v>
      </c>
      <c r="R18" s="38" t="s">
        <v>116</v>
      </c>
      <c r="U18" s="53" t="s">
        <v>118</v>
      </c>
      <c r="V18" s="38" t="s">
        <v>113</v>
      </c>
      <c r="W18" s="38" t="s">
        <v>114</v>
      </c>
      <c r="X18" s="38" t="s">
        <v>115</v>
      </c>
      <c r="Y18" s="38" t="s">
        <v>116</v>
      </c>
      <c r="AA18" s="26" t="s">
        <v>79</v>
      </c>
      <c r="AB18" s="53" t="s">
        <v>120</v>
      </c>
      <c r="AC18" s="38" t="s">
        <v>113</v>
      </c>
      <c r="AD18" s="38" t="s">
        <v>114</v>
      </c>
      <c r="AE18" s="38" t="s">
        <v>115</v>
      </c>
      <c r="AF18" s="38" t="s">
        <v>116</v>
      </c>
      <c r="AH18" s="59" t="s">
        <v>79</v>
      </c>
      <c r="AI18" s="53" t="s">
        <v>121</v>
      </c>
      <c r="AJ18" s="38" t="s">
        <v>113</v>
      </c>
      <c r="AK18" s="38" t="s">
        <v>114</v>
      </c>
      <c r="AL18" s="38" t="s">
        <v>115</v>
      </c>
      <c r="AM18" s="38" t="s">
        <v>116</v>
      </c>
      <c r="AO18" s="59" t="s">
        <v>79</v>
      </c>
      <c r="AP18" s="53" t="s">
        <v>123</v>
      </c>
      <c r="AQ18" s="38" t="s">
        <v>113</v>
      </c>
      <c r="AR18" s="38" t="s">
        <v>114</v>
      </c>
      <c r="AS18" s="38" t="s">
        <v>115</v>
      </c>
      <c r="AT18" s="38" t="s">
        <v>116</v>
      </c>
      <c r="AW18" s="59" t="s">
        <v>79</v>
      </c>
      <c r="AX18" s="53" t="s">
        <v>124</v>
      </c>
      <c r="AY18" s="38" t="s">
        <v>113</v>
      </c>
      <c r="AZ18" s="38" t="s">
        <v>114</v>
      </c>
      <c r="BA18" s="38" t="s">
        <v>115</v>
      </c>
      <c r="BB18" s="38" t="s">
        <v>116</v>
      </c>
      <c r="BE18" s="59" t="s">
        <v>79</v>
      </c>
      <c r="BF18" s="62" t="s">
        <v>86</v>
      </c>
      <c r="BG18" s="63" t="s">
        <v>125</v>
      </c>
      <c r="BH18" s="63" t="s">
        <v>126</v>
      </c>
      <c r="BI18" s="63" t="s">
        <v>127</v>
      </c>
      <c r="BJ18" s="63" t="s">
        <v>128</v>
      </c>
      <c r="BK18" s="63" t="s">
        <v>129</v>
      </c>
      <c r="BL18" s="63" t="s">
        <v>130</v>
      </c>
      <c r="BN18" s="59" t="s">
        <v>79</v>
      </c>
      <c r="BO18" s="62" t="s">
        <v>86</v>
      </c>
      <c r="BP18" s="63" t="s">
        <v>125</v>
      </c>
      <c r="BQ18" s="63" t="s">
        <v>126</v>
      </c>
      <c r="BR18" s="63" t="s">
        <v>127</v>
      </c>
      <c r="BS18" s="63" t="s">
        <v>128</v>
      </c>
      <c r="BT18" s="63" t="s">
        <v>129</v>
      </c>
      <c r="BU18" s="63" t="s">
        <v>130</v>
      </c>
      <c r="BX18" s="59" t="s">
        <v>79</v>
      </c>
      <c r="BY18" s="62" t="s">
        <v>86</v>
      </c>
      <c r="BZ18" s="63" t="s">
        <v>125</v>
      </c>
      <c r="CA18" s="63" t="s">
        <v>126</v>
      </c>
      <c r="CB18" s="63" t="s">
        <v>127</v>
      </c>
      <c r="CC18" s="63" t="s">
        <v>128</v>
      </c>
      <c r="CD18" s="63" t="s">
        <v>129</v>
      </c>
      <c r="CE18" s="63" t="s">
        <v>130</v>
      </c>
      <c r="CG18" s="59" t="s">
        <v>79</v>
      </c>
      <c r="CH18" s="62" t="s">
        <v>86</v>
      </c>
      <c r="CI18" s="63" t="s">
        <v>125</v>
      </c>
      <c r="CJ18" s="63" t="s">
        <v>126</v>
      </c>
      <c r="CK18" s="63" t="s">
        <v>127</v>
      </c>
      <c r="CL18" s="63" t="s">
        <v>128</v>
      </c>
      <c r="CM18" s="63" t="s">
        <v>129</v>
      </c>
      <c r="CN18" s="63" t="s">
        <v>130</v>
      </c>
    </row>
    <row r="19" spans="1:92" x14ac:dyDescent="0.25">
      <c r="A19" s="21" t="s">
        <v>68</v>
      </c>
      <c r="B19" s="21"/>
      <c r="C19" s="39"/>
      <c r="D19" s="39"/>
      <c r="E19" s="39"/>
      <c r="F19" s="39"/>
      <c r="H19" s="47" t="s">
        <v>68</v>
      </c>
      <c r="I19" s="39"/>
      <c r="J19" s="48"/>
      <c r="K19" s="48"/>
      <c r="L19" s="48"/>
      <c r="N19" s="47" t="s">
        <v>68</v>
      </c>
      <c r="O19" s="27"/>
      <c r="P19" s="27"/>
      <c r="Q19" s="51"/>
      <c r="R19" s="27"/>
      <c r="U19" s="47" t="s">
        <v>68</v>
      </c>
      <c r="V19" s="27"/>
      <c r="W19" s="27"/>
      <c r="X19" s="27"/>
      <c r="Y19" s="27"/>
      <c r="AA19" s="40"/>
      <c r="AB19" s="47" t="s">
        <v>68</v>
      </c>
      <c r="AC19" s="27"/>
      <c r="AD19" s="24"/>
      <c r="AE19" s="27"/>
      <c r="AF19" s="24"/>
      <c r="AH19" s="40"/>
      <c r="AI19" s="47" t="s">
        <v>68</v>
      </c>
      <c r="AJ19" s="27"/>
      <c r="AK19" s="27"/>
      <c r="AL19" s="27"/>
      <c r="AM19" s="27"/>
      <c r="AO19" s="40"/>
      <c r="AP19" s="47" t="s">
        <v>68</v>
      </c>
      <c r="AQ19" s="27"/>
      <c r="AR19" s="27"/>
      <c r="AS19" s="27" t="s">
        <v>122</v>
      </c>
      <c r="AT19" s="27" t="s">
        <v>122</v>
      </c>
      <c r="AW19" s="40"/>
      <c r="AX19" s="47" t="s">
        <v>68</v>
      </c>
      <c r="AY19" s="27"/>
      <c r="AZ19" s="27"/>
      <c r="BA19" s="27" t="s">
        <v>122</v>
      </c>
      <c r="BB19" s="27" t="s">
        <v>122</v>
      </c>
      <c r="BE19" s="40">
        <v>90</v>
      </c>
      <c r="BF19" s="63" t="s">
        <v>68</v>
      </c>
      <c r="BG19" s="27">
        <f>0.6229*Y2 + 31.496</f>
        <v>169.90196470395313</v>
      </c>
      <c r="BH19" s="27">
        <f>2.4916*X2 + 31.496</f>
        <v>169.90196470395313</v>
      </c>
      <c r="BI19" s="27">
        <f>9.9664*W2 + 31.496</f>
        <v>169.90196470395239</v>
      </c>
      <c r="BJ19" s="27">
        <f xml:space="preserve"> 39.864*V2 + 31.499</f>
        <v>169.89940980089071</v>
      </c>
      <c r="BK19" s="27">
        <f xml:space="preserve"> 153.68*U2 + 33.411</f>
        <v>166.79810978703136</v>
      </c>
      <c r="BL19">
        <f xml:space="preserve"> 341.18*T2 + 59.342</f>
        <v>133.37410261117151</v>
      </c>
      <c r="BN19" s="40">
        <v>90</v>
      </c>
      <c r="BO19" s="63" t="s">
        <v>68</v>
      </c>
      <c r="BP19" s="27">
        <f>7.9979*Y2^0.5407</f>
        <v>148.54443363082297</v>
      </c>
      <c r="BQ19" s="27">
        <f xml:space="preserve"> 16.925*X2^0.5407</f>
        <v>148.55088810395125</v>
      </c>
      <c r="BR19" s="27">
        <f xml:space="preserve"> 35.818*W2^0.5407</f>
        <v>148.56416624831871</v>
      </c>
      <c r="BS19" s="27">
        <f xml:space="preserve"> 75.792*V2^0.5402</f>
        <v>148.46770308891954</v>
      </c>
      <c r="BT19" s="27">
        <f>162.76*U2^0.5531</f>
        <v>150.49778259856092</v>
      </c>
      <c r="BU19" s="27">
        <f>200.69*T2^0.333</f>
        <v>120.65882558744174</v>
      </c>
      <c r="BX19" s="40">
        <v>90</v>
      </c>
      <c r="BY19" s="63" t="s">
        <v>68</v>
      </c>
      <c r="BZ19" s="27">
        <f xml:space="preserve"> 3.2753*Y2 + 16.246</f>
        <v>744.00496001743079</v>
      </c>
      <c r="CA19" s="27">
        <f xml:space="preserve"> 13.101*X2 + 16.246</f>
        <v>743.99385021130593</v>
      </c>
      <c r="CB19" s="27">
        <f xml:space="preserve"> 45.439*W2 + 18.146</f>
        <v>649.16910063642752</v>
      </c>
      <c r="CC19" s="27">
        <f xml:space="preserve"> 129.75*V2 + 19.261</f>
        <v>469.72892022038866</v>
      </c>
      <c r="CD19" s="27">
        <f>408.35*U2 + 18.101</f>
        <v>372.52985399228436</v>
      </c>
      <c r="CE19" s="27">
        <f>268.12*T2 + 67.995</f>
        <v>126.17393004310719</v>
      </c>
      <c r="CG19" s="40">
        <v>90</v>
      </c>
      <c r="CH19" s="63" t="s">
        <v>68</v>
      </c>
      <c r="CI19" s="27">
        <f xml:space="preserve"> 7.3072*Y2^0.8093</f>
        <v>579.38176733330056</v>
      </c>
      <c r="CJ19">
        <f>22.438*X2^0.8093</f>
        <v>579.3630884936</v>
      </c>
      <c r="CK19">
        <f xml:space="preserve"> 63.923*W2^0.7897</f>
        <v>510.48312892350924</v>
      </c>
      <c r="CL19">
        <f>144.46*V2^0.7684</f>
        <v>375.93367183299137</v>
      </c>
      <c r="CM19">
        <f>377.35*U2^0.8162</f>
        <v>336.15935847257839</v>
      </c>
      <c r="CN19">
        <f xml:space="preserve"> 193.76*T2^0.3028</f>
        <v>121.99361584543476</v>
      </c>
    </row>
    <row r="20" spans="1:92" x14ac:dyDescent="0.25">
      <c r="A20" s="21" t="s">
        <v>70</v>
      </c>
      <c r="B20" s="21">
        <v>90</v>
      </c>
      <c r="C20" s="39">
        <f>(C3+0.0087)/0.0009</f>
        <v>124.98377815678667</v>
      </c>
      <c r="D20" s="39">
        <f t="shared" ref="D20:D23" si="10">C3*637.85+31.496</f>
        <v>97.695517607575738</v>
      </c>
      <c r="E20" s="39">
        <f t="shared" ref="E20:E23" si="11">339.46*C3^0.5407</f>
        <v>99.727167764153535</v>
      </c>
      <c r="F20" s="39">
        <f t="shared" ref="F20:F23" si="12">29.097*LN(C3)+161.54</f>
        <v>95.622784164000777</v>
      </c>
      <c r="H20" s="47" t="s">
        <v>70</v>
      </c>
      <c r="I20" s="39">
        <f>(D3/0.0003)^(1/0.9281)</f>
        <v>40.493833299235177</v>
      </c>
      <c r="J20" s="48">
        <f>3353.9*D3+16.246</f>
        <v>47.470032741532719</v>
      </c>
      <c r="K20" s="48">
        <f>1994.7*(D3^0.8093)</f>
        <v>45.304341949768059</v>
      </c>
      <c r="L20" s="48">
        <f>44.935*LN(D3)+263.07</f>
        <v>52.922887744040423</v>
      </c>
      <c r="N20" s="47" t="s">
        <v>70</v>
      </c>
      <c r="O20" s="27">
        <f t="shared" ref="O20:O23" si="13">EXP(-1*(4*(-6959+25*K3))/2555)</f>
        <v>546.17166893812691</v>
      </c>
      <c r="P20" s="27">
        <f t="shared" ref="P20:P23" si="14">-1.6001*K3 + 344.62</f>
        <v>156.89618286448186</v>
      </c>
      <c r="Q20" s="51">
        <f t="shared" ref="Q20:Q23" si="15">1000000000000*K3-4.601</f>
        <v>117320053206368.84</v>
      </c>
      <c r="R20" s="27">
        <f t="shared" ref="R20:R22" si="16">-276.5*LN(K3) + 1491</f>
        <v>173.50357460693817</v>
      </c>
      <c r="U20" s="47" t="s">
        <v>70</v>
      </c>
      <c r="V20" s="27">
        <f>EXP((1000*J3 - 37689)/6959)</f>
        <v>0.9958438496719686</v>
      </c>
      <c r="W20" s="27">
        <f t="shared" ref="W20:W23" si="17">0.5169*J3+27.545</f>
        <v>47.011462828327836</v>
      </c>
      <c r="X20" s="27">
        <f t="shared" ref="X20:X23" si="18">1.1518*J3^0.9191</f>
        <v>32.342147494732167</v>
      </c>
      <c r="Y20" s="27">
        <f t="shared" ref="Y20:Y23" si="19">36.467*LN(J3) - 90.391</f>
        <v>41.933118884917931</v>
      </c>
      <c r="AA20" s="40">
        <v>90</v>
      </c>
      <c r="AB20" s="47" t="s">
        <v>70</v>
      </c>
      <c r="AC20" s="27">
        <f t="shared" ref="AC20:AC23" si="20">EXP((20*(50*I3 + 1617))/12343)</f>
        <v>29.659305775690282</v>
      </c>
      <c r="AD20" s="24">
        <f t="shared" ref="AD20:AD23" si="21">2.8315*I3 + 14.308</f>
        <v>41.207262199211904</v>
      </c>
      <c r="AE20" s="27">
        <f t="shared" ref="AE20:AE23" si="22">8.9277*I3^0.6763</f>
        <v>40.923634346381888</v>
      </c>
      <c r="AF20" s="24">
        <f>35.468*LN(I3) - 31.802</f>
        <v>48.046833598239623</v>
      </c>
      <c r="AH20" s="40">
        <v>90</v>
      </c>
      <c r="AI20" s="47" t="s">
        <v>70</v>
      </c>
      <c r="AJ20" s="27">
        <f t="shared" ref="AJ20:AJ23" si="23">EXP((20*(500*H3 + 7967))/53949)</f>
        <v>33.188278878637824</v>
      </c>
      <c r="AK20" s="27">
        <f t="shared" ref="AK20:AK23" si="24">6.3569*H3+ 26.624</f>
        <v>45.44043253352951</v>
      </c>
      <c r="AL20" s="27">
        <f t="shared" ref="AL20:AL23" si="25" xml:space="preserve"> 32.273*H3^0.3897</f>
        <v>49.260837883196288</v>
      </c>
      <c r="AM20" s="27">
        <f>19.943*LN(H3) + 36.214</f>
        <v>57.855938622870738</v>
      </c>
      <c r="AO20" s="40">
        <v>90</v>
      </c>
      <c r="AP20" s="47" t="s">
        <v>70</v>
      </c>
      <c r="AQ20" s="27">
        <f t="shared" ref="AQ20:AQ23" si="26">EXP((2500*G3 + 11491)/3779)</f>
        <v>31.94910428210375</v>
      </c>
      <c r="AR20" s="27">
        <f t="shared" ref="AR20:AR23" si="27" xml:space="preserve"> 15.463*G3 + 39.702</f>
        <v>49.598324488129023</v>
      </c>
      <c r="AS20" s="27" t="s">
        <v>122</v>
      </c>
      <c r="AT20" s="27" t="s">
        <v>122</v>
      </c>
      <c r="AW20" s="40">
        <v>90</v>
      </c>
      <c r="AX20" s="47" t="s">
        <v>70</v>
      </c>
      <c r="AY20" s="27">
        <f t="shared" ref="AY20:AY23" si="28">EXP((2*(5000*F3 + 6539))/3945)</f>
        <v>39.250419737862266</v>
      </c>
      <c r="AZ20" s="27">
        <f t="shared" ref="AZ20:AZ23" si="29">70.576*F3 + 43.217</f>
        <v>53.097644481017909</v>
      </c>
      <c r="BA20" s="27" t="s">
        <v>122</v>
      </c>
      <c r="BB20" s="27" t="s">
        <v>122</v>
      </c>
      <c r="BE20" s="40">
        <v>90</v>
      </c>
      <c r="BF20" s="63" t="s">
        <v>70</v>
      </c>
      <c r="BG20" s="27">
        <f t="shared" ref="BG20:BG23" si="30">0.6229*Y3 + 31.496</f>
        <v>97.695476093415863</v>
      </c>
      <c r="BH20" s="27">
        <f t="shared" ref="BH20:BH23" si="31">2.4916*X3 + 31.496</f>
        <v>97.695476093415976</v>
      </c>
      <c r="BI20" s="27">
        <f t="shared" ref="BI20:BI23" si="32">9.9664*W3 + 31.496</f>
        <v>97.695476093415976</v>
      </c>
      <c r="BJ20" s="27">
        <f t="shared" ref="BJ20:BJ23" si="33" xml:space="preserve"> 39.864*V3 + 31.499</f>
        <v>97.695819187166947</v>
      </c>
      <c r="BK20" s="27">
        <f t="shared" ref="BK20:BK23" si="34" xml:space="preserve"> 153.68*U3 + 33.411</f>
        <v>97.20996129768622</v>
      </c>
      <c r="BL20">
        <f t="shared" ref="BL20:BL23" si="35" xml:space="preserve"> 341.18*T3 + 59.342</f>
        <v>94.751502888379235</v>
      </c>
      <c r="BN20" s="40">
        <v>90</v>
      </c>
      <c r="BO20" s="63" t="s">
        <v>70</v>
      </c>
      <c r="BP20" s="27">
        <f t="shared" ref="BP20:BP23" si="36">7.9979*Y3^0.5407</f>
        <v>99.694232599765229</v>
      </c>
      <c r="BQ20" s="27">
        <f t="shared" ref="BQ20:BQ23" si="37" xml:space="preserve"> 16.925*X3^0.5407</f>
        <v>99.698564460136211</v>
      </c>
      <c r="BR20" s="27">
        <f t="shared" ref="BR20:BR23" si="38" xml:space="preserve"> 35.818*W3^0.5407</f>
        <v>99.707475964800153</v>
      </c>
      <c r="BS20" s="27">
        <f t="shared" ref="BS20:BS23" si="39" xml:space="preserve"> 75.792*V3^0.5402</f>
        <v>99.679486561846588</v>
      </c>
      <c r="BT20" s="27">
        <f t="shared" ref="BT20:BT23" si="40">162.76*U3^0.5531</f>
        <v>100.08569989084388</v>
      </c>
      <c r="BU20" s="27">
        <f t="shared" ref="BU20:BU23" si="41">200.69*T3^0.333</f>
        <v>94.384158724984758</v>
      </c>
      <c r="BX20" s="40">
        <v>90</v>
      </c>
      <c r="BY20" s="63" t="s">
        <v>70</v>
      </c>
      <c r="BZ20" s="27">
        <f t="shared" ref="BZ20:BZ23" si="42" xml:space="preserve"> 3.2753*Y3 + 16.246</f>
        <v>364.33260145892592</v>
      </c>
      <c r="CA20" s="27">
        <f t="shared" ref="CA20:CA23" si="43" xml:space="preserve"> 13.101*X3 + 16.246</f>
        <v>364.32728764642911</v>
      </c>
      <c r="CB20" s="27">
        <f t="shared" ref="CB20:CB22" si="44" xml:space="preserve"> 45.439*W3 + 18.146</f>
        <v>319.96390759037655</v>
      </c>
      <c r="CC20" s="27">
        <f t="shared" ref="CC20:CC23" si="45" xml:space="preserve"> 129.75*V3 + 19.261</f>
        <v>234.71949110814046</v>
      </c>
      <c r="CD20" s="27">
        <f t="shared" ref="CD20:CD23" si="46">408.35*U3 + 18.101</f>
        <v>187.62407291716664</v>
      </c>
      <c r="CE20" s="27">
        <f t="shared" ref="CE20:CE23" si="47">268.12*T3 + 67.995</f>
        <v>95.821941539457882</v>
      </c>
      <c r="CG20" s="40">
        <v>90</v>
      </c>
      <c r="CH20" s="63" t="s">
        <v>70</v>
      </c>
      <c r="CI20" s="27">
        <f t="shared" ref="CI20:CI23" si="48" xml:space="preserve"> 7.3072*Y3^0.8093</f>
        <v>318.9670548214167</v>
      </c>
      <c r="CJ20">
        <f t="shared" ref="CJ20:CJ23" si="49">22.438*X3^0.8093</f>
        <v>318.95677155946009</v>
      </c>
      <c r="CK20">
        <f t="shared" ref="CK20:CK23" si="50" xml:space="preserve"> 63.923*W3^0.7897</f>
        <v>285.12827241806099</v>
      </c>
      <c r="CL20">
        <f t="shared" ref="CL20:CL23" si="51">144.46*V3^0.7684</f>
        <v>213.30081318545697</v>
      </c>
      <c r="CM20">
        <f t="shared" ref="CM20:CM23" si="52">377.35*U3^0.8162</f>
        <v>184.12643250004979</v>
      </c>
      <c r="CN20">
        <f t="shared" ref="CN20:CN23" si="53" xml:space="preserve"> 193.76*T3^0.3028</f>
        <v>97.577612296617161</v>
      </c>
    </row>
    <row r="21" spans="1:92" x14ac:dyDescent="0.25">
      <c r="A21" s="21" t="s">
        <v>71</v>
      </c>
      <c r="B21" s="21">
        <v>45</v>
      </c>
      <c r="C21" s="39">
        <f>(C4+0.0087)/0.0009</f>
        <v>28.937326206160222</v>
      </c>
      <c r="D21" s="39">
        <f t="shared" si="10"/>
        <v>42.558611168539372</v>
      </c>
      <c r="E21" s="39">
        <f t="shared" si="11"/>
        <v>37.904529640463622</v>
      </c>
      <c r="F21" s="39">
        <f t="shared" si="12"/>
        <v>43.56527987715296</v>
      </c>
      <c r="H21" s="47" t="s">
        <v>71</v>
      </c>
      <c r="I21" s="39">
        <f>(D4/0.0003)^(1/0.9281)</f>
        <v>15.219551761716476</v>
      </c>
      <c r="J21" s="48">
        <f>3353.9*D4+16.246</f>
        <v>28.836950958716034</v>
      </c>
      <c r="K21" s="48">
        <f>1994.7*(D4^0.8093)</f>
        <v>21.723372749373084</v>
      </c>
      <c r="L21" s="48">
        <f>44.935*LN(D4)+263.07</f>
        <v>12.11248485590275</v>
      </c>
      <c r="N21" s="47" t="s">
        <v>71</v>
      </c>
      <c r="O21" s="27">
        <f t="shared" si="13"/>
        <v>158.2516590681046</v>
      </c>
      <c r="P21" s="27">
        <f t="shared" si="14"/>
        <v>106.2530489485371</v>
      </c>
      <c r="Q21" s="51">
        <f t="shared" si="15"/>
        <v>148970033780048.47</v>
      </c>
      <c r="R21" s="27">
        <f t="shared" si="16"/>
        <v>107.46446045383004</v>
      </c>
      <c r="U21" s="47" t="s">
        <v>71</v>
      </c>
      <c r="V21" s="27">
        <f t="shared" ref="V21:V23" si="54">EXP((1000*J4 - 37689)/6959)</f>
        <v>0.31499650175891308</v>
      </c>
      <c r="W21" s="27">
        <f t="shared" si="17"/>
        <v>42.871088475303516</v>
      </c>
      <c r="X21" s="27">
        <f t="shared" si="18"/>
        <v>25.960620247950711</v>
      </c>
      <c r="Y21" s="27">
        <f t="shared" si="19"/>
        <v>33.212523597718601</v>
      </c>
      <c r="AA21" s="40">
        <v>45</v>
      </c>
      <c r="AB21" s="47" t="s">
        <v>71</v>
      </c>
      <c r="AC21" s="27">
        <f t="shared" si="20"/>
        <v>16.430797296776326</v>
      </c>
      <c r="AD21" s="24">
        <f t="shared" si="21"/>
        <v>20.565616418960641</v>
      </c>
      <c r="AE21" s="27">
        <f t="shared" si="22"/>
        <v>15.263430355503798</v>
      </c>
      <c r="AF21" s="24">
        <f>35.468*LN(I4) - 31.802</f>
        <v>-3.6761334165626529</v>
      </c>
      <c r="AH21" s="40">
        <v>45</v>
      </c>
      <c r="AI21" s="47" t="s">
        <v>71</v>
      </c>
      <c r="AJ21" s="27">
        <f t="shared" si="23"/>
        <v>19.787322110256987</v>
      </c>
      <c r="AK21" s="27">
        <f t="shared" si="24"/>
        <v>27.704673245050621</v>
      </c>
      <c r="AL21" s="27">
        <f t="shared" si="25"/>
        <v>16.178763293074105</v>
      </c>
      <c r="AM21" s="27">
        <f>19.943*LN(H4) + 36.214</f>
        <v>0.87586922357535002</v>
      </c>
      <c r="AO21" s="40">
        <v>45</v>
      </c>
      <c r="AP21" s="47" t="s">
        <v>71</v>
      </c>
      <c r="AQ21" s="27">
        <f t="shared" si="26"/>
        <v>21.340315843657365</v>
      </c>
      <c r="AR21" s="27">
        <f t="shared" si="27"/>
        <v>40.165890105190499</v>
      </c>
      <c r="AS21" s="27" t="s">
        <v>122</v>
      </c>
      <c r="AT21" s="27" t="s">
        <v>122</v>
      </c>
      <c r="AW21" s="40">
        <v>45</v>
      </c>
      <c r="AX21" s="47" t="s">
        <v>71</v>
      </c>
      <c r="AY21" s="27">
        <f t="shared" si="28"/>
        <v>27.524661448827725</v>
      </c>
      <c r="AZ21" s="27">
        <f t="shared" si="29"/>
        <v>43.216999999999999</v>
      </c>
      <c r="BA21" s="27" t="s">
        <v>122</v>
      </c>
      <c r="BB21" s="27" t="s">
        <v>122</v>
      </c>
      <c r="BE21" s="40">
        <v>45</v>
      </c>
      <c r="BF21" s="63" t="s">
        <v>71</v>
      </c>
      <c r="BG21" s="27">
        <f t="shared" si="30"/>
        <v>42.55860423110196</v>
      </c>
      <c r="BH21" s="27">
        <f t="shared" si="31"/>
        <v>42.558604231101967</v>
      </c>
      <c r="BI21" s="27">
        <f t="shared" si="32"/>
        <v>42.558604231101945</v>
      </c>
      <c r="BJ21" s="27">
        <f t="shared" si="33"/>
        <v>42.561160235106172</v>
      </c>
      <c r="BK21" s="27">
        <f t="shared" si="34"/>
        <v>44.072453848905766</v>
      </c>
      <c r="BL21">
        <f t="shared" si="35"/>
        <v>59.341999999999999</v>
      </c>
      <c r="BN21" s="40">
        <v>45</v>
      </c>
      <c r="BO21" s="63" t="s">
        <v>71</v>
      </c>
      <c r="BP21" s="27">
        <f t="shared" si="36"/>
        <v>37.892011567978848</v>
      </c>
      <c r="BQ21" s="27">
        <f t="shared" si="37"/>
        <v>37.89365803135999</v>
      </c>
      <c r="BR21" s="27">
        <f t="shared" si="38"/>
        <v>37.897045136401111</v>
      </c>
      <c r="BS21" s="27">
        <f t="shared" si="39"/>
        <v>37.920313348849398</v>
      </c>
      <c r="BT21" s="27">
        <f t="shared" si="40"/>
        <v>37.206163654402346</v>
      </c>
      <c r="BU21" s="27">
        <f>200.69*T4^0.333</f>
        <v>0</v>
      </c>
      <c r="BX21" s="40">
        <v>45</v>
      </c>
      <c r="BY21" s="63" t="s">
        <v>71</v>
      </c>
      <c r="BZ21" s="27">
        <f t="shared" si="42"/>
        <v>74.414803400430642</v>
      </c>
      <c r="CA21" s="27">
        <f t="shared" si="43"/>
        <v>74.413915408439124</v>
      </c>
      <c r="CB21" s="27">
        <f t="shared" si="44"/>
        <v>68.582835131746805</v>
      </c>
      <c r="CC21" s="27">
        <f t="shared" si="45"/>
        <v>55.266300283589857</v>
      </c>
      <c r="CD21" s="27">
        <f t="shared" si="46"/>
        <v>46.430025762627977</v>
      </c>
      <c r="CE21" s="27">
        <f t="shared" si="47"/>
        <v>67.995000000000005</v>
      </c>
      <c r="CG21" s="40">
        <v>45</v>
      </c>
      <c r="CH21" s="63" t="s">
        <v>71</v>
      </c>
      <c r="CI21" s="27">
        <f t="shared" si="48"/>
        <v>74.975956194233888</v>
      </c>
      <c r="CJ21">
        <f t="shared" si="49"/>
        <v>74.973539024854261</v>
      </c>
      <c r="CK21">
        <f t="shared" si="50"/>
        <v>69.413766763516179</v>
      </c>
      <c r="CL21">
        <f t="shared" si="51"/>
        <v>53.94458799502717</v>
      </c>
      <c r="CM21">
        <f t="shared" si="52"/>
        <v>42.749500333993886</v>
      </c>
      <c r="CN21">
        <f t="shared" si="53"/>
        <v>0</v>
      </c>
    </row>
    <row r="22" spans="1:92" x14ac:dyDescent="0.25">
      <c r="A22" s="21" t="s">
        <v>72</v>
      </c>
      <c r="B22" s="21">
        <v>64</v>
      </c>
      <c r="C22" s="39">
        <f>(C5+0.0087)/0.0009</f>
        <v>18.125609180160435</v>
      </c>
      <c r="D22" s="39">
        <f t="shared" si="10"/>
        <v>36.351982834008801</v>
      </c>
      <c r="E22" s="39">
        <f t="shared" si="11"/>
        <v>24.285515845279502</v>
      </c>
      <c r="F22" s="39">
        <f t="shared" si="12"/>
        <v>19.607987322204224</v>
      </c>
      <c r="H22" s="47" t="s">
        <v>72</v>
      </c>
      <c r="I22" s="39">
        <f>(D5/0.0003)^(1/0.9281)</f>
        <v>19.030965504442523</v>
      </c>
      <c r="J22" s="48">
        <f>3353.9*D5+16.246</f>
        <v>31.739122444755466</v>
      </c>
      <c r="K22" s="48">
        <f>1994.7*(D5^0.8093)</f>
        <v>25.693859138130588</v>
      </c>
      <c r="L22" s="48">
        <f>44.935*LN(D5)+263.07</f>
        <v>21.432805233401098</v>
      </c>
      <c r="N22" s="47" t="s">
        <v>72</v>
      </c>
      <c r="O22" s="27">
        <f t="shared" si="13"/>
        <v>159.9955674195038</v>
      </c>
      <c r="P22" s="27">
        <f t="shared" si="14"/>
        <v>106.70110402506842</v>
      </c>
      <c r="Q22" s="51">
        <f t="shared" si="15"/>
        <v>148690016858274</v>
      </c>
      <c r="R22" s="27">
        <f t="shared" si="16"/>
        <v>107.98468277821667</v>
      </c>
      <c r="U22" s="47" t="s">
        <v>72</v>
      </c>
      <c r="V22" s="27">
        <f t="shared" si="54"/>
        <v>6.8452368952399834</v>
      </c>
      <c r="W22" s="27">
        <f t="shared" si="17"/>
        <v>53.945670493273312</v>
      </c>
      <c r="X22" s="27">
        <f t="shared" si="18"/>
        <v>42.794842976188278</v>
      </c>
      <c r="Y22" s="27">
        <f t="shared" si="19"/>
        <v>53.044478030622045</v>
      </c>
      <c r="AA22" s="40">
        <v>64</v>
      </c>
      <c r="AB22" s="47" t="s">
        <v>72</v>
      </c>
      <c r="AC22" s="27">
        <f t="shared" si="20"/>
        <v>17.630718337536553</v>
      </c>
      <c r="AD22" s="24">
        <f t="shared" si="21"/>
        <v>23.029020988777891</v>
      </c>
      <c r="AE22" s="27">
        <f t="shared" si="22"/>
        <v>19.104974879697991</v>
      </c>
      <c r="AF22" s="24">
        <f>35.468*LN(I5) - 31.802</f>
        <v>8.0970069671965419</v>
      </c>
      <c r="AH22" s="40">
        <v>64</v>
      </c>
      <c r="AI22" s="47" t="s">
        <v>72</v>
      </c>
      <c r="AJ22" s="27">
        <f t="shared" si="23"/>
        <v>19.316209167361411</v>
      </c>
      <c r="AK22" s="27">
        <f t="shared" si="24"/>
        <v>26.878276028829479</v>
      </c>
      <c r="AL22" s="27">
        <f t="shared" si="25"/>
        <v>9.2058127259320273</v>
      </c>
      <c r="AM22" s="27">
        <f>19.943*LN(H5) + 36.214</f>
        <v>-27.980038314235287</v>
      </c>
      <c r="AO22" s="40">
        <v>64</v>
      </c>
      <c r="AP22" s="47" t="s">
        <v>72</v>
      </c>
      <c r="AQ22" s="27">
        <f t="shared" si="26"/>
        <v>20.920959881197483</v>
      </c>
      <c r="AR22" s="27">
        <f t="shared" si="27"/>
        <v>39.701999999999998</v>
      </c>
      <c r="AS22" s="27" t="s">
        <v>122</v>
      </c>
      <c r="AT22" s="27" t="s">
        <v>122</v>
      </c>
      <c r="AW22" s="40">
        <v>64</v>
      </c>
      <c r="AX22" s="47" t="s">
        <v>72</v>
      </c>
      <c r="AY22" s="27">
        <f t="shared" si="28"/>
        <v>27.524661448827725</v>
      </c>
      <c r="AZ22" s="27">
        <f t="shared" si="29"/>
        <v>43.216999999999999</v>
      </c>
      <c r="BA22" s="27" t="s">
        <v>122</v>
      </c>
      <c r="BB22" s="27" t="s">
        <v>122</v>
      </c>
      <c r="BE22" s="40">
        <v>64</v>
      </c>
      <c r="BF22" s="63" t="s">
        <v>72</v>
      </c>
      <c r="BG22" s="27">
        <f t="shared" si="30"/>
        <v>36.351979788789492</v>
      </c>
      <c r="BH22" s="27">
        <f t="shared" si="31"/>
        <v>36.351979788789485</v>
      </c>
      <c r="BI22" s="27">
        <f t="shared" si="32"/>
        <v>36.351979788789492</v>
      </c>
      <c r="BJ22" s="27">
        <f t="shared" si="33"/>
        <v>35.798757291920879</v>
      </c>
      <c r="BK22" s="27">
        <f t="shared" si="34"/>
        <v>33.411000000000001</v>
      </c>
      <c r="BL22">
        <f t="shared" si="35"/>
        <v>59.341999999999999</v>
      </c>
      <c r="BN22" s="40">
        <v>64</v>
      </c>
      <c r="BO22" s="63" t="s">
        <v>72</v>
      </c>
      <c r="BP22" s="27">
        <f t="shared" si="36"/>
        <v>24.277495488594788</v>
      </c>
      <c r="BQ22" s="27">
        <f t="shared" si="37"/>
        <v>24.278550381318947</v>
      </c>
      <c r="BR22" s="27">
        <f t="shared" si="38"/>
        <v>24.280720506998595</v>
      </c>
      <c r="BS22" s="27">
        <f t="shared" si="39"/>
        <v>22.760195936132316</v>
      </c>
      <c r="BT22" s="27">
        <f t="shared" si="40"/>
        <v>0</v>
      </c>
      <c r="BU22" s="27">
        <f t="shared" si="41"/>
        <v>0</v>
      </c>
      <c r="BX22" s="40">
        <v>64</v>
      </c>
      <c r="BY22" s="63" t="s">
        <v>72</v>
      </c>
      <c r="BZ22" s="27">
        <f t="shared" si="42"/>
        <v>41.779457380353541</v>
      </c>
      <c r="CA22" s="27">
        <f t="shared" si="43"/>
        <v>41.779067592282487</v>
      </c>
      <c r="CB22" s="27">
        <f t="shared" si="44"/>
        <v>40.285475198949058</v>
      </c>
      <c r="CC22" s="27">
        <f t="shared" si="45"/>
        <v>33.255920445181978</v>
      </c>
      <c r="CD22" s="27">
        <f t="shared" si="46"/>
        <v>18.100999999999999</v>
      </c>
      <c r="CE22" s="27">
        <f t="shared" si="47"/>
        <v>67.995000000000005</v>
      </c>
      <c r="CG22" s="40">
        <v>64</v>
      </c>
      <c r="CH22" s="63" t="s">
        <v>72</v>
      </c>
      <c r="CI22" s="27">
        <f t="shared" si="48"/>
        <v>38.506328399357002</v>
      </c>
      <c r="CJ22">
        <f t="shared" si="49"/>
        <v>38.5050869838065</v>
      </c>
      <c r="CK22">
        <f t="shared" si="50"/>
        <v>36.229662410963577</v>
      </c>
      <c r="CL22">
        <f t="shared" si="51"/>
        <v>26.097541183844328</v>
      </c>
      <c r="CM22">
        <f t="shared" si="52"/>
        <v>0</v>
      </c>
      <c r="CN22">
        <f t="shared" si="53"/>
        <v>0</v>
      </c>
    </row>
    <row r="23" spans="1:92" x14ac:dyDescent="0.25">
      <c r="A23" s="21" t="s">
        <v>73</v>
      </c>
      <c r="B23" s="21">
        <v>90</v>
      </c>
      <c r="C23" s="39">
        <f>(C6+0.0087)/0.0009</f>
        <v>115.87861276600501</v>
      </c>
      <c r="D23" s="39">
        <f t="shared" si="10"/>
        <v>92.468560837516662</v>
      </c>
      <c r="E23" s="39">
        <f t="shared" si="11"/>
        <v>95.389258082839561</v>
      </c>
      <c r="F23" s="39">
        <f t="shared" si="12"/>
        <v>93.229578162012615</v>
      </c>
      <c r="H23" s="47" t="s">
        <v>73</v>
      </c>
      <c r="I23" s="39">
        <f>(D6/0.0003)^(1/0.9281)</f>
        <v>17.065811702828679</v>
      </c>
      <c r="J23" s="48">
        <f>3353.9*D6+16.246</f>
        <v>30.248590430233961</v>
      </c>
      <c r="K23" s="48">
        <f>1994.7*(D6^0.8093)</f>
        <v>23.674255529249351</v>
      </c>
      <c r="L23" s="48">
        <f>44.935*LN(D6)+263.07</f>
        <v>16.887456130623633</v>
      </c>
      <c r="N23" s="47" t="s">
        <v>73</v>
      </c>
      <c r="O23" s="27">
        <f t="shared" si="13"/>
        <v>216.74762833039611</v>
      </c>
      <c r="P23" s="27">
        <f t="shared" si="14"/>
        <v>119.1125392430142</v>
      </c>
      <c r="Q23" s="51">
        <f t="shared" si="15"/>
        <v>140933354638446.63</v>
      </c>
      <c r="R23" s="27">
        <f>-276.5*LN(K6) + 1491</f>
        <v>122.79861228787036</v>
      </c>
      <c r="U23" s="47" t="s">
        <v>73</v>
      </c>
      <c r="V23" s="27">
        <f t="shared" si="54"/>
        <v>0.41567343967478648</v>
      </c>
      <c r="W23" s="27">
        <f t="shared" si="17"/>
        <v>43.868704467680203</v>
      </c>
      <c r="X23" s="27">
        <f t="shared" si="18"/>
        <v>27.509761120953833</v>
      </c>
      <c r="Y23" s="27">
        <f t="shared" si="19"/>
        <v>35.512198542686704</v>
      </c>
      <c r="AA23" s="40">
        <v>90</v>
      </c>
      <c r="AB23" s="47" t="s">
        <v>73</v>
      </c>
      <c r="AC23" s="27">
        <f t="shared" si="20"/>
        <v>16.373213590505561</v>
      </c>
      <c r="AD23" s="24">
        <f t="shared" si="21"/>
        <v>20.442917594091853</v>
      </c>
      <c r="AE23" s="27">
        <f t="shared" si="22"/>
        <v>15.060376567986314</v>
      </c>
      <c r="AF23" s="24">
        <f>35.468*LN(I6) - 31.802</f>
        <v>-4.3784956823808656</v>
      </c>
      <c r="AH23" s="40">
        <v>90</v>
      </c>
      <c r="AI23" s="47" t="s">
        <v>73</v>
      </c>
      <c r="AJ23" s="27">
        <f t="shared" si="23"/>
        <v>20.219890502537915</v>
      </c>
      <c r="AK23" s="27">
        <f t="shared" si="24"/>
        <v>28.446311608815058</v>
      </c>
      <c r="AL23" s="27">
        <f t="shared" si="25"/>
        <v>19.832581929011742</v>
      </c>
      <c r="AM23" s="27">
        <f>19.943*LN(H6) + 36.214</f>
        <v>11.296517251930133</v>
      </c>
      <c r="AO23" s="40">
        <v>90</v>
      </c>
      <c r="AP23" s="47" t="s">
        <v>73</v>
      </c>
      <c r="AQ23" s="27">
        <f t="shared" si="26"/>
        <v>21.576912796719373</v>
      </c>
      <c r="AR23" s="27">
        <f t="shared" si="27"/>
        <v>40.4236067757531</v>
      </c>
      <c r="AS23" s="27" t="s">
        <v>122</v>
      </c>
      <c r="AT23" s="27" t="s">
        <v>122</v>
      </c>
      <c r="AW23" s="40">
        <v>90</v>
      </c>
      <c r="AX23" s="47" t="s">
        <v>73</v>
      </c>
      <c r="AY23" s="27">
        <f t="shared" si="28"/>
        <v>29.449546358859745</v>
      </c>
      <c r="AZ23" s="27">
        <f t="shared" si="29"/>
        <v>45.099026951175652</v>
      </c>
      <c r="BA23" s="27" t="s">
        <v>122</v>
      </c>
      <c r="BB23" s="27" t="s">
        <v>122</v>
      </c>
      <c r="BE23" s="40">
        <v>90</v>
      </c>
      <c r="BF23" s="63" t="s">
        <v>73</v>
      </c>
      <c r="BG23" s="27">
        <f t="shared" si="30"/>
        <v>92.468522601216051</v>
      </c>
      <c r="BH23" s="27">
        <f t="shared" si="31"/>
        <v>92.468522601215938</v>
      </c>
      <c r="BI23" s="27">
        <f t="shared" si="32"/>
        <v>92.468522601215994</v>
      </c>
      <c r="BJ23" s="27">
        <f t="shared" si="33"/>
        <v>92.469075477977853</v>
      </c>
      <c r="BK23" s="27">
        <f t="shared" si="34"/>
        <v>92.172546755566742</v>
      </c>
      <c r="BL23">
        <f t="shared" si="35"/>
        <v>91.955652593155037</v>
      </c>
      <c r="BN23" s="40">
        <v>90</v>
      </c>
      <c r="BO23" s="63" t="s">
        <v>73</v>
      </c>
      <c r="BP23" s="27">
        <f t="shared" si="36"/>
        <v>95.357755524747361</v>
      </c>
      <c r="BQ23" s="27">
        <f t="shared" si="37"/>
        <v>95.361898958840129</v>
      </c>
      <c r="BR23" s="27">
        <f t="shared" si="38"/>
        <v>95.37042283289928</v>
      </c>
      <c r="BS23" s="27">
        <f t="shared" si="39"/>
        <v>95.347571958453543</v>
      </c>
      <c r="BT23" s="27">
        <f t="shared" si="40"/>
        <v>95.634608274952342</v>
      </c>
      <c r="BU23" s="27">
        <f t="shared" si="41"/>
        <v>91.834151906724713</v>
      </c>
      <c r="BX23" s="40">
        <v>90</v>
      </c>
      <c r="BY23" s="63" t="s">
        <v>73</v>
      </c>
      <c r="BZ23" s="27">
        <f t="shared" si="42"/>
        <v>336.84850967372444</v>
      </c>
      <c r="CA23" s="27">
        <f t="shared" si="43"/>
        <v>336.84361542724753</v>
      </c>
      <c r="CB23" s="27">
        <f xml:space="preserve"> 45.439*W6 + 18.146</f>
        <v>296.13308204333094</v>
      </c>
      <c r="CC23" s="27">
        <f t="shared" si="45"/>
        <v>217.7074000920035</v>
      </c>
      <c r="CD23" s="27">
        <f t="shared" si="46"/>
        <v>174.23893348279333</v>
      </c>
      <c r="CE23" s="27">
        <f t="shared" si="47"/>
        <v>93.62479228933914</v>
      </c>
      <c r="CG23" s="40">
        <v>90</v>
      </c>
      <c r="CH23" s="63" t="s">
        <v>73</v>
      </c>
      <c r="CI23" s="27">
        <f t="shared" si="48"/>
        <v>298.42645328901642</v>
      </c>
      <c r="CJ23">
        <f t="shared" si="49"/>
        <v>298.41683224086142</v>
      </c>
      <c r="CK23">
        <f t="shared" si="50"/>
        <v>267.19719303270881</v>
      </c>
      <c r="CL23">
        <f t="shared" si="51"/>
        <v>200.23729242898125</v>
      </c>
      <c r="CM23">
        <f t="shared" si="52"/>
        <v>172.17145795622451</v>
      </c>
      <c r="CN23">
        <f t="shared" si="53"/>
        <v>95.177447376366999</v>
      </c>
    </row>
    <row r="24" spans="1:92" x14ac:dyDescent="0.25">
      <c r="Q24" s="50"/>
    </row>
    <row r="35" spans="2:88" x14ac:dyDescent="0.25">
      <c r="B35">
        <v>0</v>
      </c>
      <c r="C35">
        <v>0</v>
      </c>
    </row>
    <row r="36" spans="2:88" x14ac:dyDescent="0.25">
      <c r="B36">
        <v>100</v>
      </c>
      <c r="C36">
        <v>100</v>
      </c>
    </row>
    <row r="41" spans="2:88" x14ac:dyDescent="0.25">
      <c r="D41" s="22" t="s">
        <v>85</v>
      </c>
      <c r="E41" s="22" t="s">
        <v>86</v>
      </c>
      <c r="J41" s="41" t="s">
        <v>85</v>
      </c>
      <c r="K41" s="29" t="s">
        <v>100</v>
      </c>
      <c r="Q41" s="41" t="s">
        <v>85</v>
      </c>
      <c r="R41" s="29" t="s">
        <v>125</v>
      </c>
      <c r="X41" s="41" t="s">
        <v>85</v>
      </c>
      <c r="Y41" s="40" t="s">
        <v>126</v>
      </c>
      <c r="AD41" s="41" t="s">
        <v>85</v>
      </c>
      <c r="AE41" s="40" t="s">
        <v>127</v>
      </c>
      <c r="AK41" s="41" t="s">
        <v>85</v>
      </c>
      <c r="AL41" s="40" t="s">
        <v>128</v>
      </c>
      <c r="AT41" s="41" t="s">
        <v>85</v>
      </c>
      <c r="AU41" s="40" t="s">
        <v>129</v>
      </c>
      <c r="BB41" s="41" t="s">
        <v>85</v>
      </c>
      <c r="BC41" s="40" t="s">
        <v>130</v>
      </c>
      <c r="BG41" s="64" t="s">
        <v>136</v>
      </c>
      <c r="BH41" s="64"/>
      <c r="BI41" s="64"/>
      <c r="BJ41" s="64"/>
      <c r="BK41" s="64"/>
      <c r="BL41" s="64"/>
      <c r="BN41" t="s">
        <v>144</v>
      </c>
      <c r="BY41" s="64" t="s">
        <v>136</v>
      </c>
      <c r="BZ41" s="64"/>
      <c r="CA41" s="64"/>
      <c r="CB41" s="64"/>
      <c r="CC41" s="64"/>
      <c r="CD41" s="64"/>
    </row>
    <row r="42" spans="2:88" x14ac:dyDescent="0.25">
      <c r="D42" s="31">
        <v>1</v>
      </c>
      <c r="E42" s="32" cm="1">
        <f t="array" ref="E42">SQRT(SUMSQ(B19:B23-C19:C23)/COUNTA(B19:B23-C19:C23))</f>
        <v>29.175457341110487</v>
      </c>
      <c r="J42" s="42">
        <v>1</v>
      </c>
      <c r="K42" s="32" cm="1">
        <f t="array" ref="K42">SQRT(SUMSQ($B19:$B23-I19:I23)/COUNTA($B19:$B23-I19:I23))</f>
        <v>46.215463915678441</v>
      </c>
      <c r="Q42" s="42">
        <v>1</v>
      </c>
      <c r="R42" s="32" cm="1">
        <f t="array" ref="R42">SQRT(SUMSQ($B19:$B23-O19:O23)/COUNTA($B19:$B23-O19:O23))</f>
        <v>221.90026591919485</v>
      </c>
      <c r="X42" s="42">
        <v>1</v>
      </c>
      <c r="Y42" s="32" cm="1">
        <f t="array" ref="Y42">SQRT(SUMSQ($B19:$B23-V19:V23)/COUNTA($B19:$B23-V19:V23))</f>
        <v>65.131417703744205</v>
      </c>
      <c r="AD42" s="42">
        <v>1</v>
      </c>
      <c r="AE42" s="32" cm="1">
        <f t="array" ref="AE42">SQRT(SUMSQ($B19:$B23-AC19:AC23)/COUNTA($B19:$B23-AC19:AC23))</f>
        <v>49.047349941565059</v>
      </c>
      <c r="AK42" s="42">
        <v>1</v>
      </c>
      <c r="AL42" s="32" cm="1">
        <f t="array" ref="AL42">SQRT(SUMSQ($B19:$B23-AJ19:AJ23)/COUNTA($B19:$B23-AJ19:AJ23))</f>
        <v>46.323116535475371</v>
      </c>
      <c r="AT42" s="42">
        <v>1</v>
      </c>
      <c r="AU42" s="32" cm="1">
        <f t="array" ref="AU42">SQRT(SUMSQ($B19:$B23-AQ19:AQ23)/COUNTA($B19:$B23-AQ19:AQ23))</f>
        <v>45.754146714834711</v>
      </c>
      <c r="BB42" s="42">
        <v>1</v>
      </c>
      <c r="BC42" s="32" cm="1">
        <f t="array" ref="BC42">SQRT(SUMSQ($B19:$B23-AY19:AY23)/COUNTA($B19:$B23-AY19:AY23))</f>
        <v>39.693110517649679</v>
      </c>
      <c r="BF42" s="63" t="s">
        <v>86</v>
      </c>
      <c r="BG42" s="63" t="s">
        <v>125</v>
      </c>
      <c r="BH42" s="63" t="s">
        <v>126</v>
      </c>
      <c r="BI42" s="63" t="s">
        <v>127</v>
      </c>
      <c r="BJ42" s="63" t="s">
        <v>128</v>
      </c>
      <c r="BK42" s="63" t="s">
        <v>129</v>
      </c>
      <c r="BL42" s="63" t="s">
        <v>130</v>
      </c>
      <c r="BN42" s="41" t="s">
        <v>85</v>
      </c>
      <c r="BO42" s="40" t="s">
        <v>44</v>
      </c>
      <c r="BP42" s="40" t="s">
        <v>45</v>
      </c>
      <c r="BQ42" s="40" t="s">
        <v>136</v>
      </c>
      <c r="BX42" s="63" t="s">
        <v>86</v>
      </c>
      <c r="BY42" s="63" t="s">
        <v>125</v>
      </c>
      <c r="BZ42" s="63" t="s">
        <v>126</v>
      </c>
      <c r="CA42" s="63" t="s">
        <v>127</v>
      </c>
      <c r="CB42" s="63" t="s">
        <v>128</v>
      </c>
      <c r="CC42" s="63" t="s">
        <v>129</v>
      </c>
      <c r="CD42" s="63" t="s">
        <v>130</v>
      </c>
      <c r="CG42" s="41" t="s">
        <v>85</v>
      </c>
      <c r="CH42" s="40" t="s">
        <v>44</v>
      </c>
      <c r="CI42" s="40" t="s">
        <v>45</v>
      </c>
      <c r="CJ42" s="40" t="s">
        <v>136</v>
      </c>
    </row>
    <row r="43" spans="2:88" x14ac:dyDescent="0.25">
      <c r="D43" s="33">
        <v>2</v>
      </c>
      <c r="E43" s="34" cm="1">
        <f t="array" ref="E43">SQRT(SUMSQ(B19:B23-D19:D23)/COUNTA(B19:B23-D19:D23))</f>
        <v>12.928170918535644</v>
      </c>
      <c r="F43" t="s">
        <v>87</v>
      </c>
      <c r="J43" s="43">
        <v>2</v>
      </c>
      <c r="K43" s="34" cm="1">
        <f t="array" ref="K43">SQRT(SUMSQ($B19:$B23-J19:J23)/COUNTA($B19:$B23-J19:J23))</f>
        <v>36.55417195211966</v>
      </c>
      <c r="L43" t="s">
        <v>87</v>
      </c>
      <c r="Q43" s="43">
        <v>2</v>
      </c>
      <c r="R43" s="34" cm="1">
        <f t="array" ref="R43">SQRT(SUMSQ($B19:$B23-P19:P23)/COUNTA($B19:$B23-P19:P23))</f>
        <v>46.686099673170034</v>
      </c>
      <c r="S43" t="s">
        <v>87</v>
      </c>
      <c r="X43" s="43">
        <v>2</v>
      </c>
      <c r="Y43" s="34" cm="1">
        <f t="array" ref="Y43">SQRT(SUMSQ($B19:$B23-W19:W23)/COUNTA($B19:$B23-W19:W23))</f>
        <v>28.571778249735484</v>
      </c>
      <c r="Z43" t="s">
        <v>87</v>
      </c>
      <c r="AD43" s="43">
        <v>2</v>
      </c>
      <c r="AE43" s="34" cm="1">
        <f t="array" ref="AE43">SQRT(SUMSQ($B19:$B23-AD19:AD23)/COUNTA($B19:$B23-AD19:AD23))</f>
        <v>43.576551485958873</v>
      </c>
      <c r="AF43" t="s">
        <v>87</v>
      </c>
      <c r="AK43" s="43">
        <v>2</v>
      </c>
      <c r="AL43" s="34" cm="1">
        <f t="array" ref="AL43">SQRT(SUMSQ($B19:$B23-AK19:AK23)/COUNTA($B19:$B23-AK19:AK23))</f>
        <v>38.604565340151872</v>
      </c>
      <c r="AM43" t="s">
        <v>87</v>
      </c>
      <c r="AT43" s="43">
        <v>2</v>
      </c>
      <c r="AU43" s="34" cm="1">
        <f t="array" ref="AU43">SQRT(SUMSQ($B19:$B23-AR19:AR23)/COUNTA($B19:$B23-AR19:AR23))</f>
        <v>30.672057550046308</v>
      </c>
      <c r="AV43" t="s">
        <v>87</v>
      </c>
      <c r="BB43" s="43">
        <v>2</v>
      </c>
      <c r="BC43" s="34" cm="1">
        <f t="array" ref="BC43">SQRT(SUMSQ($B19:$B23-AZ19:AZ23)/COUNTA($B19:$B23-AZ19:AZ23))</f>
        <v>27.615189304368705</v>
      </c>
      <c r="BD43" t="s">
        <v>87</v>
      </c>
      <c r="BF43" s="63" t="s">
        <v>68</v>
      </c>
      <c r="BG43" s="60">
        <f xml:space="preserve"> 29.097*LN(Y2) - 40.141</f>
        <v>117.08639773129187</v>
      </c>
      <c r="BH43" s="60">
        <f xml:space="preserve"> 29.097*LN(X2) + 0.1962</f>
        <v>117.08659070578639</v>
      </c>
      <c r="BI43" s="60">
        <f xml:space="preserve"> 29.097*LN(W2) + 40.533</f>
        <v>117.08638368028078</v>
      </c>
      <c r="BJ43" s="60">
        <f>29.057*LN(V2) + 80.859</f>
        <v>117.02558956104791</v>
      </c>
      <c r="BK43" s="60">
        <f xml:space="preserve"> 31.515*LN(U2) + 124.82</f>
        <v>120.35693967991352</v>
      </c>
      <c r="BL43" s="60">
        <f xml:space="preserve"> 26.264*LN(T2) + 156.74</f>
        <v>116.61093554061492</v>
      </c>
      <c r="BN43" s="42" t="s">
        <v>125</v>
      </c>
      <c r="BO43" s="32" cm="1">
        <f t="array" ref="BO43">SQRT(SUMSQ($BE19:$BE23-BG19:BG23)/COUNTA($BE19:$BE23-BG19:BG23))</f>
        <v>38.000029880484881</v>
      </c>
      <c r="BP43" s="32" cm="1">
        <f t="array" ref="BP43">SQRT(SUMSQ($BN19:$BN23-BP19:BP23)/COUNTA($BN19:$BN23-BP19:BP23))</f>
        <v>32.182402841688187</v>
      </c>
      <c r="BQ43" s="32" cm="1">
        <f t="array" ref="BQ43">SQRT(SUMSQ($BN19:$BN23-BG43:BG47)/COUNTA($BN19:$BN23-BG43:BG47))</f>
        <v>23.444102468904656</v>
      </c>
      <c r="BX43" s="63" t="s">
        <v>68</v>
      </c>
      <c r="BY43" s="60">
        <f xml:space="preserve"> 44.935*LN(Y2) - 48.391</f>
        <v>194.41798776697252</v>
      </c>
      <c r="BZ43" s="60">
        <f xml:space="preserve"> 44.935*LN(X2) +13.901</f>
        <v>194.41685065005024</v>
      </c>
      <c r="CA43" s="60">
        <f xml:space="preserve"> 43.781*LN(W2) + 72.016</f>
        <v>187.20257218635504</v>
      </c>
      <c r="CB43" s="60">
        <f xml:space="preserve"> 40.557*LN(V2) + 114.54</f>
        <v>165.02037900772345</v>
      </c>
      <c r="CC43" s="60">
        <f>46.898*LN(U2) + 173.64</f>
        <v>166.99844509308534</v>
      </c>
      <c r="CD43" s="60">
        <f xml:space="preserve"> 22.582*LN(T2) + 150.14</f>
        <v>115.63670523827923</v>
      </c>
      <c r="CG43" s="42" t="s">
        <v>125</v>
      </c>
      <c r="CH43" s="32" cm="1">
        <f t="array" ref="CH43">SQRT(SUMSQ($BX19:$BX23-BZ19:BZ23)/COUNTA($BX19:$BX23-BZ19:BZ23))</f>
        <v>336.23623655167194</v>
      </c>
      <c r="CI43" s="32" cm="1">
        <f t="array" ref="CI43">SQRT(SUMSQ($CG19:$CG23-CI19:CI23)/COUNTA($CG19:$CG23-CI19:CI23))</f>
        <v>259.58062256799406</v>
      </c>
      <c r="CJ43" s="32" cm="1">
        <f t="array" ref="CJ43">SQRT(SUMSQ($BN19:$BN23-BY43:BY47)/COUNTA($BN19:$BN23-BY43:BY47))</f>
        <v>66.698020624917973</v>
      </c>
    </row>
    <row r="44" spans="2:88" x14ac:dyDescent="0.25">
      <c r="D44" s="35">
        <v>3</v>
      </c>
      <c r="E44" s="30" cm="1">
        <f t="array" ref="E44">SQRT(SUMSQ(B19:B23-E19:E23)/COUNTA(B19:B23-E19:E23))</f>
        <v>18.714955766413365</v>
      </c>
      <c r="F44" t="s">
        <v>88</v>
      </c>
      <c r="J44" s="44">
        <v>3</v>
      </c>
      <c r="K44" s="30" cm="1">
        <f t="array" ref="K44">SQRT(SUMSQ($B19:$B23-K19:K23)/COUNTA($B19:$B23-K19:K23))</f>
        <v>41.002360985769059</v>
      </c>
      <c r="L44" t="s">
        <v>88</v>
      </c>
      <c r="Q44" s="44">
        <v>3</v>
      </c>
      <c r="R44" s="52" cm="1">
        <f t="array" ref="R44">SQRT(SUMSQ($B19:$B23-Q19:Q23)/COUNTA($B19:$B23-Q19:Q23))</f>
        <v>124841497437074.22</v>
      </c>
      <c r="S44" t="s">
        <v>88</v>
      </c>
      <c r="X44" s="44">
        <v>3</v>
      </c>
      <c r="Y44" s="30" cm="1">
        <f t="array" ref="Y44">SQRT(SUMSQ($B19:$B23-X19:X23)/COUNTA($B19:$B23-X19:X23))</f>
        <v>40.103901497053201</v>
      </c>
      <c r="Z44" t="s">
        <v>88</v>
      </c>
      <c r="AD44" s="44">
        <v>3</v>
      </c>
      <c r="AE44" s="30" cm="1">
        <f t="array" ref="AE44">SQRT(SUMSQ($B19:$B23-AE19:AE23)/COUNTA($B19:$B23-AE19:AE23))</f>
        <v>46.742408326217351</v>
      </c>
      <c r="AF44" t="s">
        <v>88</v>
      </c>
      <c r="AK44" s="44">
        <v>3</v>
      </c>
      <c r="AL44" s="30" cm="1">
        <f t="array" ref="AL44">SQRT(SUMSQ($B19:$B23-AL19:AL23)/COUNTA($B19:$B23-AL19:AL23))</f>
        <v>45.642551491060068</v>
      </c>
      <c r="AM44" t="s">
        <v>88</v>
      </c>
      <c r="AT44" s="44">
        <v>3</v>
      </c>
      <c r="AU44" s="30" t="e" cm="1">
        <f t="array" ref="AU44">SQRT(SUMSQ($B19:$B23-AS19:AS23)/COUNTA($B19:$B23-AS19:AS23))</f>
        <v>#VALUE!</v>
      </c>
      <c r="AV44" t="s">
        <v>88</v>
      </c>
      <c r="BB44" s="44">
        <v>3</v>
      </c>
      <c r="BC44" s="30" t="e" cm="1">
        <f t="array" ref="BC44">SQRT(SUMSQ($B19:$B23-BA19:BA23)/COUNTA($B19:$B23-BA19:BA23))</f>
        <v>#VALUE!</v>
      </c>
      <c r="BD44" t="s">
        <v>88</v>
      </c>
      <c r="BF44" s="63" t="s">
        <v>70</v>
      </c>
      <c r="BG44" s="60">
        <f t="shared" ref="BG44:BG47" si="55" xml:space="preserve"> 29.097*LN(Y3) - 40.141</f>
        <v>95.626819291528193</v>
      </c>
      <c r="BH44" s="60">
        <f t="shared" ref="BH44:BH47" si="56" xml:space="preserve"> 29.097*LN(X3) + 0.1962</f>
        <v>95.627012266022788</v>
      </c>
      <c r="BI44" s="60">
        <f t="shared" ref="BI44:BI47" si="57" xml:space="preserve"> 29.097*LN(W3) + 40.533</f>
        <v>95.626805240517314</v>
      </c>
      <c r="BJ44" s="60">
        <f t="shared" ref="BJ44:BJ47" si="58">29.057*LN(V3) + 80.859</f>
        <v>95.595511864920638</v>
      </c>
      <c r="BK44" s="60">
        <f t="shared" ref="BK44:BK47" si="59" xml:space="preserve"> 31.515*LN(U3) + 124.82</f>
        <v>97.114041287324923</v>
      </c>
      <c r="BL44" s="60">
        <f t="shared" ref="BL44:BL47" si="60" xml:space="preserve"> 26.264*LN(T3) + 156.74</f>
        <v>97.240747268904585</v>
      </c>
      <c r="BN44" s="43" t="s">
        <v>126</v>
      </c>
      <c r="BO44" s="32" cm="1">
        <f t="array" ref="BO44">SQRT(SUMSQ($BE19:$BE23-BH19:BH23)/COUNTA($BE19:$BE23-BH19:BH23))</f>
        <v>38.000029880484888</v>
      </c>
      <c r="BP44" s="32" cm="1">
        <f t="array" ref="BP44">SQRT(SUMSQ($BN19:$BN23-BQ19:BQ23)/COUNTA($BN19:$BN23-BQ19:BQ23))</f>
        <v>32.18481712478205</v>
      </c>
      <c r="BQ44" s="32" cm="1">
        <f t="array" ref="BQ44">SQRT(SUMSQ($BN19:$BN23-BH43:BH47)/COUNTA($BN19:$BN23-BH43:BH47))</f>
        <v>23.444086218170391</v>
      </c>
      <c r="BX44" s="63" t="s">
        <v>70</v>
      </c>
      <c r="BY44" s="60">
        <f t="shared" ref="BY44:BY46" si="61" xml:space="preserve"> 44.935*LN(Y3) - 48.391</f>
        <v>161.27758988434613</v>
      </c>
      <c r="BZ44" s="60">
        <f t="shared" ref="BZ44:BZ47" si="62" xml:space="preserve"> 44.935*LN(X3) +13.901</f>
        <v>161.27645276742393</v>
      </c>
      <c r="CA44" s="60">
        <f t="shared" ref="CA44:CA47" si="63" xml:space="preserve"> 43.781*LN(W3) + 72.016</f>
        <v>154.9132707576413</v>
      </c>
      <c r="CB44" s="60">
        <f t="shared" ref="CB44:CB47" si="64" xml:space="preserve"> 40.557*LN(V3) + 114.54</f>
        <v>135.10883751610925</v>
      </c>
      <c r="CC44" s="60">
        <f t="shared" ref="CC44:CC47" si="65">46.898*LN(U3) + 173.64</f>
        <v>132.41029821649894</v>
      </c>
      <c r="CD44" s="60">
        <f t="shared" ref="CD44" si="66" xml:space="preserve"> 22.582*LN(T3) + 150.14</f>
        <v>98.982060418306531</v>
      </c>
      <c r="CG44" s="43" t="s">
        <v>126</v>
      </c>
      <c r="CH44" s="32" cm="1">
        <f t="array" ref="CH44">SQRT(SUMSQ($BX19:$BX23-CA19:CA23)/COUNTA($BX19:$BX23-CA19:CA23))</f>
        <v>336.23031856023118</v>
      </c>
      <c r="CI44" s="32" cm="1">
        <f t="array" ref="CI44">SQRT(SUMSQ($BN19:$BN23-CJ19:CJ23)/COUNTA($BN19:$BN23-CJ19:CJ23))</f>
        <v>259.57018904936632</v>
      </c>
      <c r="CJ44" s="32" cm="1">
        <f t="array" ref="CJ44">SQRT(SUMSQ($BN19:$BN23-BZ43:BZ47)/COUNTA($BN19:$BN23-BZ43:BZ47))</f>
        <v>66.697137339872597</v>
      </c>
    </row>
    <row r="45" spans="2:88" x14ac:dyDescent="0.25">
      <c r="D45" s="36">
        <v>4</v>
      </c>
      <c r="E45" s="37" cm="1">
        <f t="array" ref="E45">SQRT(SUMSQ(B19:B23-F19:F23)/COUNTA(B19:B23-F19:F23))</f>
        <v>20.07363987061624</v>
      </c>
      <c r="F45" t="s">
        <v>89</v>
      </c>
      <c r="J45" s="45">
        <v>4</v>
      </c>
      <c r="K45" s="37" cm="1">
        <f t="array" ref="K45">SQRT(SUMSQ($B19:$B23-L19:L23)/COUNTA($B19:$B23-L19:L23))</f>
        <v>43.849084476060163</v>
      </c>
      <c r="L45" t="s">
        <v>89</v>
      </c>
      <c r="Q45" s="45">
        <v>4</v>
      </c>
      <c r="R45" s="37" cm="1">
        <f t="array" ref="R45">SQRT(SUMSQ($B19:$B23-R19:R23)/COUNTA($B19:$B23-R19:R23))</f>
        <v>52.697356819929738</v>
      </c>
      <c r="S45" t="s">
        <v>89</v>
      </c>
      <c r="X45" s="45">
        <v>4</v>
      </c>
      <c r="Y45" s="37" cm="1">
        <f t="array" ref="Y45">SQRT(SUMSQ($B19:$B23-Y19:Y23)/COUNTA($B19:$B23-Y19:Y23))</f>
        <v>33.281567358941764</v>
      </c>
      <c r="Z45" t="s">
        <v>89</v>
      </c>
      <c r="AD45" s="45">
        <v>4</v>
      </c>
      <c r="AE45" s="37" cm="1">
        <f t="array" ref="AE45">SQRT(SUMSQ($B19:$B23-AF19:AF23)/COUNTA($B19:$B23-AF19:AF23))</f>
        <v>56.853987041922856</v>
      </c>
      <c r="AF45" t="s">
        <v>89</v>
      </c>
      <c r="AK45" s="45">
        <v>4</v>
      </c>
      <c r="AL45" s="37" cm="1">
        <f t="array" ref="AL45">SQRT(SUMSQ($B19:$B23-AM19:AM23)/COUNTA($B19:$B23-AM19:AM23))</f>
        <v>59.388122118072737</v>
      </c>
      <c r="AM45" t="s">
        <v>89</v>
      </c>
      <c r="AT45" s="45">
        <v>4</v>
      </c>
      <c r="AU45" s="37" t="e" cm="1">
        <f t="array" ref="AU45">SQRT(SUMSQ($B19:$B23-AT19:AT23)/COUNTA($B19:$B23-AT19:AT23))</f>
        <v>#VALUE!</v>
      </c>
      <c r="AV45" t="s">
        <v>89</v>
      </c>
      <c r="BB45" s="45">
        <v>4</v>
      </c>
      <c r="BC45" s="37" t="e" cm="1">
        <f t="array" ref="BC45">SQRT(SUMSQ($B19:$B23-BB19:BB23)/COUNTA($B19:$B23-BB19:BB23))</f>
        <v>#VALUE!</v>
      </c>
      <c r="BD45" t="s">
        <v>89</v>
      </c>
      <c r="BF45" s="63" t="s">
        <v>71</v>
      </c>
      <c r="BG45" s="60">
        <f t="shared" si="55"/>
        <v>43.569315004680341</v>
      </c>
      <c r="BH45" s="60">
        <f t="shared" si="56"/>
        <v>43.569507979174908</v>
      </c>
      <c r="BI45" s="60">
        <f t="shared" si="57"/>
        <v>43.569300953669391</v>
      </c>
      <c r="BJ45" s="60">
        <f t="shared" si="58"/>
        <v>43.609571662737075</v>
      </c>
      <c r="BK45" s="60">
        <f t="shared" si="59"/>
        <v>40.730488082526833</v>
      </c>
      <c r="BL45" s="60">
        <v>0</v>
      </c>
      <c r="BN45" s="44" t="s">
        <v>127</v>
      </c>
      <c r="BO45" s="32" cm="1">
        <f t="array" ref="BO45">SQRT(SUMSQ($BE19:$BE23-BI19:BI23)/COUNTA($BE19:$BE23-BI19:BI23))</f>
        <v>38.000029880484576</v>
      </c>
      <c r="BP45" s="32" cm="1">
        <f t="array" ref="BP45">SQRT(SUMSQ($BN19:$BN23-BR19:BR23)/COUNTA($BN19:$BN23-BR19:BR23))</f>
        <v>32.18978481012104</v>
      </c>
      <c r="BQ45" s="32" cm="1">
        <f t="array" ref="BQ45">SQRT(SUMSQ($BN19:$BN23-BI43:BI47)/COUNTA($BN19:$BN23-BI43:BI47))</f>
        <v>23.444103652227472</v>
      </c>
      <c r="BX45" s="63" t="s">
        <v>71</v>
      </c>
      <c r="BY45" s="60">
        <f t="shared" si="61"/>
        <v>80.884286274712565</v>
      </c>
      <c r="BZ45" s="60">
        <f t="shared" si="62"/>
        <v>80.883149157790314</v>
      </c>
      <c r="CA45" s="60">
        <f t="shared" si="63"/>
        <v>76.584590990569467</v>
      </c>
      <c r="CB45" s="60">
        <f t="shared" si="64"/>
        <v>62.548222972971324</v>
      </c>
      <c r="CC45" s="60">
        <f t="shared" si="65"/>
        <v>48.504987151970269</v>
      </c>
      <c r="CD45" s="60">
        <v>0</v>
      </c>
      <c r="CG45" s="44" t="s">
        <v>127</v>
      </c>
      <c r="CH45" s="32" cm="1">
        <f t="array" ref="CH45">SQRT(SUMSQ($BX19:$BX23-CB19:CB23)/COUNTA($BX19:$BX23-CB19:CB23))</f>
        <v>286.06392929303752</v>
      </c>
      <c r="CI45" s="32" cm="1">
        <f t="array" ref="CI45">SQRT(SUMSQ($BN19:$BN23-CK19:CK23)/COUNTA($BN19:$BN23-CK19:CK23))</f>
        <v>222.55209425310963</v>
      </c>
      <c r="CJ45" s="32" cm="1">
        <f t="array" ref="CJ45">SQRT(SUMSQ($BN19:$BN23-CA43:CA47)/COUNTA($BN19:$BN23-CA43:CA47))</f>
        <v>61.59442775322988</v>
      </c>
    </row>
    <row r="46" spans="2:88" x14ac:dyDescent="0.25">
      <c r="BF46" s="63" t="s">
        <v>72</v>
      </c>
      <c r="BG46" s="60">
        <f t="shared" si="55"/>
        <v>19.612022449731526</v>
      </c>
      <c r="BH46" s="60">
        <f t="shared" si="56"/>
        <v>19.612215424226033</v>
      </c>
      <c r="BI46" s="60">
        <f t="shared" si="57"/>
        <v>19.612008398720633</v>
      </c>
      <c r="BJ46" s="60">
        <f t="shared" si="58"/>
        <v>16.151528415488315</v>
      </c>
      <c r="BK46" s="60">
        <v>0</v>
      </c>
      <c r="BL46" s="60">
        <v>0</v>
      </c>
      <c r="BN46" s="45" t="s">
        <v>128</v>
      </c>
      <c r="BO46" s="32" cm="1">
        <f t="array" ref="BO46">SQRT(SUMSQ($BE19:$BE23-BJ19:BJ23)/COUNTA($BE19:$BE23-BJ19:BJ23))</f>
        <v>38.080167234104955</v>
      </c>
      <c r="BP46" s="32" cm="1">
        <f t="array" ref="BP46">SQRT(SUMSQ($BN19:$BN23-BS19:BS23)/COUNTA($BN19:$BN23-BS19:BS23))</f>
        <v>32.53184499148653</v>
      </c>
      <c r="BQ46" s="32" cm="1">
        <f t="array" ref="BQ46">SQRT(SUMSQ($BN19:$BN23-BJ43:BJ47)/COUNTA($BN19:$BN23-BJ43:BJ47))</f>
        <v>24.75228317843807</v>
      </c>
      <c r="BX46" s="63" t="s">
        <v>72</v>
      </c>
      <c r="BY46" s="60">
        <f t="shared" si="61"/>
        <v>43.886625314592088</v>
      </c>
      <c r="BZ46" s="60">
        <f t="shared" si="62"/>
        <v>43.885488197669744</v>
      </c>
      <c r="CA46" s="60">
        <f t="shared" si="63"/>
        <v>40.537086940385201</v>
      </c>
      <c r="CB46" s="60">
        <f t="shared" si="64"/>
        <v>24.223004953951175</v>
      </c>
      <c r="CC46" s="60">
        <v>0</v>
      </c>
      <c r="CD46" s="60">
        <v>0</v>
      </c>
      <c r="CG46" s="45" t="s">
        <v>128</v>
      </c>
      <c r="CH46" s="32" cm="1">
        <f t="array" ref="CH46">SQRT(SUMSQ($BX19:$BX23-CC19:CC23)/COUNTA($BX19:$BX23-CC19:CC23))</f>
        <v>191.04845424435464</v>
      </c>
      <c r="CI46" s="32" cm="1">
        <f t="array" ref="CI46">SQRT(SUMSQ($BN19:$BN23-CL19:CL23)/COUNTA($BN19:$BN23-CL19:CL23))</f>
        <v>148.74812126603524</v>
      </c>
      <c r="CJ46" s="32" cm="1">
        <f t="array" ref="CJ46">SQRT(SUMSQ($BN19:$BN23-CB43:CB47)/COUNTA($BN19:$BN23-CB43:CB47))</f>
        <v>47.535254496137185</v>
      </c>
    </row>
    <row r="47" spans="2:88" x14ac:dyDescent="0.25">
      <c r="BF47" s="63" t="s">
        <v>73</v>
      </c>
      <c r="BG47" s="60">
        <f t="shared" si="55"/>
        <v>93.233613289539932</v>
      </c>
      <c r="BH47" s="60">
        <f t="shared" si="56"/>
        <v>93.233806264034413</v>
      </c>
      <c r="BI47" s="60">
        <f t="shared" si="57"/>
        <v>93.233599238528967</v>
      </c>
      <c r="BJ47" s="60">
        <f t="shared" si="58"/>
        <v>93.205595832347797</v>
      </c>
      <c r="BK47" s="60">
        <f t="shared" si="59"/>
        <v>94.521956634176448</v>
      </c>
      <c r="BL47" s="60">
        <f t="shared" si="60"/>
        <v>95.080553350761249</v>
      </c>
      <c r="BN47" s="41" t="s">
        <v>129</v>
      </c>
      <c r="BO47" s="32" cm="1">
        <f t="array" ref="BO47">SQRT(SUMSQ($BE19:$BE23-BK19:BK23)/COUNTA($BE19:$BE23-BK19:BK23))</f>
        <v>37.124656041618991</v>
      </c>
      <c r="BP47" s="32" cm="1">
        <f t="array" ref="BP47">SQRT(SUMSQ($BN19:$BN23-BT19:BT23)/COUNTA($BN19:$BN23-BT19:BT23))</f>
        <v>39.875294950696045</v>
      </c>
      <c r="BQ47" s="32" cm="1">
        <f t="array" ref="BQ47">SQRT(SUMSQ($BN19:$BN23-BK43:BK47)/COUNTA($BN19:$BN23-BK43:BK47))</f>
        <v>31.958817856680774</v>
      </c>
      <c r="BX47" s="63" t="s">
        <v>73</v>
      </c>
      <c r="BY47" s="60">
        <f xml:space="preserve"> 44.935*LN(Y6) - 48.391</f>
        <v>157.58172049233517</v>
      </c>
      <c r="BZ47" s="60">
        <f t="shared" si="62"/>
        <v>157.5805833754128</v>
      </c>
      <c r="CA47" s="60">
        <f t="shared" si="63"/>
        <v>151.31231698326414</v>
      </c>
      <c r="CB47" s="60">
        <f t="shared" si="64"/>
        <v>131.77305527661252</v>
      </c>
      <c r="CC47" s="60">
        <f t="shared" si="65"/>
        <v>128.55297357542781</v>
      </c>
      <c r="CD47" s="60">
        <f xml:space="preserve"> 22.582*LN(T6) + 150.14</f>
        <v>97.124708184849595</v>
      </c>
      <c r="CG47" s="41" t="s">
        <v>129</v>
      </c>
      <c r="CH47" s="32" cm="1">
        <f t="array" ref="CH47">SQRT(SUMSQ($BX19:$BX23-CD19:CD23)/COUNTA($BX19:$BX23-CD19:CD23))</f>
        <v>140.39838966230207</v>
      </c>
      <c r="CI47" s="32" cm="1">
        <f t="array" ref="CI47">SQRT(SUMSQ($BN19:$BN23-CM19:CM23)/COUNTA($BN19:$BN23-CM19:CM23))</f>
        <v>126.73391677859249</v>
      </c>
      <c r="CJ47" s="32" cm="1">
        <f t="array" ref="CJ47">SQRT(SUMSQ($BN19:$BN23-CC43:CC47)/COUNTA($BN19:$BN23-CC43:CC47))</f>
        <v>51.617847006647544</v>
      </c>
    </row>
    <row r="48" spans="2:88" x14ac:dyDescent="0.25">
      <c r="BN48" s="41" t="s">
        <v>130</v>
      </c>
      <c r="BO48" s="61" cm="1">
        <f t="array" ref="BO48">SQRT(SUMSQ($BE19:$BE23-BL19:BL23)/COUNTA($BE19:$BE23-BL19:BL23))</f>
        <v>20.664481905374863</v>
      </c>
      <c r="BP48" s="32" cm="1">
        <f t="array" ref="BP48">SQRT(SUMSQ($BN19:$BN23-BU19:BU23)/COUNTA($BN19:$BN23-BU19:BU23))</f>
        <v>37.639204421305124</v>
      </c>
      <c r="BQ48" s="32" cm="1">
        <f t="array" ref="BQ48">SQRT(SUMSQ($BN19:$BN23-BL43:BL47)/COUNTA($BN19:$BN23-BL43:BL47))</f>
        <v>37.168218503740107</v>
      </c>
      <c r="BY48" t="s">
        <v>138</v>
      </c>
      <c r="BZ48" t="s">
        <v>143</v>
      </c>
      <c r="CA48" t="s">
        <v>142</v>
      </c>
      <c r="CB48" t="s">
        <v>141</v>
      </c>
      <c r="CC48" t="s">
        <v>140</v>
      </c>
      <c r="CD48" t="s">
        <v>139</v>
      </c>
      <c r="CG48" s="41" t="s">
        <v>130</v>
      </c>
      <c r="CH48" s="61" cm="1">
        <f t="array" ref="CH48">SQRT(SUMSQ($BX19:$BX23-CE19:CE23)/COUNTA($BX19:$BX23-CE19:CE23))</f>
        <v>19.495216783577099</v>
      </c>
      <c r="CI48" s="32" cm="1">
        <f t="array" ref="CI48">SQRT(SUMSQ($BN19:$BN23-CN19:CN23)/COUNTA($BN19:$BN23-CN19:CN23))</f>
        <v>38.023197194129132</v>
      </c>
      <c r="CJ48" s="32" cm="1">
        <f t="array" ref="CJ48">SQRT(SUMSQ($BN19:$BN23-CD43:CD47)/COUNTA($BN19:$BN23-CD43:CD47))</f>
        <v>37.174398533269603</v>
      </c>
    </row>
  </sheetData>
  <mergeCells count="15">
    <mergeCell ref="C17:F17"/>
    <mergeCell ref="I17:L17"/>
    <mergeCell ref="O17:R17"/>
    <mergeCell ref="V17:Y17"/>
    <mergeCell ref="AC17:AF17"/>
    <mergeCell ref="AJ17:AM17"/>
    <mergeCell ref="AQ17:AT17"/>
    <mergeCell ref="AY17:BB17"/>
    <mergeCell ref="AS1:AX1"/>
    <mergeCell ref="AQ1:AR1"/>
    <mergeCell ref="BZ17:CC17"/>
    <mergeCell ref="BY41:CD41"/>
    <mergeCell ref="BG17:BJ17"/>
    <mergeCell ref="BP17:BS17"/>
    <mergeCell ref="BG41:BL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4053-825F-44F8-8B32-58C511E38E44}">
  <dimension ref="A1:K15"/>
  <sheetViews>
    <sheetView workbookViewId="0">
      <selection activeCell="F30" sqref="F30"/>
    </sheetView>
  </sheetViews>
  <sheetFormatPr defaultRowHeight="15" x14ac:dyDescent="0.25"/>
  <cols>
    <col min="2" max="2" width="16.7109375" customWidth="1"/>
    <col min="3" max="3" width="20.5703125" customWidth="1"/>
    <col min="4" max="4" width="16.140625" customWidth="1"/>
    <col min="5" max="5" width="16.28515625" customWidth="1"/>
    <col min="6" max="6" width="15.5703125" customWidth="1"/>
    <col min="7" max="7" width="18.7109375" customWidth="1"/>
    <col min="8" max="8" width="15.28515625" customWidth="1"/>
    <col min="9" max="9" width="15.42578125" customWidth="1"/>
    <col min="10" max="10" width="13" customWidth="1"/>
    <col min="11" max="11" width="14.28515625" customWidth="1"/>
  </cols>
  <sheetData>
    <row r="1" spans="1:11" x14ac:dyDescent="0.25">
      <c r="A1" s="7"/>
      <c r="B1" s="64" t="s">
        <v>37</v>
      </c>
      <c r="C1" s="64"/>
      <c r="D1" s="64"/>
      <c r="E1" s="64"/>
      <c r="F1" s="64"/>
      <c r="G1" s="64"/>
    </row>
    <row r="2" spans="1:11" x14ac:dyDescent="0.25">
      <c r="A2" s="7"/>
      <c r="B2" s="7" t="s">
        <v>38</v>
      </c>
      <c r="C2" s="7" t="s">
        <v>39</v>
      </c>
      <c r="D2" s="3" t="s">
        <v>40</v>
      </c>
      <c r="E2" s="3" t="s">
        <v>41</v>
      </c>
      <c r="F2" s="7" t="s">
        <v>42</v>
      </c>
      <c r="G2" s="7" t="s">
        <v>43</v>
      </c>
    </row>
    <row r="3" spans="1:11" x14ac:dyDescent="0.25">
      <c r="A3" s="7" t="s">
        <v>44</v>
      </c>
      <c r="B3" s="7">
        <v>0.57699999999999996</v>
      </c>
      <c r="C3" s="7">
        <v>0.57599999999999996</v>
      </c>
      <c r="D3" s="3">
        <v>0.68300000000000005</v>
      </c>
      <c r="E3" s="3">
        <v>0.68289999999999995</v>
      </c>
      <c r="F3" s="7">
        <v>0.2034</v>
      </c>
      <c r="G3" s="7">
        <v>0.20330000000000001</v>
      </c>
    </row>
    <row r="4" spans="1:11" x14ac:dyDescent="0.25">
      <c r="A4" s="7" t="s">
        <v>45</v>
      </c>
      <c r="B4" s="7">
        <v>0.55300000000000005</v>
      </c>
      <c r="C4" s="7">
        <v>0.55200000000000005</v>
      </c>
      <c r="D4" s="17">
        <v>0.68540000000000001</v>
      </c>
      <c r="E4" s="18">
        <v>0.68520000000000003</v>
      </c>
      <c r="F4" s="7">
        <v>0.20580000000000001</v>
      </c>
      <c r="G4" s="7">
        <v>0.20569999999999999</v>
      </c>
    </row>
    <row r="5" spans="1:11" x14ac:dyDescent="0.25">
      <c r="A5" s="7" t="s">
        <v>46</v>
      </c>
      <c r="B5" s="7">
        <v>0.56720000000000004</v>
      </c>
      <c r="C5" s="7">
        <v>0.56669999999999998</v>
      </c>
      <c r="D5" s="3">
        <v>0.65639999999999998</v>
      </c>
      <c r="E5" s="3">
        <v>0.65639999999999998</v>
      </c>
      <c r="F5" s="7">
        <v>0.1973</v>
      </c>
      <c r="G5" s="7">
        <v>0.1973</v>
      </c>
    </row>
    <row r="6" spans="1:11" x14ac:dyDescent="0.25">
      <c r="A6" s="7"/>
      <c r="B6" s="7"/>
      <c r="C6" s="7"/>
      <c r="D6" s="7"/>
      <c r="E6" s="7"/>
      <c r="F6" s="7"/>
      <c r="G6" s="7"/>
    </row>
    <row r="7" spans="1:11" x14ac:dyDescent="0.25">
      <c r="B7" s="65" t="s">
        <v>47</v>
      </c>
      <c r="C7" s="64"/>
      <c r="D7" s="64"/>
      <c r="E7" s="66"/>
      <c r="F7" s="65" t="s">
        <v>48</v>
      </c>
      <c r="G7" s="64"/>
      <c r="H7" s="64"/>
      <c r="I7" s="64"/>
      <c r="J7" s="64"/>
      <c r="K7" s="66"/>
    </row>
    <row r="8" spans="1:11" x14ac:dyDescent="0.25">
      <c r="A8" s="7"/>
      <c r="B8" s="9" t="s">
        <v>49</v>
      </c>
      <c r="C8" s="7" t="s">
        <v>50</v>
      </c>
      <c r="D8" s="7" t="s">
        <v>51</v>
      </c>
      <c r="E8" s="10" t="s">
        <v>52</v>
      </c>
      <c r="F8" s="9" t="s">
        <v>49</v>
      </c>
      <c r="G8" s="7" t="s">
        <v>50</v>
      </c>
      <c r="H8" s="7" t="s">
        <v>53</v>
      </c>
      <c r="I8" s="7" t="s">
        <v>54</v>
      </c>
      <c r="J8" s="7" t="s">
        <v>51</v>
      </c>
      <c r="K8" s="10" t="s">
        <v>52</v>
      </c>
    </row>
    <row r="9" spans="1:11" x14ac:dyDescent="0.25">
      <c r="A9" s="7" t="s">
        <v>55</v>
      </c>
      <c r="B9" s="13">
        <v>2.7E-2</v>
      </c>
      <c r="C9" s="14">
        <v>3.3000000000000002E-2</v>
      </c>
      <c r="D9" s="14">
        <v>1.7500000000000002E-2</v>
      </c>
      <c r="E9" s="15">
        <v>2.0400000000000001E-2</v>
      </c>
      <c r="F9" s="13">
        <v>0.68300000000000005</v>
      </c>
      <c r="G9" s="19">
        <v>0.57879999999999998</v>
      </c>
      <c r="H9" s="14">
        <v>0.68540000000000001</v>
      </c>
      <c r="I9" s="14">
        <v>0.58389999999999997</v>
      </c>
      <c r="J9" s="14">
        <v>0.65639999999999998</v>
      </c>
      <c r="K9" s="15">
        <v>0.60699999999999998</v>
      </c>
    </row>
    <row r="10" spans="1:11" x14ac:dyDescent="0.25">
      <c r="A10" s="7" t="s">
        <v>56</v>
      </c>
      <c r="B10" s="13">
        <v>1.21E-2</v>
      </c>
      <c r="C10" s="14">
        <v>5.7000000000000002E-2</v>
      </c>
      <c r="D10" s="14">
        <v>3.0700000000000002E-2</v>
      </c>
      <c r="E10" s="15">
        <v>0.1037</v>
      </c>
      <c r="F10" s="12">
        <v>0.68300000000000005</v>
      </c>
      <c r="G10" s="20">
        <v>0.57869999999999999</v>
      </c>
      <c r="H10" s="3">
        <v>0.68540000000000001</v>
      </c>
      <c r="I10" s="3">
        <v>0.58399999999999996</v>
      </c>
      <c r="J10" s="3">
        <v>0.65639999999999998</v>
      </c>
      <c r="K10" s="11">
        <v>0.60660000000000003</v>
      </c>
    </row>
    <row r="11" spans="1:11" x14ac:dyDescent="0.25">
      <c r="A11" s="3" t="s">
        <v>57</v>
      </c>
      <c r="B11" s="12">
        <v>0.45610000000000001</v>
      </c>
      <c r="C11" s="14">
        <v>0.44900000000000001</v>
      </c>
      <c r="D11" s="3">
        <v>0.51060000000000005</v>
      </c>
      <c r="E11" s="15">
        <v>0.51239999999999997</v>
      </c>
      <c r="F11" s="13">
        <v>0.67349999999999999</v>
      </c>
      <c r="G11" s="19">
        <v>0.53559999999999997</v>
      </c>
      <c r="H11" s="14">
        <v>0.67500000000000004</v>
      </c>
      <c r="I11" s="14">
        <v>0.53790000000000004</v>
      </c>
      <c r="J11" s="14">
        <v>0.65439999999999998</v>
      </c>
      <c r="K11" s="15">
        <v>0.56930000000000003</v>
      </c>
    </row>
    <row r="12" spans="1:11" x14ac:dyDescent="0.25">
      <c r="A12" s="3" t="s">
        <v>58</v>
      </c>
      <c r="B12" s="12">
        <v>0.54339999999999999</v>
      </c>
      <c r="C12" s="3">
        <v>0.50139999999999996</v>
      </c>
      <c r="D12" s="3">
        <v>0.58479999999999999</v>
      </c>
      <c r="E12" s="11">
        <v>0.54890000000000005</v>
      </c>
      <c r="F12" s="13">
        <v>0.56969999999999998</v>
      </c>
      <c r="G12" s="19">
        <v>0.44779999999999998</v>
      </c>
      <c r="H12" s="14">
        <v>0.57520000000000004</v>
      </c>
      <c r="I12" s="14">
        <v>0.46210000000000001</v>
      </c>
      <c r="J12" s="14">
        <v>0.61250000000000004</v>
      </c>
      <c r="K12" s="15">
        <v>0.50790000000000002</v>
      </c>
    </row>
    <row r="13" spans="1:11" x14ac:dyDescent="0.25">
      <c r="A13" s="7" t="s">
        <v>59</v>
      </c>
      <c r="B13" s="13">
        <v>0.36980000000000002</v>
      </c>
      <c r="C13" s="3">
        <v>0.50829999999999997</v>
      </c>
      <c r="D13" s="14">
        <v>0.44440000000000002</v>
      </c>
      <c r="E13" s="11">
        <v>0.53139999999999998</v>
      </c>
      <c r="F13" s="13">
        <v>0.62539999999999996</v>
      </c>
      <c r="G13" s="19">
        <v>0.28749999999999998</v>
      </c>
      <c r="H13" s="14">
        <v>0.62919999999999998</v>
      </c>
      <c r="I13" s="14">
        <v>0.30859999999999999</v>
      </c>
      <c r="J13" s="14">
        <v>0.62819999999999998</v>
      </c>
      <c r="K13" s="15">
        <v>0.34050000000000002</v>
      </c>
    </row>
    <row r="14" spans="1:11" x14ac:dyDescent="0.25">
      <c r="A14" s="7" t="s">
        <v>60</v>
      </c>
      <c r="B14" s="13">
        <v>0.43440000000000001</v>
      </c>
      <c r="C14" s="14">
        <v>0.3034</v>
      </c>
      <c r="D14" s="14">
        <v>0.435</v>
      </c>
      <c r="E14" s="15">
        <v>0.2422</v>
      </c>
      <c r="F14" s="13">
        <v>6.8500000000000005E-2</v>
      </c>
      <c r="G14" s="19">
        <v>0.1012</v>
      </c>
      <c r="H14" s="14">
        <v>7.5700000000000003E-2</v>
      </c>
      <c r="I14" s="14">
        <v>0.1135</v>
      </c>
      <c r="J14" s="14">
        <v>8.9499999999999996E-2</v>
      </c>
      <c r="K14" s="15">
        <v>0.12989999999999999</v>
      </c>
    </row>
    <row r="15" spans="1:11" x14ac:dyDescent="0.25"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3">
    <mergeCell ref="B1:G1"/>
    <mergeCell ref="B7:E7"/>
    <mergeCell ref="F7:K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D157-6BBB-47F7-AC96-7DF3592F224F}">
  <dimension ref="A1:G14"/>
  <sheetViews>
    <sheetView topLeftCell="A2" workbookViewId="0">
      <selection activeCell="P12" sqref="P12"/>
    </sheetView>
  </sheetViews>
  <sheetFormatPr defaultRowHeight="15" x14ac:dyDescent="0.25"/>
  <cols>
    <col min="2" max="2" width="15.7109375" customWidth="1"/>
    <col min="3" max="3" width="16.7109375" customWidth="1"/>
    <col min="4" max="4" width="15.28515625" customWidth="1"/>
    <col min="5" max="5" width="15.7109375" customWidth="1"/>
    <col min="6" max="6" width="13.28515625" customWidth="1"/>
    <col min="7" max="7" width="12" customWidth="1"/>
  </cols>
  <sheetData>
    <row r="1" spans="1:7" x14ac:dyDescent="0.25">
      <c r="A1" s="1"/>
      <c r="B1" s="64" t="s">
        <v>21</v>
      </c>
      <c r="C1" s="64"/>
      <c r="D1" s="64" t="s">
        <v>20</v>
      </c>
      <c r="E1" s="64"/>
      <c r="F1" s="64" t="s">
        <v>11</v>
      </c>
      <c r="G1" s="64"/>
    </row>
    <row r="2" spans="1:7" x14ac:dyDescent="0.25">
      <c r="A2" s="1" t="s">
        <v>14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12</v>
      </c>
      <c r="G2" s="1" t="s">
        <v>13</v>
      </c>
    </row>
    <row r="3" spans="1:7" x14ac:dyDescent="0.25">
      <c r="A3" s="1" t="s">
        <v>4</v>
      </c>
      <c r="B3" s="1">
        <v>7.0800000000000002E-2</v>
      </c>
      <c r="C3" s="1">
        <v>0.63100000000000001</v>
      </c>
      <c r="D3" s="1">
        <v>0.17879999999999999</v>
      </c>
      <c r="E3" s="1">
        <v>1.6488</v>
      </c>
      <c r="F3" s="1">
        <v>90</v>
      </c>
    </row>
    <row r="4" spans="1:7" x14ac:dyDescent="0.25">
      <c r="A4" s="1" t="s">
        <v>5</v>
      </c>
      <c r="B4" s="1">
        <v>4.87E-2</v>
      </c>
      <c r="C4" s="1">
        <v>0.63100000000000001</v>
      </c>
      <c r="D4" s="1">
        <v>4.87E-2</v>
      </c>
      <c r="E4" s="1">
        <v>2.6674000000000002</v>
      </c>
      <c r="F4" s="1">
        <v>90</v>
      </c>
    </row>
    <row r="5" spans="1:7" x14ac:dyDescent="0.25">
      <c r="A5" s="1" t="s">
        <v>6</v>
      </c>
      <c r="B5" s="1">
        <v>6.7999999999999996E-3</v>
      </c>
      <c r="C5" s="1">
        <v>0.63100000000000001</v>
      </c>
      <c r="D5" s="1">
        <v>7.6E-3</v>
      </c>
      <c r="E5" s="1">
        <v>2.2389999999999999</v>
      </c>
      <c r="F5" s="1">
        <v>45</v>
      </c>
    </row>
    <row r="6" spans="1:7" x14ac:dyDescent="0.25">
      <c r="A6" s="1" t="s">
        <v>7</v>
      </c>
      <c r="B6" s="1">
        <v>1.5E-3</v>
      </c>
      <c r="C6" s="1">
        <v>0.63100000000000001</v>
      </c>
      <c r="D6" s="1">
        <v>1.5E-3</v>
      </c>
      <c r="E6" s="1">
        <v>1.9089</v>
      </c>
      <c r="F6" s="1">
        <v>64</v>
      </c>
    </row>
    <row r="7" spans="1:7" x14ac:dyDescent="0.25">
      <c r="A7" s="1" t="s">
        <v>8</v>
      </c>
      <c r="B7" s="1">
        <v>4.9599999999999998E-2</v>
      </c>
      <c r="C7" s="1">
        <v>0.63100000000000001</v>
      </c>
      <c r="D7" s="1">
        <v>5.0099999999999999E-2</v>
      </c>
      <c r="E7" s="1">
        <v>1.5485</v>
      </c>
      <c r="F7" s="1">
        <v>90</v>
      </c>
    </row>
    <row r="9" spans="1:7" x14ac:dyDescent="0.25">
      <c r="A9" s="1"/>
      <c r="B9" s="64" t="s">
        <v>21</v>
      </c>
      <c r="C9" s="64"/>
      <c r="D9" s="64" t="s">
        <v>20</v>
      </c>
      <c r="E9" s="64"/>
      <c r="F9" s="64" t="s">
        <v>11</v>
      </c>
      <c r="G9" s="64"/>
    </row>
    <row r="10" spans="1:7" x14ac:dyDescent="0.25">
      <c r="A10" s="1" t="s">
        <v>15</v>
      </c>
      <c r="B10" s="1" t="s">
        <v>9</v>
      </c>
      <c r="C10" s="1" t="s">
        <v>10</v>
      </c>
      <c r="D10" s="1" t="s">
        <v>9</v>
      </c>
      <c r="E10" s="1" t="s">
        <v>10</v>
      </c>
      <c r="F10" s="1" t="s">
        <v>12</v>
      </c>
      <c r="G10" s="1" t="s">
        <v>13</v>
      </c>
    </row>
    <row r="11" spans="1:7" x14ac:dyDescent="0.25">
      <c r="A11" s="1" t="s">
        <v>16</v>
      </c>
      <c r="B11" s="1">
        <v>3.1600000000000003E-2</v>
      </c>
      <c r="C11" s="1">
        <v>0.79430000000000001</v>
      </c>
      <c r="D11" s="1">
        <v>4.4400000000000002E-2</v>
      </c>
      <c r="E11" s="1">
        <v>2.4293999999999998</v>
      </c>
      <c r="F11" s="1"/>
      <c r="G11" s="1"/>
    </row>
    <row r="12" spans="1:7" x14ac:dyDescent="0.25">
      <c r="A12" s="1" t="s">
        <v>17</v>
      </c>
      <c r="B12" s="1"/>
      <c r="C12" s="1"/>
      <c r="D12" s="1"/>
      <c r="E12" s="1"/>
      <c r="F12" s="1"/>
      <c r="G12" s="1"/>
    </row>
    <row r="13" spans="1:7" x14ac:dyDescent="0.25">
      <c r="A13" s="1" t="s">
        <v>18</v>
      </c>
      <c r="B13" s="1">
        <v>3.1600000000000003E-2</v>
      </c>
      <c r="C13" s="1">
        <v>0.79430000000000001</v>
      </c>
      <c r="D13" s="1">
        <v>3.61E-2</v>
      </c>
      <c r="E13" s="1">
        <v>2.1450999999999998</v>
      </c>
      <c r="G13" s="1"/>
    </row>
    <row r="14" spans="1:7" x14ac:dyDescent="0.25">
      <c r="A14" s="1" t="s">
        <v>19</v>
      </c>
      <c r="B14" s="1">
        <v>8.0000000000000004E-4</v>
      </c>
      <c r="C14" s="1">
        <v>0.10780000000000001</v>
      </c>
      <c r="D14" s="1">
        <v>8.0000000000000004E-4</v>
      </c>
      <c r="E14" s="1">
        <v>0.1079</v>
      </c>
      <c r="F14" s="1"/>
      <c r="G14" s="1"/>
    </row>
  </sheetData>
  <mergeCells count="6">
    <mergeCell ref="B1:C1"/>
    <mergeCell ref="F1:G1"/>
    <mergeCell ref="B9:C9"/>
    <mergeCell ref="F9:G9"/>
    <mergeCell ref="D1:E1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hilbert envelope</vt:lpstr>
      <vt:lpstr>rectified envelope</vt:lpstr>
      <vt:lpstr>validation</vt:lpstr>
      <vt:lpstr>r2</vt:lpstr>
      <vt:lpstr>floods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2015-06-05T18:17:20Z</dcterms:created>
  <dcterms:modified xsi:type="dcterms:W3CDTF">2025-10-09T16:19:25Z</dcterms:modified>
</cp:coreProperties>
</file>