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2F5CAA61-648D-423B-B76B-998B2C62D62A}" xr6:coauthVersionLast="47" xr6:coauthVersionMax="47" xr10:uidLastSave="{00000000-0000-0000-0000-000000000000}"/>
  <bookViews>
    <workbookView xWindow="-25320" yWindow="195" windowWidth="25440" windowHeight="15390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lope Significance" sheetId="11" r:id="rId5"/>
    <sheet name="Summer Weights (interpolated)" sheetId="8" r:id="rId6"/>
    <sheet name="Spring Weights (interpolated)" sheetId="7" r:id="rId7"/>
    <sheet name="Regression (interpolated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" l="1"/>
  <c r="AB77" i="2" l="1"/>
  <c r="AC77" i="2" s="1"/>
  <c r="Y77" i="2"/>
  <c r="Z77" i="2" s="1"/>
  <c r="P77" i="10"/>
  <c r="U77" i="10" s="1"/>
  <c r="U81" i="10"/>
  <c r="T81" i="10"/>
  <c r="U80" i="10"/>
  <c r="T80" i="10"/>
  <c r="U79" i="10"/>
  <c r="T79" i="10"/>
  <c r="U78" i="10"/>
  <c r="T78" i="10"/>
  <c r="T67" i="10"/>
  <c r="U71" i="10"/>
  <c r="T71" i="10"/>
  <c r="U70" i="10"/>
  <c r="T70" i="10"/>
  <c r="U69" i="10"/>
  <c r="T69" i="10"/>
  <c r="U68" i="10"/>
  <c r="T68" i="10"/>
  <c r="U67" i="10"/>
  <c r="U59" i="10"/>
  <c r="U60" i="10"/>
  <c r="U61" i="10"/>
  <c r="U62" i="10"/>
  <c r="U58" i="10"/>
  <c r="T59" i="10"/>
  <c r="T60" i="10"/>
  <c r="T61" i="10"/>
  <c r="T62" i="10"/>
  <c r="T58" i="10"/>
  <c r="V79" i="10"/>
  <c r="X79" i="10" s="1"/>
  <c r="W79" i="10"/>
  <c r="W69" i="10"/>
  <c r="X69" i="10" s="1"/>
  <c r="Z69" i="10" s="1"/>
  <c r="W77" i="10"/>
  <c r="V77" i="10"/>
  <c r="K60" i="10"/>
  <c r="N87" i="3"/>
  <c r="AL72" i="3"/>
  <c r="AL70" i="3"/>
  <c r="AB51" i="3"/>
  <c r="AI7" i="3"/>
  <c r="AH7" i="3"/>
  <c r="AG8" i="3"/>
  <c r="AG7" i="3"/>
  <c r="AG21" i="3"/>
  <c r="AH21" i="3"/>
  <c r="AI22" i="3"/>
  <c r="AI21" i="3"/>
  <c r="AJ20" i="3"/>
  <c r="AH20" i="3"/>
  <c r="AK21" i="3"/>
  <c r="AD7" i="3"/>
  <c r="AB53" i="3"/>
  <c r="AB62" i="3"/>
  <c r="W81" i="10"/>
  <c r="V81" i="10"/>
  <c r="Q81" i="10"/>
  <c r="P81" i="10"/>
  <c r="W80" i="10"/>
  <c r="V80" i="10"/>
  <c r="Q80" i="10"/>
  <c r="P80" i="10"/>
  <c r="Q79" i="10"/>
  <c r="P79" i="10"/>
  <c r="W78" i="10"/>
  <c r="V78" i="10"/>
  <c r="Q78" i="10"/>
  <c r="P78" i="10"/>
  <c r="Q77" i="10"/>
  <c r="P29" i="10"/>
  <c r="R29" i="10" s="1"/>
  <c r="U30" i="10"/>
  <c r="U33" i="10"/>
  <c r="U32" i="10"/>
  <c r="U31" i="10"/>
  <c r="U29" i="10"/>
  <c r="T33" i="10"/>
  <c r="T32" i="10"/>
  <c r="T31" i="10"/>
  <c r="T30" i="10"/>
  <c r="T29" i="10"/>
  <c r="Q33" i="10"/>
  <c r="S33" i="10" s="1"/>
  <c r="Q32" i="10"/>
  <c r="Q31" i="10"/>
  <c r="S31" i="10" s="1"/>
  <c r="Q30" i="10"/>
  <c r="Q29" i="10"/>
  <c r="P33" i="10"/>
  <c r="P32" i="10"/>
  <c r="P31" i="10"/>
  <c r="P30" i="10"/>
  <c r="J68" i="10"/>
  <c r="X58" i="10"/>
  <c r="Y58" i="10" s="1"/>
  <c r="W62" i="10"/>
  <c r="W61" i="10"/>
  <c r="W60" i="10"/>
  <c r="W59" i="10"/>
  <c r="W58" i="10"/>
  <c r="V62" i="10"/>
  <c r="V61" i="10"/>
  <c r="V60" i="10"/>
  <c r="V59" i="10"/>
  <c r="V58" i="10"/>
  <c r="R58" i="10"/>
  <c r="Q62" i="10"/>
  <c r="R62" i="10" s="1"/>
  <c r="Q61" i="10"/>
  <c r="Q60" i="10"/>
  <c r="Q59" i="10"/>
  <c r="Q58" i="10"/>
  <c r="P62" i="10"/>
  <c r="P61" i="10"/>
  <c r="P60" i="10"/>
  <c r="P59" i="10"/>
  <c r="S59" i="10" s="1"/>
  <c r="P58" i="10"/>
  <c r="M72" i="10"/>
  <c r="J67" i="10"/>
  <c r="K67" i="10"/>
  <c r="L67" i="10"/>
  <c r="M67" i="10"/>
  <c r="K68" i="10"/>
  <c r="L68" i="10"/>
  <c r="M68" i="10"/>
  <c r="J69" i="10"/>
  <c r="K69" i="10"/>
  <c r="L69" i="10"/>
  <c r="M69" i="10"/>
  <c r="J70" i="10"/>
  <c r="Q68" i="10" s="1"/>
  <c r="K70" i="10"/>
  <c r="L70" i="10"/>
  <c r="M70" i="10"/>
  <c r="J71" i="10"/>
  <c r="K71" i="10"/>
  <c r="L71" i="10"/>
  <c r="M71" i="10"/>
  <c r="J72" i="10"/>
  <c r="K72" i="10"/>
  <c r="L72" i="10"/>
  <c r="I72" i="10"/>
  <c r="I68" i="10"/>
  <c r="I69" i="10"/>
  <c r="I70" i="10"/>
  <c r="I71" i="10"/>
  <c r="I67" i="10"/>
  <c r="L64" i="10"/>
  <c r="J59" i="10"/>
  <c r="K59" i="10"/>
  <c r="L59" i="10"/>
  <c r="M59" i="10"/>
  <c r="J60" i="10"/>
  <c r="L60" i="10"/>
  <c r="M60" i="10"/>
  <c r="J61" i="10"/>
  <c r="K61" i="10"/>
  <c r="L61" i="10"/>
  <c r="M61" i="10"/>
  <c r="J62" i="10"/>
  <c r="K62" i="10"/>
  <c r="L62" i="10"/>
  <c r="M62" i="10"/>
  <c r="J63" i="10"/>
  <c r="K63" i="10"/>
  <c r="L63" i="10"/>
  <c r="M63" i="10"/>
  <c r="J64" i="10"/>
  <c r="K64" i="10"/>
  <c r="M64" i="10"/>
  <c r="M58" i="10"/>
  <c r="J58" i="10"/>
  <c r="K58" i="10"/>
  <c r="L58" i="10"/>
  <c r="I64" i="10"/>
  <c r="I59" i="10"/>
  <c r="I60" i="10"/>
  <c r="I61" i="10"/>
  <c r="I62" i="10"/>
  <c r="I63" i="10"/>
  <c r="I58" i="10"/>
  <c r="I3" i="10"/>
  <c r="AE51" i="1"/>
  <c r="I16" i="10"/>
  <c r="U5" i="10"/>
  <c r="U6" i="10"/>
  <c r="Q19" i="10"/>
  <c r="P17" i="10"/>
  <c r="J15" i="10"/>
  <c r="T17" i="10" s="1"/>
  <c r="K15" i="10"/>
  <c r="T18" i="10" s="1"/>
  <c r="L15" i="10"/>
  <c r="P19" i="10" s="1"/>
  <c r="M15" i="10"/>
  <c r="T20" i="10" s="1"/>
  <c r="J16" i="10"/>
  <c r="K16" i="10"/>
  <c r="L16" i="10"/>
  <c r="M16" i="10"/>
  <c r="Q20" i="10" s="1"/>
  <c r="J17" i="10"/>
  <c r="K17" i="10"/>
  <c r="P18" i="10" s="1"/>
  <c r="L17" i="10"/>
  <c r="M17" i="10"/>
  <c r="J18" i="10"/>
  <c r="K18" i="10"/>
  <c r="L18" i="10"/>
  <c r="M18" i="10"/>
  <c r="J19" i="10"/>
  <c r="K19" i="10"/>
  <c r="L19" i="10"/>
  <c r="M19" i="10"/>
  <c r="J20" i="10"/>
  <c r="K20" i="10"/>
  <c r="L20" i="10"/>
  <c r="M20" i="10"/>
  <c r="J21" i="10"/>
  <c r="K21" i="10"/>
  <c r="L21" i="10"/>
  <c r="M21" i="10"/>
  <c r="J22" i="10"/>
  <c r="K22" i="10"/>
  <c r="L22" i="10"/>
  <c r="M22" i="10"/>
  <c r="J23" i="10"/>
  <c r="K23" i="10"/>
  <c r="L23" i="10"/>
  <c r="M23" i="10"/>
  <c r="J24" i="10"/>
  <c r="K24" i="10"/>
  <c r="L24" i="10"/>
  <c r="M24" i="10"/>
  <c r="I24" i="10"/>
  <c r="I23" i="10"/>
  <c r="U16" i="10" s="1"/>
  <c r="I22" i="10"/>
  <c r="I21" i="10"/>
  <c r="I20" i="10"/>
  <c r="I19" i="10"/>
  <c r="I18" i="10"/>
  <c r="I17" i="10"/>
  <c r="I15" i="10"/>
  <c r="P16" i="10" s="1"/>
  <c r="M5" i="10"/>
  <c r="J3" i="10"/>
  <c r="Q4" i="10" s="1"/>
  <c r="K3" i="10"/>
  <c r="Q5" i="10" s="1"/>
  <c r="L3" i="10"/>
  <c r="Q6" i="10" s="1"/>
  <c r="M3" i="10"/>
  <c r="P7" i="10" s="1"/>
  <c r="J4" i="10"/>
  <c r="K4" i="10"/>
  <c r="L4" i="10"/>
  <c r="M4" i="10"/>
  <c r="J5" i="10"/>
  <c r="K5" i="10"/>
  <c r="L5" i="10"/>
  <c r="J6" i="10"/>
  <c r="K6" i="10"/>
  <c r="L6" i="10"/>
  <c r="M6" i="10"/>
  <c r="J7" i="10"/>
  <c r="U4" i="10" s="1"/>
  <c r="K7" i="10"/>
  <c r="L7" i="10"/>
  <c r="M7" i="10"/>
  <c r="J8" i="10"/>
  <c r="K8" i="10"/>
  <c r="L8" i="10"/>
  <c r="M8" i="10"/>
  <c r="J9" i="10"/>
  <c r="K9" i="10"/>
  <c r="L9" i="10"/>
  <c r="M9" i="10"/>
  <c r="J10" i="10"/>
  <c r="K10" i="10"/>
  <c r="L10" i="10"/>
  <c r="M10" i="10"/>
  <c r="J11" i="10"/>
  <c r="K11" i="10"/>
  <c r="L11" i="10"/>
  <c r="M11" i="10"/>
  <c r="J12" i="10"/>
  <c r="K12" i="10"/>
  <c r="L12" i="10"/>
  <c r="M12" i="10"/>
  <c r="J13" i="10"/>
  <c r="K13" i="10"/>
  <c r="L13" i="10"/>
  <c r="M13" i="10"/>
  <c r="I12" i="10"/>
  <c r="I11" i="10"/>
  <c r="I10" i="10"/>
  <c r="I9" i="10"/>
  <c r="T3" i="10" s="1"/>
  <c r="I13" i="10"/>
  <c r="I8" i="10"/>
  <c r="I7" i="10"/>
  <c r="I6" i="10"/>
  <c r="I5" i="10"/>
  <c r="I4" i="10"/>
  <c r="U3" i="10" s="1"/>
  <c r="T77" i="10" l="1"/>
  <c r="Q67" i="10"/>
  <c r="P67" i="10"/>
  <c r="S78" i="10"/>
  <c r="R79" i="10"/>
  <c r="S81" i="10"/>
  <c r="S80" i="10"/>
  <c r="Q70" i="10"/>
  <c r="V69" i="10"/>
  <c r="Q69" i="10"/>
  <c r="W68" i="10"/>
  <c r="V70" i="10"/>
  <c r="Q71" i="10"/>
  <c r="P68" i="10"/>
  <c r="R68" i="10" s="1"/>
  <c r="W70" i="10"/>
  <c r="P69" i="10"/>
  <c r="V71" i="10"/>
  <c r="P70" i="10"/>
  <c r="W71" i="10"/>
  <c r="P71" i="10"/>
  <c r="V68" i="10"/>
  <c r="V67" i="10"/>
  <c r="W67" i="10"/>
  <c r="R80" i="10"/>
  <c r="Z79" i="10"/>
  <c r="S67" i="10"/>
  <c r="S79" i="10"/>
  <c r="R81" i="10"/>
  <c r="S77" i="10"/>
  <c r="X77" i="10"/>
  <c r="Y77" i="10" s="1"/>
  <c r="X78" i="10"/>
  <c r="Y78" i="10" s="1"/>
  <c r="X80" i="10"/>
  <c r="Y80" i="10" s="1"/>
  <c r="R77" i="10"/>
  <c r="X81" i="10"/>
  <c r="Y81" i="10" s="1"/>
  <c r="R78" i="10"/>
  <c r="R32" i="10"/>
  <c r="R31" i="10"/>
  <c r="S30" i="10"/>
  <c r="S29" i="10"/>
  <c r="S32" i="10"/>
  <c r="W30" i="10"/>
  <c r="V29" i="10"/>
  <c r="W29" i="10" s="1"/>
  <c r="R33" i="10"/>
  <c r="V30" i="10"/>
  <c r="X30" i="10" s="1"/>
  <c r="V31" i="10"/>
  <c r="W31" i="10" s="1"/>
  <c r="V32" i="10"/>
  <c r="W32" i="10" s="1"/>
  <c r="V33" i="10"/>
  <c r="X33" i="10" s="1"/>
  <c r="R30" i="10"/>
  <c r="X61" i="10"/>
  <c r="Y61" i="10" s="1"/>
  <c r="R67" i="10"/>
  <c r="S62" i="10"/>
  <c r="S61" i="10"/>
  <c r="R60" i="10"/>
  <c r="S58" i="10"/>
  <c r="R61" i="10"/>
  <c r="S60" i="10"/>
  <c r="X59" i="10"/>
  <c r="Y59" i="10" s="1"/>
  <c r="X60" i="10"/>
  <c r="Y60" i="10" s="1"/>
  <c r="X62" i="10"/>
  <c r="Y62" i="10" s="1"/>
  <c r="R59" i="10"/>
  <c r="X3" i="10"/>
  <c r="V3" i="10"/>
  <c r="W3" i="10" s="1"/>
  <c r="R19" i="10"/>
  <c r="S19" i="10"/>
  <c r="S18" i="10"/>
  <c r="R18" i="10"/>
  <c r="Q18" i="10"/>
  <c r="P3" i="10"/>
  <c r="P6" i="10"/>
  <c r="Q3" i="10"/>
  <c r="Q16" i="10"/>
  <c r="R16" i="10" s="1"/>
  <c r="T7" i="10"/>
  <c r="U7" i="10"/>
  <c r="T16" i="10"/>
  <c r="U19" i="10"/>
  <c r="U17" i="10"/>
  <c r="P5" i="10"/>
  <c r="Q7" i="10"/>
  <c r="R7" i="10" s="1"/>
  <c r="Q17" i="10"/>
  <c r="S17" i="10" s="1"/>
  <c r="T6" i="10"/>
  <c r="U20" i="10"/>
  <c r="U18" i="10"/>
  <c r="P4" i="10"/>
  <c r="T5" i="10"/>
  <c r="V5" i="10" s="1"/>
  <c r="X5" i="10" s="1"/>
  <c r="P20" i="10"/>
  <c r="T4" i="10"/>
  <c r="V4" i="10" s="1"/>
  <c r="X4" i="10" s="1"/>
  <c r="T19" i="10"/>
  <c r="V19" i="10" s="1"/>
  <c r="W19" i="10" s="1"/>
  <c r="V17" i="10"/>
  <c r="W17" i="10" s="1"/>
  <c r="V16" i="10"/>
  <c r="X16" i="10" s="1"/>
  <c r="X17" i="10"/>
  <c r="W16" i="10"/>
  <c r="V18" i="10"/>
  <c r="W18" i="10" s="1"/>
  <c r="V20" i="10"/>
  <c r="W20" i="10" s="1"/>
  <c r="E60" i="8"/>
  <c r="M57" i="9"/>
  <c r="M58" i="9"/>
  <c r="M59" i="9"/>
  <c r="M60" i="9"/>
  <c r="M61" i="9"/>
  <c r="L57" i="9"/>
  <c r="L58" i="9"/>
  <c r="L59" i="9"/>
  <c r="L60" i="9"/>
  <c r="L61" i="9"/>
  <c r="L56" i="9"/>
  <c r="J57" i="9"/>
  <c r="J58" i="9"/>
  <c r="J59" i="9"/>
  <c r="J60" i="9"/>
  <c r="J61" i="9"/>
  <c r="I57" i="9"/>
  <c r="I58" i="9"/>
  <c r="I59" i="9"/>
  <c r="I60" i="9"/>
  <c r="I61" i="9"/>
  <c r="I56" i="9"/>
  <c r="J56" i="9" s="1"/>
  <c r="K61" i="9"/>
  <c r="H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Y81" i="9"/>
  <c r="Z81" i="9" s="1"/>
  <c r="Y80" i="9"/>
  <c r="Z80" i="9" s="1"/>
  <c r="Y79" i="9"/>
  <c r="Z79" i="9" s="1"/>
  <c r="Y78" i="9"/>
  <c r="Z78" i="9" s="1"/>
  <c r="Y77" i="9"/>
  <c r="Y76" i="9"/>
  <c r="Z76" i="9" s="1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3"/>
  <c r="AK75" i="8"/>
  <c r="AK74" i="8"/>
  <c r="AK73" i="8"/>
  <c r="AK72" i="8"/>
  <c r="AK71" i="8"/>
  <c r="AK70" i="8"/>
  <c r="AK69" i="8"/>
  <c r="AM66" i="8"/>
  <c r="AL66" i="8"/>
  <c r="AM65" i="8"/>
  <c r="AL65" i="8"/>
  <c r="AM64" i="8"/>
  <c r="AL64" i="8"/>
  <c r="AM63" i="8"/>
  <c r="AL63" i="8"/>
  <c r="AM62" i="8"/>
  <c r="AL62" i="8"/>
  <c r="AM61" i="8"/>
  <c r="AL61" i="8"/>
  <c r="AM60" i="8"/>
  <c r="AL60" i="8"/>
  <c r="AK53" i="8"/>
  <c r="AK52" i="8"/>
  <c r="AK51" i="8"/>
  <c r="AK50" i="8"/>
  <c r="AK49" i="8"/>
  <c r="AK48" i="8"/>
  <c r="AK47" i="8"/>
  <c r="AK46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F58" i="2"/>
  <c r="F59" i="2"/>
  <c r="F60" i="2"/>
  <c r="F61" i="2"/>
  <c r="F62" i="2"/>
  <c r="F57" i="2"/>
  <c r="C58" i="2"/>
  <c r="C59" i="2"/>
  <c r="C60" i="2"/>
  <c r="C61" i="2"/>
  <c r="C57" i="2"/>
  <c r="E58" i="2"/>
  <c r="E59" i="2"/>
  <c r="E60" i="2"/>
  <c r="E61" i="2"/>
  <c r="E62" i="2"/>
  <c r="E57" i="2"/>
  <c r="B58" i="2"/>
  <c r="B59" i="2"/>
  <c r="B60" i="2"/>
  <c r="B61" i="2"/>
  <c r="B57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K69" i="3"/>
  <c r="AK75" i="3"/>
  <c r="AK74" i="3"/>
  <c r="AK72" i="3"/>
  <c r="AK70" i="3"/>
  <c r="AK66" i="3"/>
  <c r="AK65" i="3"/>
  <c r="AJ65" i="3"/>
  <c r="AK64" i="3"/>
  <c r="AJ64" i="3"/>
  <c r="AK63" i="3"/>
  <c r="AJ63" i="3"/>
  <c r="AK61" i="3"/>
  <c r="AJ61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B66" i="8"/>
  <c r="AH65" i="8"/>
  <c r="AG65" i="8"/>
  <c r="AB65" i="8"/>
  <c r="AH64" i="8"/>
  <c r="AG64" i="8"/>
  <c r="AB64" i="8"/>
  <c r="AH63" i="8"/>
  <c r="AG63" i="8"/>
  <c r="AB63" i="8"/>
  <c r="AH62" i="8"/>
  <c r="AG62" i="8"/>
  <c r="AB62" i="8"/>
  <c r="AH61" i="8"/>
  <c r="AG61" i="8"/>
  <c r="AB61" i="8"/>
  <c r="AH60" i="8"/>
  <c r="AG60" i="8"/>
  <c r="AB60" i="8"/>
  <c r="AG57" i="8"/>
  <c r="AB57" i="8"/>
  <c r="AG56" i="8"/>
  <c r="AB56" i="8"/>
  <c r="AH55" i="8"/>
  <c r="AG55" i="8"/>
  <c r="AB55" i="8"/>
  <c r="AH54" i="8"/>
  <c r="AG54" i="8"/>
  <c r="AB54" i="8"/>
  <c r="AH53" i="8"/>
  <c r="AG53" i="8"/>
  <c r="AB53" i="8"/>
  <c r="AH52" i="8"/>
  <c r="AG52" i="8"/>
  <c r="AB52" i="8"/>
  <c r="AG51" i="8"/>
  <c r="AB51" i="8"/>
  <c r="AF60" i="3"/>
  <c r="AF61" i="3"/>
  <c r="AG61" i="3"/>
  <c r="AF63" i="3"/>
  <c r="AF64" i="3"/>
  <c r="AF65" i="3"/>
  <c r="AF66" i="3"/>
  <c r="AE61" i="3"/>
  <c r="AE62" i="3"/>
  <c r="AE63" i="3"/>
  <c r="AE64" i="3"/>
  <c r="AE65" i="3"/>
  <c r="AE66" i="3"/>
  <c r="AB66" i="3"/>
  <c r="AB65" i="3"/>
  <c r="AB63" i="3"/>
  <c r="AB61" i="3"/>
  <c r="AB60" i="3"/>
  <c r="AF51" i="3"/>
  <c r="AF52" i="3"/>
  <c r="AF54" i="3"/>
  <c r="AF55" i="3"/>
  <c r="AF56" i="3"/>
  <c r="AF57" i="3"/>
  <c r="AE57" i="3"/>
  <c r="AJ66" i="3" s="1"/>
  <c r="B62" i="2" s="1"/>
  <c r="AE56" i="3"/>
  <c r="AE55" i="3"/>
  <c r="AE54" i="3"/>
  <c r="AE52" i="3"/>
  <c r="AB57" i="3"/>
  <c r="AB56" i="3"/>
  <c r="AB55" i="3"/>
  <c r="AB54" i="3"/>
  <c r="AB52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Z61" i="10" l="1"/>
  <c r="S69" i="10"/>
  <c r="S71" i="10"/>
  <c r="X70" i="10"/>
  <c r="Y70" i="10" s="1"/>
  <c r="Y79" i="10"/>
  <c r="R71" i="10"/>
  <c r="S70" i="10"/>
  <c r="R69" i="10"/>
  <c r="S68" i="10"/>
  <c r="X68" i="10"/>
  <c r="Z68" i="10" s="1"/>
  <c r="X71" i="10"/>
  <c r="Y71" i="10" s="1"/>
  <c r="R70" i="10"/>
  <c r="X67" i="10"/>
  <c r="Z67" i="10" s="1"/>
  <c r="D59" i="2"/>
  <c r="G61" i="2"/>
  <c r="AK71" i="3"/>
  <c r="G57" i="2"/>
  <c r="D58" i="2"/>
  <c r="G59" i="2"/>
  <c r="D60" i="2"/>
  <c r="G58" i="2"/>
  <c r="D57" i="2"/>
  <c r="Z80" i="10"/>
  <c r="Z77" i="10"/>
  <c r="Z81" i="10"/>
  <c r="Z78" i="10"/>
  <c r="W33" i="10"/>
  <c r="X31" i="10"/>
  <c r="X29" i="10"/>
  <c r="X32" i="10"/>
  <c r="Z60" i="10"/>
  <c r="Z58" i="10"/>
  <c r="Z62" i="10"/>
  <c r="Z59" i="10"/>
  <c r="R20" i="10"/>
  <c r="S20" i="10"/>
  <c r="S5" i="10"/>
  <c r="R5" i="10"/>
  <c r="R6" i="10"/>
  <c r="S6" i="10"/>
  <c r="W5" i="10"/>
  <c r="R17" i="10"/>
  <c r="V6" i="10"/>
  <c r="X6" i="10" s="1"/>
  <c r="S4" i="10"/>
  <c r="R4" i="10"/>
  <c r="R3" i="10"/>
  <c r="S3" i="10"/>
  <c r="S16" i="10"/>
  <c r="S7" i="10"/>
  <c r="W4" i="10"/>
  <c r="V7" i="10"/>
  <c r="X7" i="10" s="1"/>
  <c r="X20" i="10"/>
  <c r="X18" i="10"/>
  <c r="X19" i="10"/>
  <c r="G45" i="9"/>
  <c r="Z77" i="9"/>
  <c r="AC67" i="9"/>
  <c r="AC70" i="9"/>
  <c r="AC73" i="9"/>
  <c r="C62" i="2"/>
  <c r="D62" i="2" s="1"/>
  <c r="D61" i="2"/>
  <c r="G60" i="2"/>
  <c r="G62" i="2"/>
  <c r="Y67" i="10" l="1"/>
  <c r="Y69" i="10"/>
  <c r="Z70" i="10"/>
  <c r="Z71" i="10"/>
  <c r="Y68" i="10"/>
  <c r="W7" i="10"/>
  <c r="W6" i="10"/>
  <c r="H20" i="9" l="1"/>
  <c r="H19" i="9"/>
  <c r="J19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C73" i="9"/>
  <c r="B73" i="9"/>
  <c r="C72" i="9"/>
  <c r="B72" i="9"/>
  <c r="C71" i="9"/>
  <c r="B71" i="9"/>
  <c r="C70" i="9"/>
  <c r="B70" i="9"/>
  <c r="C69" i="9"/>
  <c r="C68" i="9"/>
  <c r="C67" i="9"/>
  <c r="C66" i="9"/>
  <c r="I65" i="9"/>
  <c r="H65" i="9"/>
  <c r="C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AE14" i="8" s="1"/>
  <c r="J156" i="8"/>
  <c r="I157" i="8" s="1"/>
  <c r="H157" i="8" s="1"/>
  <c r="AE28" i="8" s="1"/>
  <c r="E156" i="8"/>
  <c r="D157" i="8" s="1"/>
  <c r="C157" i="8" s="1"/>
  <c r="AE13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T124" i="8"/>
  <c r="S124" i="8" s="1"/>
  <c r="R124" i="8" s="1"/>
  <c r="AD10" i="8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E92" i="8"/>
  <c r="D93" i="8" s="1"/>
  <c r="C93" i="8" s="1"/>
  <c r="AE21" i="8" s="1"/>
  <c r="J76" i="8"/>
  <c r="I77" i="8" s="1"/>
  <c r="H77" i="8" s="1"/>
  <c r="AE20" i="8" s="1"/>
  <c r="E76" i="8"/>
  <c r="D76" i="8" s="1"/>
  <c r="C76" i="8" s="1"/>
  <c r="AD6" i="8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D61" i="8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B66" i="9" s="1"/>
  <c r="AK44" i="3"/>
  <c r="B65" i="9" s="1"/>
  <c r="I67" i="2"/>
  <c r="C68" i="2"/>
  <c r="C69" i="2"/>
  <c r="C70" i="2"/>
  <c r="C71" i="2"/>
  <c r="C72" i="2"/>
  <c r="C73" i="2"/>
  <c r="C74" i="2"/>
  <c r="C75" i="2"/>
  <c r="C67" i="2"/>
  <c r="H67" i="2"/>
  <c r="B68" i="2"/>
  <c r="B72" i="2"/>
  <c r="B73" i="2"/>
  <c r="B74" i="2"/>
  <c r="B75" i="2"/>
  <c r="AL44" i="3"/>
  <c r="AK53" i="3"/>
  <c r="AK52" i="3"/>
  <c r="AK51" i="3"/>
  <c r="AK50" i="3"/>
  <c r="AK49" i="3"/>
  <c r="B71" i="2" s="1"/>
  <c r="AK48" i="3"/>
  <c r="B70" i="2" s="1"/>
  <c r="AK47" i="3"/>
  <c r="AK46" i="3"/>
  <c r="B69" i="2" s="1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6" i="3"/>
  <c r="J92" i="8" s="1"/>
  <c r="I92" i="8" s="1"/>
  <c r="H92" i="8" s="1"/>
  <c r="AD7" i="8" s="1"/>
  <c r="AE53" i="8" s="1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AF63" i="8" l="1"/>
  <c r="AF51" i="8"/>
  <c r="B67" i="2"/>
  <c r="D67" i="2" s="1"/>
  <c r="B69" i="9"/>
  <c r="B67" i="9"/>
  <c r="AA42" i="8"/>
  <c r="AF57" i="8"/>
  <c r="F61" i="9" s="1"/>
  <c r="C21" i="9"/>
  <c r="AE52" i="8"/>
  <c r="C57" i="9" s="1"/>
  <c r="AC43" i="8"/>
  <c r="AF66" i="8"/>
  <c r="AC35" i="8"/>
  <c r="AF61" i="8"/>
  <c r="AC33" i="8"/>
  <c r="C24" i="9"/>
  <c r="C37" i="9" s="1"/>
  <c r="AE55" i="8"/>
  <c r="C59" i="9" s="1"/>
  <c r="B68" i="9"/>
  <c r="D68" i="9" s="1"/>
  <c r="C25" i="9"/>
  <c r="C38" i="9" s="1"/>
  <c r="D70" i="9"/>
  <c r="AF54" i="8"/>
  <c r="F58" i="9" s="1"/>
  <c r="AF65" i="8"/>
  <c r="AC36" i="8"/>
  <c r="AF62" i="8"/>
  <c r="F56" i="9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D141" i="8"/>
  <c r="C141" i="8" s="1"/>
  <c r="AE11" i="8" s="1"/>
  <c r="AF56" i="8" s="1"/>
  <c r="F60" i="9" s="1"/>
  <c r="D65" i="9"/>
  <c r="D67" i="9"/>
  <c r="D73" i="9"/>
  <c r="I60" i="8"/>
  <c r="H60" i="8" s="1"/>
  <c r="AD18" i="8" s="1"/>
  <c r="D70" i="2"/>
  <c r="D77" i="8"/>
  <c r="C77" i="8" s="1"/>
  <c r="AE6" i="8" s="1"/>
  <c r="S125" i="8"/>
  <c r="R125" i="8" s="1"/>
  <c r="AE10" i="8" s="1"/>
  <c r="D92" i="8"/>
  <c r="C92" i="8" s="1"/>
  <c r="AD21" i="8" s="1"/>
  <c r="AE62" i="8" s="1"/>
  <c r="AJ62" i="8" s="1"/>
  <c r="N140" i="8"/>
  <c r="M140" i="8" s="1"/>
  <c r="AD27" i="8" s="1"/>
  <c r="AN27" i="8" s="1"/>
  <c r="I93" i="8"/>
  <c r="H93" i="8" s="1"/>
  <c r="AE7" i="8" s="1"/>
  <c r="AN7" i="8" s="1"/>
  <c r="AC53" i="8" s="1"/>
  <c r="D71" i="9"/>
  <c r="I108" i="8"/>
  <c r="H108" i="8" s="1"/>
  <c r="AD22" i="8" s="1"/>
  <c r="I125" i="8"/>
  <c r="H125" i="8" s="1"/>
  <c r="AE24" i="8" s="1"/>
  <c r="D66" i="9"/>
  <c r="D71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D75" i="2"/>
  <c r="J67" i="2"/>
  <c r="D60" i="8"/>
  <c r="C60" i="8" s="1"/>
  <c r="D108" i="8"/>
  <c r="C108" i="8" s="1"/>
  <c r="AD8" i="8" s="1"/>
  <c r="I140" i="8"/>
  <c r="H140" i="8" s="1"/>
  <c r="AD26" i="8" s="1"/>
  <c r="I156" i="8"/>
  <c r="H156" i="8" s="1"/>
  <c r="AD28" i="8" s="1"/>
  <c r="D68" i="2"/>
  <c r="I76" i="8"/>
  <c r="H76" i="8" s="1"/>
  <c r="AD20" i="8" s="1"/>
  <c r="N124" i="8"/>
  <c r="M124" i="8" s="1"/>
  <c r="AD25" i="8" s="1"/>
  <c r="AN25" i="8" s="1"/>
  <c r="N156" i="8"/>
  <c r="M156" i="8" s="1"/>
  <c r="AD14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D69" i="2"/>
  <c r="J24" i="9"/>
  <c r="AM24" i="8"/>
  <c r="AM36" i="8"/>
  <c r="AL39" i="8"/>
  <c r="E25" i="9" s="1"/>
  <c r="AN39" i="8"/>
  <c r="AN32" i="8"/>
  <c r="AN35" i="8"/>
  <c r="AM25" i="8"/>
  <c r="AD40" i="8"/>
  <c r="AM33" i="8"/>
  <c r="AN33" i="8"/>
  <c r="AN40" i="8"/>
  <c r="AN36" i="8"/>
  <c r="AM40" i="8"/>
  <c r="AM38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AL35" i="8" l="1"/>
  <c r="AK66" i="8"/>
  <c r="E61" i="9" s="1"/>
  <c r="G61" i="9" s="1"/>
  <c r="AK63" i="8"/>
  <c r="E58" i="9" s="1"/>
  <c r="G58" i="9" s="1"/>
  <c r="AN21" i="8"/>
  <c r="AK35" i="8"/>
  <c r="F25" i="9"/>
  <c r="F38" i="9" s="1"/>
  <c r="AA40" i="8"/>
  <c r="AC39" i="8"/>
  <c r="AF64" i="8"/>
  <c r="AN11" i="8"/>
  <c r="AN28" i="8"/>
  <c r="AE66" i="8"/>
  <c r="AN13" i="8"/>
  <c r="AE57" i="8"/>
  <c r="AN22" i="8"/>
  <c r="AE63" i="8"/>
  <c r="AE64" i="8"/>
  <c r="AJ64" i="8" s="1"/>
  <c r="B59" i="9" s="1"/>
  <c r="D59" i="9" s="1"/>
  <c r="AN14" i="8"/>
  <c r="C27" i="9"/>
  <c r="C40" i="9" s="1"/>
  <c r="AN26" i="8"/>
  <c r="AE65" i="8"/>
  <c r="AN18" i="8"/>
  <c r="AE60" i="8"/>
  <c r="AK65" i="8"/>
  <c r="E60" i="9" s="1"/>
  <c r="G60" i="9" s="1"/>
  <c r="C22" i="9"/>
  <c r="C35" i="9" s="1"/>
  <c r="AE54" i="8"/>
  <c r="C58" i="9" s="1"/>
  <c r="AA36" i="8"/>
  <c r="AF53" i="8"/>
  <c r="AF60" i="8"/>
  <c r="AK60" i="8" s="1"/>
  <c r="E56" i="9" s="1"/>
  <c r="G56" i="9" s="1"/>
  <c r="AL38" i="8"/>
  <c r="E24" i="9" s="1"/>
  <c r="E37" i="9" s="1"/>
  <c r="AF55" i="8"/>
  <c r="F59" i="9" s="1"/>
  <c r="AN6" i="8"/>
  <c r="AC52" i="8" s="1"/>
  <c r="AF52" i="8"/>
  <c r="F57" i="9" s="1"/>
  <c r="AK34" i="8"/>
  <c r="B21" i="9" s="1"/>
  <c r="D21" i="9" s="1"/>
  <c r="AE61" i="8"/>
  <c r="AJ61" i="8" s="1"/>
  <c r="B57" i="9" s="1"/>
  <c r="D57" i="9" s="1"/>
  <c r="AK62" i="8"/>
  <c r="AE56" i="8"/>
  <c r="C60" i="9" s="1"/>
  <c r="AC62" i="8"/>
  <c r="AL71" i="8" s="1"/>
  <c r="AL47" i="8"/>
  <c r="J8" i="9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E34" i="9" s="1"/>
  <c r="G34" i="9" s="1"/>
  <c r="AK41" i="8"/>
  <c r="B27" i="9" s="1"/>
  <c r="B40" i="9" s="1"/>
  <c r="AK40" i="8"/>
  <c r="B26" i="9" s="1"/>
  <c r="B39" i="9" s="1"/>
  <c r="D39" i="9" s="1"/>
  <c r="F21" i="9"/>
  <c r="AN24" i="8"/>
  <c r="AC64" i="8" s="1"/>
  <c r="AK39" i="8"/>
  <c r="B25" i="9" s="1"/>
  <c r="D25" i="9" s="1"/>
  <c r="AN8" i="8"/>
  <c r="AA35" i="8"/>
  <c r="AN10" i="8"/>
  <c r="AC55" i="8" s="1"/>
  <c r="F24" i="9"/>
  <c r="F37" i="9" s="1"/>
  <c r="AN9" i="8"/>
  <c r="AL49" i="8" s="1"/>
  <c r="AK37" i="8"/>
  <c r="B23" i="9" s="1"/>
  <c r="B36" i="9" s="1"/>
  <c r="D36" i="9" s="1"/>
  <c r="AA39" i="8"/>
  <c r="AL34" i="8"/>
  <c r="E21" i="9" s="1"/>
  <c r="AN12" i="8"/>
  <c r="AL52" i="8" s="1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E38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G25" i="9" l="1"/>
  <c r="AC54" i="8"/>
  <c r="G38" i="9"/>
  <c r="G20" i="9"/>
  <c r="AL73" i="8"/>
  <c r="AL50" i="8"/>
  <c r="AK61" i="8"/>
  <c r="E57" i="9" s="1"/>
  <c r="G57" i="9" s="1"/>
  <c r="AL46" i="8"/>
  <c r="AC61" i="8"/>
  <c r="AL70" i="8" s="1"/>
  <c r="AC56" i="8"/>
  <c r="AC65" i="8"/>
  <c r="AL51" i="8"/>
  <c r="AC66" i="8"/>
  <c r="AL53" i="8"/>
  <c r="AJ63" i="8"/>
  <c r="B58" i="9" s="1"/>
  <c r="D58" i="9" s="1"/>
  <c r="AK64" i="8"/>
  <c r="E59" i="9" s="1"/>
  <c r="G59" i="9" s="1"/>
  <c r="AC63" i="8"/>
  <c r="AL72" i="8" s="1"/>
  <c r="AL48" i="8"/>
  <c r="D40" i="9"/>
  <c r="AC60" i="8"/>
  <c r="AJ66" i="8"/>
  <c r="B61" i="9" s="1"/>
  <c r="C61" i="9"/>
  <c r="AL45" i="8"/>
  <c r="AJ65" i="8"/>
  <c r="B60" i="9" s="1"/>
  <c r="D60" i="9" s="1"/>
  <c r="AC57" i="8"/>
  <c r="C56" i="9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L74" i="8" l="1"/>
  <c r="D61" i="9"/>
  <c r="AL75" i="8"/>
  <c r="AC51" i="8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21" i="3"/>
  <c r="AF53" i="3" s="1"/>
  <c r="AD21" i="3"/>
  <c r="AE53" i="3" s="1"/>
  <c r="AJ62" i="3" s="1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H60" i="3" s="1"/>
  <c r="AI20" i="3"/>
  <c r="AH61" i="3" s="1"/>
  <c r="AH62" i="3"/>
  <c r="AH63" i="3"/>
  <c r="AI24" i="3"/>
  <c r="AI25" i="3"/>
  <c r="AI26" i="3"/>
  <c r="AI27" i="3"/>
  <c r="AI28" i="3"/>
  <c r="AH66" i="3" s="1"/>
  <c r="AI18" i="3"/>
  <c r="AG19" i="3"/>
  <c r="AG27" i="3"/>
  <c r="AI5" i="3"/>
  <c r="AI6" i="3"/>
  <c r="AH53" i="3"/>
  <c r="AM62" i="3" s="1"/>
  <c r="AI8" i="3"/>
  <c r="AI9" i="3"/>
  <c r="AI10" i="3"/>
  <c r="AI11" i="3"/>
  <c r="AI12" i="3"/>
  <c r="L26" i="2" s="1"/>
  <c r="L39" i="2" s="1"/>
  <c r="M39" i="2" s="1"/>
  <c r="AI14" i="3"/>
  <c r="AK4" i="3"/>
  <c r="AH4" i="3" s="1"/>
  <c r="AH65" i="3" l="1"/>
  <c r="AH64" i="3"/>
  <c r="L22" i="2"/>
  <c r="L35" i="2" s="1"/>
  <c r="M35" i="2" s="1"/>
  <c r="AH54" i="3"/>
  <c r="L27" i="2"/>
  <c r="L40" i="2" s="1"/>
  <c r="M40" i="2" s="1"/>
  <c r="AH57" i="3"/>
  <c r="AN35" i="3"/>
  <c r="L21" i="2"/>
  <c r="AH52" i="3"/>
  <c r="L58" i="2" s="1"/>
  <c r="L20" i="2"/>
  <c r="AH51" i="3"/>
  <c r="L25" i="2"/>
  <c r="L38" i="2" s="1"/>
  <c r="M38" i="2" s="1"/>
  <c r="AH56" i="3"/>
  <c r="L24" i="2"/>
  <c r="L37" i="2" s="1"/>
  <c r="M37" i="2" s="1"/>
  <c r="AH55" i="3"/>
  <c r="AM4" i="3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60" i="2" l="1"/>
  <c r="AM64" i="3"/>
  <c r="K60" i="2" s="1"/>
  <c r="AM65" i="3"/>
  <c r="K61" i="2" s="1"/>
  <c r="L61" i="2"/>
  <c r="L62" i="2"/>
  <c r="AM66" i="3"/>
  <c r="K62" i="2" s="1"/>
  <c r="AM61" i="3"/>
  <c r="K58" i="2" s="1"/>
  <c r="M58" i="2" s="1"/>
  <c r="AM63" i="3"/>
  <c r="K59" i="2" s="1"/>
  <c r="M59" i="2" s="1"/>
  <c r="L59" i="2"/>
  <c r="AM60" i="3"/>
  <c r="K57" i="2" s="1"/>
  <c r="L57" i="2"/>
  <c r="L4" i="2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M60" i="2" l="1"/>
  <c r="M62" i="2"/>
  <c r="M61" i="2"/>
  <c r="M57" i="2"/>
  <c r="AH56" i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C47" i="3"/>
  <c r="AJ5" i="3"/>
  <c r="AK5" i="3"/>
  <c r="AH5" i="3" s="1"/>
  <c r="AG51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7" i="3"/>
  <c r="AF62" i="3" s="1"/>
  <c r="AK62" i="3" s="1"/>
  <c r="AK20" i="3"/>
  <c r="AC35" i="3"/>
  <c r="AK19" i="3"/>
  <c r="AC34" i="3"/>
  <c r="AK18" i="3"/>
  <c r="AK14" i="3"/>
  <c r="AH14" i="3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AE11" i="3"/>
  <c r="AK10" i="3"/>
  <c r="AH10" i="3" s="1"/>
  <c r="AG55" i="3" s="1"/>
  <c r="AJ10" i="3"/>
  <c r="AA39" i="3"/>
  <c r="AK9" i="3"/>
  <c r="AH9" i="3" s="1"/>
  <c r="AJ9" i="3"/>
  <c r="AA38" i="3"/>
  <c r="AJ8" i="3"/>
  <c r="AA37" i="3"/>
  <c r="AK7" i="3"/>
  <c r="AJ7" i="3"/>
  <c r="AA36" i="3"/>
  <c r="AK6" i="3"/>
  <c r="AH6" i="3" s="1"/>
  <c r="AG52" i="3" s="1"/>
  <c r="AJ6" i="3"/>
  <c r="AA35" i="3"/>
  <c r="AA34" i="3"/>
  <c r="AN24" i="3" l="1"/>
  <c r="I60" i="2"/>
  <c r="I57" i="2"/>
  <c r="AL61" i="3"/>
  <c r="H58" i="2" s="1"/>
  <c r="I58" i="2"/>
  <c r="I27" i="2"/>
  <c r="I40" i="2" s="1"/>
  <c r="J40" i="2" s="1"/>
  <c r="AN14" i="3"/>
  <c r="AN7" i="3"/>
  <c r="AG53" i="3"/>
  <c r="I25" i="2"/>
  <c r="I38" i="2" s="1"/>
  <c r="J38" i="2" s="1"/>
  <c r="AG56" i="3"/>
  <c r="AG54" i="3"/>
  <c r="AG57" i="3"/>
  <c r="AM7" i="3"/>
  <c r="AM11" i="3"/>
  <c r="AG62" i="3"/>
  <c r="AL62" i="3" s="1"/>
  <c r="AG26" i="3"/>
  <c r="AG20" i="3"/>
  <c r="AC42" i="3"/>
  <c r="AL40" i="3"/>
  <c r="E26" i="2" s="1"/>
  <c r="AH19" i="3"/>
  <c r="AG60" i="3" s="1"/>
  <c r="AL60" i="3" s="1"/>
  <c r="H57" i="2" s="1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G28" i="3"/>
  <c r="AD43" i="3" s="1"/>
  <c r="AC40" i="3"/>
  <c r="AL38" i="3"/>
  <c r="E24" i="2" s="1"/>
  <c r="G24" i="2" s="1"/>
  <c r="AH28" i="3"/>
  <c r="AG66" i="3" s="1"/>
  <c r="AG23" i="3"/>
  <c r="I22" i="2"/>
  <c r="I35" i="2" s="1"/>
  <c r="J35" i="2" s="1"/>
  <c r="AN8" i="3"/>
  <c r="AH26" i="3"/>
  <c r="AN26" i="3" s="1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C36" i="3"/>
  <c r="AL35" i="3"/>
  <c r="AD36" i="3"/>
  <c r="I21" i="2"/>
  <c r="AN6" i="3"/>
  <c r="AM14" i="3"/>
  <c r="AB43" i="3"/>
  <c r="AH23" i="3"/>
  <c r="AM8" i="3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C53" i="3" l="1"/>
  <c r="AN25" i="3"/>
  <c r="J58" i="2"/>
  <c r="AG65" i="3"/>
  <c r="AG64" i="3"/>
  <c r="AL64" i="3" s="1"/>
  <c r="H60" i="2" s="1"/>
  <c r="J60" i="2" s="1"/>
  <c r="AM36" i="3"/>
  <c r="H22" i="2" s="1"/>
  <c r="J22" i="2" s="1"/>
  <c r="AG63" i="3"/>
  <c r="AL63" i="3" s="1"/>
  <c r="H59" i="2" s="1"/>
  <c r="J59" i="2" s="1"/>
  <c r="I62" i="2"/>
  <c r="AL66" i="3"/>
  <c r="H62" i="2" s="1"/>
  <c r="I59" i="2"/>
  <c r="I61" i="2"/>
  <c r="AL65" i="3"/>
  <c r="H61" i="2" s="1"/>
  <c r="J57" i="2"/>
  <c r="AC55" i="3"/>
  <c r="I72" i="2"/>
  <c r="I70" i="9"/>
  <c r="AL50" i="3"/>
  <c r="AC56" i="3"/>
  <c r="I71" i="9"/>
  <c r="I73" i="2"/>
  <c r="I72" i="9"/>
  <c r="I74" i="2"/>
  <c r="AC51" i="3"/>
  <c r="I66" i="9"/>
  <c r="I68" i="2"/>
  <c r="AC54" i="3"/>
  <c r="I70" i="2"/>
  <c r="I68" i="9"/>
  <c r="I71" i="2"/>
  <c r="I69" i="9"/>
  <c r="AC52" i="3"/>
  <c r="I67" i="9"/>
  <c r="I69" i="2"/>
  <c r="AC57" i="3"/>
  <c r="I73" i="9"/>
  <c r="I75" i="2"/>
  <c r="AC64" i="3"/>
  <c r="AL73" i="3" s="1"/>
  <c r="G25" i="2"/>
  <c r="AN27" i="3"/>
  <c r="AC65" i="3" s="1"/>
  <c r="J24" i="2"/>
  <c r="AB39" i="3"/>
  <c r="AN19" i="3"/>
  <c r="AM19" i="3"/>
  <c r="AB42" i="3"/>
  <c r="G26" i="2"/>
  <c r="AB38" i="3"/>
  <c r="AL51" i="3"/>
  <c r="AM5" i="3"/>
  <c r="AB35" i="3"/>
  <c r="AN22" i="3"/>
  <c r="AM25" i="3"/>
  <c r="AM20" i="3"/>
  <c r="AB34" i="3"/>
  <c r="AM34" i="3"/>
  <c r="H21" i="2" s="1"/>
  <c r="J21" i="2" s="1"/>
  <c r="AN20" i="3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M35" i="3"/>
  <c r="J61" i="2" l="1"/>
  <c r="J62" i="2"/>
  <c r="AL74" i="3"/>
  <c r="AC66" i="3"/>
  <c r="AL75" i="3" s="1"/>
  <c r="AL53" i="3"/>
  <c r="AL48" i="3"/>
  <c r="AC63" i="3"/>
  <c r="AB81" i="2"/>
  <c r="AC81" i="2" s="1"/>
  <c r="AB81" i="9"/>
  <c r="AC81" i="9" s="1"/>
  <c r="AB78" i="2"/>
  <c r="AC78" i="2" s="1"/>
  <c r="AB78" i="9"/>
  <c r="AC78" i="9" s="1"/>
  <c r="AB80" i="9"/>
  <c r="AC80" i="9" s="1"/>
  <c r="AB80" i="2"/>
  <c r="AC80" i="2" s="1"/>
  <c r="H72" i="2"/>
  <c r="J72" i="2" s="1"/>
  <c r="H70" i="9"/>
  <c r="J70" i="9" s="1"/>
  <c r="H71" i="9"/>
  <c r="J71" i="9" s="1"/>
  <c r="H73" i="2"/>
  <c r="J73" i="2" s="1"/>
  <c r="AL46" i="3"/>
  <c r="AC61" i="3"/>
  <c r="AB76" i="9"/>
  <c r="AC76" i="9" s="1"/>
  <c r="AB76" i="2"/>
  <c r="AC76" i="2" s="1"/>
  <c r="H69" i="9"/>
  <c r="J69" i="9" s="1"/>
  <c r="H71" i="2"/>
  <c r="J71" i="2" s="1"/>
  <c r="AL52" i="3"/>
  <c r="AB79" i="9"/>
  <c r="AC79" i="9" s="1"/>
  <c r="AB79" i="2"/>
  <c r="AC79" i="2" s="1"/>
  <c r="AL45" i="3"/>
  <c r="AC60" i="3"/>
  <c r="AL69" i="3" s="1"/>
  <c r="AB77" i="9"/>
  <c r="AC77" i="9" s="1"/>
  <c r="AL47" i="3"/>
  <c r="AC62" i="3"/>
  <c r="AL71" i="3" s="1"/>
  <c r="M14" i="2"/>
  <c r="H68" i="2" l="1"/>
  <c r="J68" i="2" s="1"/>
  <c r="H66" i="9"/>
  <c r="J66" i="9" s="1"/>
  <c r="H74" i="2"/>
  <c r="J74" i="2" s="1"/>
  <c r="H72" i="9"/>
  <c r="J72" i="9" s="1"/>
  <c r="H67" i="9"/>
  <c r="J67" i="9" s="1"/>
  <c r="H69" i="2"/>
  <c r="J69" i="2" s="1"/>
  <c r="H68" i="9"/>
  <c r="J68" i="9" s="1"/>
  <c r="H70" i="2"/>
  <c r="J70" i="2" s="1"/>
  <c r="H73" i="9"/>
  <c r="J73" i="9" s="1"/>
  <c r="H75" i="2"/>
  <c r="J75" i="2" s="1"/>
  <c r="AC40" i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<sst xmlns="http://schemas.openxmlformats.org/spreadsheetml/2006/main" count="2847" uniqueCount="215">
  <si>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</si>
  <si>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</si>
  <si>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</si>
  <si>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</si>
  <si>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</si>
  <si>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</si>
  <si>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</si>
  <si>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</si>
  <si>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</si>
  <si>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</si>
  <si>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</si>
  <si>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</si>
  <si>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</si>
  <si>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</si>
  <si>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</si>
  <si>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</si>
  <si>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</si>
  <si>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</si>
  <si>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</si>
  <si>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</si>
  <si>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</si>
  <si>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</si>
  <si>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</si>
  <si>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</si>
  <si>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</si>
  <si>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</si>
  <si>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</si>
  <si>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</si>
  <si>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</si>
  <si>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</si>
  <si>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</si>
  <si>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</si>
  <si>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</si>
  <si>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</si>
  <si>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</si>
  <si>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</si>
  <si>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</si>
  <si>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</si>
  <si>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</si>
  <si>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</si>
  <si>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</si>
  <si>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</si>
  <si>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</si>
  <si>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</si>
  <si>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</si>
  <si>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</si>
  <si>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</si>
  <si>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</si>
  <si>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</si>
  <si>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</si>
  <si>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</si>
  <si>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</si>
  <si>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</si>
  <si>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</si>
  <si>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</si>
  <si>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</si>
  <si>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</si>
  <si>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</si>
  <si>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</si>
  <si>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</si>
  <si>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</si>
  <si>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</si>
  <si>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</si>
  <si>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</si>
  <si>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</si>
  <si>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</si>
  <si>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</si>
  <si>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</si>
  <si>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</si>
  <si>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</si>
  <si>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</si>
  <si>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</si>
  <si>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</si>
  <si>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</si>
  <si>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</si>
  <si>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</si>
  <si>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</si>
  <si>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</si>
  <si>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</si>
  <si>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</si>
  <si>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</si>
  <si>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</si>
  <si>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</si>
  <si>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</si>
  <si>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</si>
  <si>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</si>
  <si>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</si>
  <si>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</si>
  <si>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</si>
  <si>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</si>
  <si>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</si>
  <si>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</si>
  <si>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</si>
  <si>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</si>
  <si>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</si>
  <si>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</si>
  <si>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</si>
  <si>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</si>
  <si>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</si>
  <si>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</si>
  <si>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</si>
  <si>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</si>
  <si>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</si>
  <si>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</si>
  <si>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</si>
  <si>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</si>
  <si>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</si>
  <si>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</si>
  <si>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</si>
  <si>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</si>
  <si>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</si>
  <si>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</si>
  <si>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</si>
  <si>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</si>
  <si>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</si>
  <si>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</si>
  <si>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</si>
  <si>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</si>
  <si>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</si>
  <si>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</si>
  <si>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</si>
  <si>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</si>
  <si>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</si>
  <si>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</si>
  <si>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</si>
  <si>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</si>
  <si>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</si>
  <si>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</si>
  <si>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</si>
  <si>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</si>
  <si>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</si>
  <si>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</si>
  <si>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</si>
  <si>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</si>
  <si>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</si>
  <si>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</si>
  <si>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</si>
  <si>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</si>
  <si>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</si>
  <si>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</si>
  <si>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</si>
  <si>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</si>
  <si>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</si>
  <si>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</si>
  <si>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</si>
  <si>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</si>
  <si>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</si>
  <si>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</si>
  <si>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</si>
  <si>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</si>
  <si>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</si>
  <si>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</si>
  <si>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</si>
  <si>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</si>
  <si>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</si>
  <si>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</si>
  <si>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</si>
  <si>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</si>
  <si>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</si>
  <si>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</si>
  <si>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</si>
  <si>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</si>
  <si>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</si>
  <si>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</si>
  <si>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</si>
  <si>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</si>
  <si>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</si>
  <si>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</si>
  <si>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</si>
  <si>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</si>
  <si>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</si>
  <si>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</si>
  <si>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</si>
  <si>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</si>
  <si>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</si>
  <si>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</si>
  <si>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</si>
  <si>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</si>
  <si>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</si>
  <si>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</si>
  <si>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</si>
  <si>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</si>
  <si>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</si>
  <si>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</si>
  <si>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</si>
  <si>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</si>
  <si>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</si>
  <si>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</si>
  <si>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</si>
  <si>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Total Sediment</t>
  </si>
  <si>
    <t>OPEN/CLOSED RATIO</t>
  </si>
  <si>
    <t>Spring</t>
  </si>
  <si>
    <t>Summer</t>
  </si>
  <si>
    <t>SM CLOSED</t>
  </si>
  <si>
    <t>SM OPEN</t>
  </si>
  <si>
    <t>Avg</t>
  </si>
  <si>
    <t>Std</t>
  </si>
  <si>
    <t>SPRING</t>
  </si>
  <si>
    <t xml:space="preserve">Low </t>
  </si>
  <si>
    <t>Upper</t>
  </si>
  <si>
    <t>Threshold (2SD)</t>
  </si>
  <si>
    <t xml:space="preserve">AVERAGE OPEN/CLOSED RATIOS </t>
  </si>
  <si>
    <t>Q1</t>
  </si>
  <si>
    <t>Q3</t>
  </si>
  <si>
    <t>IQR</t>
  </si>
  <si>
    <t>Threshold (IQR)</t>
  </si>
  <si>
    <t>Total Sed</t>
  </si>
  <si>
    <t>Both Seasons Combined</t>
  </si>
  <si>
    <t>BOTH</t>
  </si>
  <si>
    <t>`</t>
  </si>
  <si>
    <t>Threshold (3SD)</t>
  </si>
  <si>
    <t>Avg Clay - Summer</t>
  </si>
  <si>
    <t>total summer - no outlier</t>
  </si>
  <si>
    <t>Total summer (trap pairs) - no outlier</t>
  </si>
  <si>
    <t>Total spring (trap pairs) - no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</si>
</sst>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1" fillId="51" borderId="7" xfId="0" applyFont="1" applyFill="1" applyBorder="1"/>
    <xf numFmtId="0" fontId="1" fillId="52" borderId="7" xfId="0" applyFont="1" applyFill="1" applyBorder="1"/>
    <xf numFmtId="0" fontId="1" fillId="32" borderId="7" xfId="0" applyFont="1" applyFill="1" applyBorder="1"/>
    <xf numFmtId="0" fontId="0" fillId="0" borderId="41" xfId="0" applyBorder="1" applyAlignment="1">
      <alignment horizontal="center"/>
    </xf>
    <xf numFmtId="0" fontId="0" fillId="0" borderId="0" xfId="0" applyAlignment="1">
      <alignment horizontal="left"/>
    </xf>
    <xf numFmtId="164" fontId="0" fillId="15" borderId="11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4" fontId="9" fillId="15" borderId="11" xfId="0" applyNumberFormat="1" applyFont="1" applyFill="1" applyBorder="1" applyAlignment="1">
      <alignment horizontal="center"/>
    </xf>
    <xf numFmtId="164" fontId="9" fillId="52" borderId="11" xfId="0" applyNumberFormat="1" applyFont="1" applyFill="1" applyBorder="1" applyAlignment="1">
      <alignment horizontal="center"/>
    </xf>
    <xf numFmtId="164" fontId="0" fillId="52" borderId="11" xfId="0" applyNumberFormat="1" applyFill="1" applyBorder="1" applyAlignment="1">
      <alignment horizontal="center"/>
    </xf>
    <xf numFmtId="164" fontId="5" fillId="15" borderId="11" xfId="0" applyNumberFormat="1" applyFont="1" applyFill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10" fillId="52" borderId="11" xfId="0" applyNumberFormat="1" applyFont="1" applyFill="1" applyBorder="1" applyAlignment="1">
      <alignment horizontal="center"/>
    </xf>
    <xf numFmtId="0" fontId="0" fillId="17" borderId="7" xfId="0" applyFill="1" applyBorder="1"/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0" xfId="0" applyFont="1" applyAlignment="1">
      <alignment horizontal="center"/>
    </xf>
    <xf numFmtId="0" fontId="5" fillId="5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0.71701174606419926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0.71701174606419926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18.099126508969356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18.099126508969356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0.25528328492852637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Regression!$K$67:$K$75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Regression!$J$67:$J$75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Regression!$K$79:$K$89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Regression!$J$79:$J$89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1115414635978"/>
                  <c:y val="-0.37400338598124128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0.25528328492852637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422206388688605"/>
                  <c:y val="0.555911344415281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Regression!$D$104:$D$110</c:f>
              <c:numCache>
                <c:formatCode>0.000</c:formatCode>
                <c:ptCount val="7"/>
                <c:pt idx="0">
                  <c:v>-0.25646381521666273</c:v>
                </c:pt>
                <c:pt idx="1">
                  <c:v>-0.32648441197031308</c:v>
                </c:pt>
                <c:pt idx="2">
                  <c:v>-0.29959904314100966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-5.2460135362221633E-2</c:v>
                </c:pt>
              </c:numCache>
            </c:numRef>
          </c:xVal>
          <c:yVal>
            <c:numRef>
              <c:f>Regression!$E$104:$E$110</c:f>
              <c:numCache>
                <c:formatCode>General</c:formatCode>
                <c:ptCount val="7"/>
                <c:pt idx="0">
                  <c:v>-0.237849</c:v>
                </c:pt>
                <c:pt idx="1">
                  <c:v>-0.32194299999999998</c:v>
                </c:pt>
                <c:pt idx="2">
                  <c:v>-0.30451899999999998</c:v>
                </c:pt>
                <c:pt idx="3">
                  <c:v>9.8871000000000001E-2</c:v>
                </c:pt>
                <c:pt idx="4">
                  <c:v>-5.1068000000000002E-2</c:v>
                </c:pt>
                <c:pt idx="5">
                  <c:v>-0.120591</c:v>
                </c:pt>
                <c:pt idx="6">
                  <c:v>-5.0699000000000001E-2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4E7-9CF6-A330B9F82A94}"/>
            </c:ext>
          </c:extLst>
        </c:ser>
        <c:ser>
          <c:idx val="1"/>
          <c:order val="1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71489156027284"/>
                  <c:y val="0.54272637795275591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Regression!$D$94:$D$100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Regression!$E$94:$E$100</c:f>
              <c:numCache>
                <c:formatCode>General</c:formatCode>
                <c:ptCount val="7"/>
                <c:pt idx="0">
                  <c:v>0.19070799999999999</c:v>
                </c:pt>
                <c:pt idx="1">
                  <c:v>-0.320243</c:v>
                </c:pt>
                <c:pt idx="2">
                  <c:v>-0.11450399999999999</c:v>
                </c:pt>
                <c:pt idx="3">
                  <c:v>6.1934000000000003E-2</c:v>
                </c:pt>
                <c:pt idx="4">
                  <c:v>-3.3806000000000003E-2</c:v>
                </c:pt>
                <c:pt idx="5">
                  <c:v>-0.162573</c:v>
                </c:pt>
                <c:pt idx="6">
                  <c:v>-3.3625000000000002E-2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1-44E7-9CF6-A330B9F82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214623"/>
        <c:axId val="1165222303"/>
      </c:scatterChart>
      <c:valAx>
        <c:axId val="11652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222303"/>
        <c:crosses val="autoZero"/>
        <c:crossBetween val="midCat"/>
      </c:valAx>
      <c:valAx>
        <c:axId val="11652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2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10" Type="http://schemas.openxmlformats.org/officeDocument/2006/relationships/chart" Target="../charts/chart35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521390</xdr:colOff>
      <xdr:row>19</xdr:row>
      <xdr:rowOff>45140</xdr:rowOff>
    </xdr:from>
    <xdr:to>
      <xdr:col>26</xdr:col>
      <xdr:colOff>628090</xdr:colOff>
      <xdr:row>37</xdr:row>
      <xdr:rowOff>45185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571500</xdr:colOff>
      <xdr:row>112</xdr:row>
      <xdr:rowOff>4762</xdr:rowOff>
    </xdr:from>
    <xdr:to>
      <xdr:col>4</xdr:col>
      <xdr:colOff>785812</xdr:colOff>
      <xdr:row>126</xdr:row>
      <xdr:rowOff>52387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DBB2CFF-15B3-159C-66C1-AD9556183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AA1" zoomScale="115" zoomScaleNormal="115" workbookViewId="0">
      <selection activeCell="AE6" sqref="AE6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5" t="s">
        <v>122</v>
      </c>
      <c r="AH1" s="525" t="s">
        <v>57</v>
      </c>
      <c r="AI1" s="525" t="s">
        <v>52</v>
      </c>
      <c r="AJ1" s="525" t="s">
        <v>121</v>
      </c>
      <c r="AK1" s="519" t="s">
        <v>57</v>
      </c>
      <c r="AL1" s="519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22" t="s">
        <v>25</v>
      </c>
      <c r="AC2" s="523"/>
      <c r="AD2" s="526" t="s">
        <v>58</v>
      </c>
      <c r="AE2" s="526"/>
      <c r="AF2" s="97" t="s">
        <v>97</v>
      </c>
      <c r="AG2" s="527"/>
      <c r="AH2" s="525"/>
      <c r="AI2" s="525"/>
      <c r="AJ2" s="525"/>
      <c r="AK2" s="519"/>
      <c r="AL2" s="519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x14ac:dyDescent="0.2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5" t="s">
        <v>122</v>
      </c>
      <c r="AH16" s="525" t="s">
        <v>57</v>
      </c>
      <c r="AI16" s="525" t="s">
        <v>52</v>
      </c>
      <c r="AJ16" s="525" t="s">
        <v>56</v>
      </c>
      <c r="AK16" s="519" t="s">
        <v>57</v>
      </c>
      <c r="AL16" s="519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22" t="s">
        <v>40</v>
      </c>
      <c r="AC17" s="524"/>
      <c r="AD17" s="526" t="s">
        <v>58</v>
      </c>
      <c r="AE17" s="526"/>
      <c r="AF17" s="97" t="s">
        <v>97</v>
      </c>
      <c r="AG17" s="527"/>
      <c r="AH17" s="525"/>
      <c r="AI17" s="525"/>
      <c r="AJ17" s="525"/>
      <c r="AK17" s="519"/>
      <c r="AL17" s="519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2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20" t="s">
        <v>25</v>
      </c>
      <c r="AB32" s="520"/>
      <c r="AC32" s="521" t="s">
        <v>40</v>
      </c>
      <c r="AD32" s="521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26" t="s">
        <v>136</v>
      </c>
      <c r="AC49" s="526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34" t="s">
        <v>1</v>
      </c>
      <c r="C55" s="535"/>
      <c r="D55" s="535"/>
      <c r="E55" s="535"/>
      <c r="F55" s="536"/>
      <c r="G55" s="534" t="s">
        <v>2</v>
      </c>
      <c r="H55" s="535"/>
      <c r="I55" s="535"/>
      <c r="J55" s="535"/>
      <c r="K55" s="536"/>
      <c r="L55" s="534" t="s">
        <v>3</v>
      </c>
      <c r="M55" s="535"/>
      <c r="N55" s="535"/>
      <c r="O55" s="535"/>
      <c r="P55" s="536"/>
      <c r="Q55" s="534" t="s">
        <v>4</v>
      </c>
      <c r="R55" s="535"/>
      <c r="S55" s="535"/>
      <c r="T55" s="535"/>
      <c r="U55" s="536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22" t="s">
        <v>139</v>
      </c>
      <c r="AC58" s="524"/>
      <c r="AI58" s="537" t="s">
        <v>141</v>
      </c>
      <c r="AJ58" s="537"/>
      <c r="AK58" s="537"/>
      <c r="AL58" s="537"/>
      <c r="AM58" s="537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528" t="s">
        <v>5</v>
      </c>
      <c r="C70" s="529"/>
      <c r="D70" s="529"/>
      <c r="E70" s="529"/>
      <c r="F70" s="530"/>
      <c r="G70" s="528" t="s">
        <v>6</v>
      </c>
      <c r="H70" s="529"/>
      <c r="I70" s="529"/>
      <c r="J70" s="529"/>
      <c r="K70" s="530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31" t="s">
        <v>7</v>
      </c>
      <c r="C85" s="532"/>
      <c r="D85" s="532"/>
      <c r="E85" s="532"/>
      <c r="F85" s="533"/>
      <c r="G85" s="531" t="s">
        <v>8</v>
      </c>
      <c r="H85" s="532"/>
      <c r="I85" s="532"/>
      <c r="J85" s="532"/>
      <c r="K85" s="533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38" t="s">
        <v>9</v>
      </c>
      <c r="C100" s="539"/>
      <c r="D100" s="539"/>
      <c r="E100" s="539"/>
      <c r="F100" s="540"/>
      <c r="G100" s="538" t="s">
        <v>10</v>
      </c>
      <c r="H100" s="539"/>
      <c r="I100" s="539"/>
      <c r="J100" s="539"/>
      <c r="K100" s="540"/>
      <c r="L100" s="541" t="s">
        <v>11</v>
      </c>
      <c r="M100" s="542"/>
      <c r="N100" s="542"/>
      <c r="O100" s="542"/>
      <c r="P100" s="543"/>
      <c r="Q100" s="538" t="s">
        <v>12</v>
      </c>
      <c r="R100" s="539"/>
      <c r="S100" s="539"/>
      <c r="T100" s="539"/>
      <c r="U100" s="540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44" t="s">
        <v>13</v>
      </c>
      <c r="C115" s="545"/>
      <c r="D115" s="545"/>
      <c r="E115" s="545"/>
      <c r="F115" s="546"/>
      <c r="G115" s="544" t="s">
        <v>14</v>
      </c>
      <c r="H115" s="545"/>
      <c r="I115" s="545"/>
      <c r="J115" s="545"/>
      <c r="K115" s="546"/>
      <c r="L115" s="547" t="s">
        <v>15</v>
      </c>
      <c r="M115" s="548"/>
      <c r="N115" s="548"/>
      <c r="O115" s="548"/>
      <c r="P115" s="549"/>
      <c r="Q115" s="544" t="s">
        <v>16</v>
      </c>
      <c r="R115" s="545"/>
      <c r="S115" s="545"/>
      <c r="T115" s="545"/>
      <c r="U115" s="546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528" t="s">
        <v>17</v>
      </c>
      <c r="C130" s="529"/>
      <c r="D130" s="529"/>
      <c r="E130" s="529"/>
      <c r="F130" s="530"/>
      <c r="G130" s="528" t="s">
        <v>18</v>
      </c>
      <c r="H130" s="529"/>
      <c r="I130" s="529"/>
      <c r="J130" s="529"/>
      <c r="K130" s="530"/>
      <c r="L130" s="550" t="s">
        <v>19</v>
      </c>
      <c r="M130" s="551"/>
      <c r="N130" s="551"/>
      <c r="O130" s="551"/>
      <c r="P130" s="552"/>
      <c r="Q130" s="528" t="s">
        <v>20</v>
      </c>
      <c r="R130" s="529"/>
      <c r="S130" s="529"/>
      <c r="T130" s="529"/>
      <c r="U130" s="530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53" t="s">
        <v>21</v>
      </c>
      <c r="C145" s="554"/>
      <c r="D145" s="554"/>
      <c r="E145" s="554"/>
      <c r="F145" s="555"/>
      <c r="G145" s="553" t="s">
        <v>22</v>
      </c>
      <c r="H145" s="554"/>
      <c r="I145" s="554"/>
      <c r="J145" s="554"/>
      <c r="K145" s="555"/>
      <c r="L145" s="556" t="s">
        <v>23</v>
      </c>
      <c r="M145" s="557"/>
      <c r="N145" s="557"/>
      <c r="O145" s="557"/>
      <c r="P145" s="55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77" workbookViewId="0">
      <selection activeCell="P90" sqref="P9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5" t="s">
        <v>122</v>
      </c>
      <c r="AH1" s="525" t="s">
        <v>57</v>
      </c>
      <c r="AI1" s="525" t="s">
        <v>52</v>
      </c>
      <c r="AJ1" s="525" t="s">
        <v>122</v>
      </c>
      <c r="AK1" s="525" t="s">
        <v>57</v>
      </c>
      <c r="AL1" s="52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22" t="s">
        <v>25</v>
      </c>
      <c r="AC2" s="523"/>
      <c r="AD2" s="526" t="s">
        <v>58</v>
      </c>
      <c r="AE2" s="526"/>
      <c r="AF2" s="97" t="s">
        <v>97</v>
      </c>
      <c r="AG2" s="525"/>
      <c r="AH2" s="525"/>
      <c r="AI2" s="525"/>
      <c r="AJ2" s="525"/>
      <c r="AK2" s="525"/>
      <c r="AL2" s="525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4.6359000000000004</v>
      </c>
      <c r="AC7" s="374"/>
      <c r="AD7" s="216">
        <f>SUM(H87:H89)</f>
        <v>0.54489999999999994</v>
      </c>
      <c r="AE7" s="216">
        <f>SUM(H90:H93)</f>
        <v>3.1219000000000001</v>
      </c>
      <c r="AF7" s="405">
        <v>2.6214</v>
      </c>
      <c r="AG7" s="213">
        <f>AF7*AJ7/100</f>
        <v>0.6861382550335573</v>
      </c>
      <c r="AH7" s="88">
        <f>AF7*AK7/100</f>
        <v>1.8215451250762664</v>
      </c>
      <c r="AI7" s="378">
        <f>AF7*AL7/100</f>
        <v>0.11371661989017695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2.6214000000000008</v>
      </c>
      <c r="AN7" s="412">
        <f>SUM(AD7:AE7,AH7:AI7)</f>
        <v>5.6020617449664432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5" t="s">
        <v>122</v>
      </c>
      <c r="AH15" s="525" t="s">
        <v>57</v>
      </c>
      <c r="AI15" s="525" t="s">
        <v>52</v>
      </c>
      <c r="AJ15" s="525" t="s">
        <v>122</v>
      </c>
      <c r="AK15" s="525" t="s">
        <v>57</v>
      </c>
      <c r="AL15" s="525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22" t="s">
        <v>40</v>
      </c>
      <c r="AC16" s="524"/>
      <c r="AD16" s="526" t="s">
        <v>58</v>
      </c>
      <c r="AE16" s="526"/>
      <c r="AF16" s="97" t="s">
        <v>97</v>
      </c>
      <c r="AG16" s="525"/>
      <c r="AH16" s="525"/>
      <c r="AI16" s="525"/>
      <c r="AJ16" s="525"/>
      <c r="AK16" s="525"/>
      <c r="AL16" s="525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>AF20*AK20/100</f>
        <v>3.9736376817212653</v>
      </c>
      <c r="AI20" s="378">
        <f t="shared" si="7"/>
        <v>0.23478451896362329</v>
      </c>
      <c r="AJ20" s="85">
        <f>SUM(H34:H46)</f>
        <v>24.720553078762034</v>
      </c>
      <c r="AK20" s="85">
        <f>SUM(H14:H33)</f>
        <v>71.079666602054658</v>
      </c>
      <c r="AL20" s="85">
        <v>4.1997803191832999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19.3034</v>
      </c>
      <c r="AC21" s="374"/>
      <c r="AD21" s="216">
        <f>SUM(C87:C89)</f>
        <v>4.3765000000000001</v>
      </c>
      <c r="AE21" s="216">
        <f>SUM(C90:C93)</f>
        <v>11.661999999999999</v>
      </c>
      <c r="AF21" s="221">
        <v>8.3796999999999997</v>
      </c>
      <c r="AG21" s="88">
        <f>AJ21*AF21/100</f>
        <v>0.71701174606419926</v>
      </c>
      <c r="AH21" s="88">
        <f>AF21*AK21/100</f>
        <v>7.1058690962993243</v>
      </c>
      <c r="AI21" s="378">
        <f>AF21*AL21/100</f>
        <v>0.55681915763647494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8.3796999999999979</v>
      </c>
      <c r="AN21" s="412">
        <f>SUM(AD21:AE21,AH21:AI21)</f>
        <v>23.701188253935797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>AF22*AL22/100</f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20" t="s">
        <v>25</v>
      </c>
      <c r="AB31" s="520"/>
      <c r="AC31" s="521" t="s">
        <v>40</v>
      </c>
      <c r="AD31" s="521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4.7747439937281033E-2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>AD7-AD21</f>
        <v>-3.8315999999999999</v>
      </c>
      <c r="AL35" s="239">
        <f>AE7-AE21</f>
        <v>-8.5400999999999989</v>
      </c>
      <c r="AM35" s="239">
        <f t="shared" si="12"/>
        <v>5.2843239712230581</v>
      </c>
      <c r="AN35" s="239">
        <f>AI21-AI7</f>
        <v>0.44310253774629799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>AE21</f>
        <v>11.661999999999999</v>
      </c>
      <c r="AB36" s="86">
        <f t="shared" si="14"/>
        <v>0.6861382550335573</v>
      </c>
      <c r="AC36" s="66">
        <f>AE7</f>
        <v>3.1219000000000001</v>
      </c>
      <c r="AD36" s="87">
        <f t="shared" si="9"/>
        <v>0.71701174606419926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AB7-AB21</f>
        <v>-14.6675</v>
      </c>
      <c r="AL47" s="222">
        <f t="shared" si="19"/>
        <v>18.099126508969356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26" t="s">
        <v>142</v>
      </c>
      <c r="AC49" s="526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4.6359000000000004</v>
      </c>
      <c r="AC53" s="85">
        <f>AN7</f>
        <v>5.6020617449664432</v>
      </c>
      <c r="AE53" s="85">
        <f>AD21</f>
        <v>4.3765000000000001</v>
      </c>
      <c r="AF53" s="85">
        <f>AE21</f>
        <v>11.661999999999999</v>
      </c>
      <c r="AG53" s="85">
        <f>AH7</f>
        <v>1.8215451250762664</v>
      </c>
      <c r="AH53" s="85">
        <f>AI7</f>
        <v>0.11371661989017695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2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62" t="s">
        <v>1</v>
      </c>
      <c r="C55" s="563"/>
      <c r="D55" s="563"/>
      <c r="E55" s="563"/>
      <c r="F55" s="564"/>
      <c r="G55" s="562" t="s">
        <v>2</v>
      </c>
      <c r="H55" s="563"/>
      <c r="I55" s="563"/>
      <c r="J55" s="563"/>
      <c r="K55" s="564"/>
      <c r="L55" s="562" t="s">
        <v>3</v>
      </c>
      <c r="M55" s="563"/>
      <c r="N55" s="563"/>
      <c r="O55" s="563"/>
      <c r="P55" s="564"/>
      <c r="Q55" s="562" t="s">
        <v>4</v>
      </c>
      <c r="R55" s="563"/>
      <c r="S55" s="563"/>
      <c r="T55" s="563"/>
      <c r="U55" s="564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3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4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5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22" t="s">
        <v>143</v>
      </c>
      <c r="AC58" s="524"/>
      <c r="AI58" s="537" t="s">
        <v>141</v>
      </c>
      <c r="AJ58" s="537"/>
      <c r="AK58" s="537"/>
      <c r="AL58" s="537"/>
      <c r="AM58" s="537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6">AF60-AF51</f>
        <v>3.428090000000001</v>
      </c>
      <c r="AL60" s="239">
        <f t="shared" si="26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7">AVERAGE(AE20)</f>
        <v>6.6124999999999998</v>
      </c>
      <c r="AG61" s="85">
        <f>AVERAGE(AH20)</f>
        <v>3.9736376817212653</v>
      </c>
      <c r="AH61" s="85">
        <f>AVERAGE(AI20)</f>
        <v>0.23478451896362329</v>
      </c>
      <c r="AI61" s="61" t="s">
        <v>107</v>
      </c>
      <c r="AJ61" s="239">
        <f t="shared" ref="AJ61:AJ65" si="28">AE61-AE52</f>
        <v>4.7496999999999998</v>
      </c>
      <c r="AK61" s="239">
        <f t="shared" si="26"/>
        <v>-0.38919999999999977</v>
      </c>
      <c r="AL61" s="239">
        <f t="shared" si="26"/>
        <v>0.77072804517574856</v>
      </c>
      <c r="AM61" s="239">
        <f t="shared" si="26"/>
        <v>4.7747439937281033E-2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19.3034</v>
      </c>
      <c r="AC62" s="85">
        <f>AVERAGE(AN21)</f>
        <v>23.701188253935797</v>
      </c>
      <c r="AE62" s="85">
        <f>AVERAGE(AD7)</f>
        <v>0.54489999999999994</v>
      </c>
      <c r="AF62" s="85">
        <f>AVERAGE(AE7)</f>
        <v>3.1219000000000001</v>
      </c>
      <c r="AG62" s="85">
        <f>AVERAGE(AH21)</f>
        <v>7.1058690962993243</v>
      </c>
      <c r="AH62" s="85">
        <f>AVERAGE(AI21)</f>
        <v>0.55681915763647494</v>
      </c>
      <c r="AI62" s="63" t="s">
        <v>108</v>
      </c>
      <c r="AJ62" s="239">
        <f>AE62-AE53</f>
        <v>-3.8315999999999999</v>
      </c>
      <c r="AK62" s="239">
        <f t="shared" si="26"/>
        <v>-8.5400999999999989</v>
      </c>
      <c r="AL62" s="239">
        <f t="shared" si="26"/>
        <v>5.2843239712230581</v>
      </c>
      <c r="AM62" s="239">
        <f t="shared" si="26"/>
        <v>0.44310253774629799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29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-3.2263500000000001</v>
      </c>
      <c r="AK63" s="239">
        <f t="shared" si="26"/>
        <v>-2.091899999999999</v>
      </c>
      <c r="AL63" s="239">
        <f t="shared" si="26"/>
        <v>-0.3989000650117589</v>
      </c>
      <c r="AM63" s="239">
        <f t="shared" si="26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0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-4.1578999999999997</v>
      </c>
      <c r="AK64" s="239">
        <f t="shared" si="26"/>
        <v>1.5092999999999996</v>
      </c>
      <c r="AL64" s="239">
        <f t="shared" si="26"/>
        <v>1.4359332002046834</v>
      </c>
      <c r="AM64" s="239">
        <f t="shared" si="26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1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-1.4093499999999999</v>
      </c>
      <c r="AK65" s="239">
        <f t="shared" si="26"/>
        <v>-0.27554999999999996</v>
      </c>
      <c r="AL65" s="239">
        <f t="shared" si="26"/>
        <v>0.57420834985419233</v>
      </c>
      <c r="AM65" s="239">
        <f t="shared" si="26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2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6"/>
        <v>0.37390000000000079</v>
      </c>
      <c r="AL66" s="239">
        <f t="shared" si="26"/>
        <v>1.356578484203486</v>
      </c>
      <c r="AM66" s="239">
        <f t="shared" si="26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50" t="s">
        <v>5</v>
      </c>
      <c r="C70" s="551"/>
      <c r="D70" s="551"/>
      <c r="E70" s="551"/>
      <c r="F70" s="552"/>
      <c r="G70" s="550" t="s">
        <v>6</v>
      </c>
      <c r="H70" s="551"/>
      <c r="I70" s="551"/>
      <c r="J70" s="551"/>
      <c r="K70" s="552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3">AB61-AB52</f>
        <v>4.8309999999999995</v>
      </c>
      <c r="AL70" s="85">
        <f>AC61-AC52</f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3"/>
        <v>14.6675</v>
      </c>
      <c r="AL71" s="85">
        <f>AC62-AC53</f>
        <v>18.099126508969356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3"/>
        <v>-5.3126999999999995</v>
      </c>
      <c r="AL72" s="85">
        <f>AC63-AC54</f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.75" thickBot="1" x14ac:dyDescent="0.3"/>
    <row r="85" spans="2:29" x14ac:dyDescent="0.25">
      <c r="B85" s="559" t="s">
        <v>7</v>
      </c>
      <c r="C85" s="560"/>
      <c r="D85" s="560"/>
      <c r="E85" s="560"/>
      <c r="F85" s="561"/>
      <c r="G85" s="559" t="s">
        <v>8</v>
      </c>
      <c r="H85" s="560"/>
      <c r="I85" s="560"/>
      <c r="J85" s="560"/>
      <c r="K85" s="561"/>
      <c r="M85" t="s">
        <v>119</v>
      </c>
      <c r="N85" t="s">
        <v>120</v>
      </c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31.922355647191687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20.399490929485097</v>
      </c>
    </row>
    <row r="88" spans="2:29" x14ac:dyDescent="0.25">
      <c r="B88" s="107">
        <v>1</v>
      </c>
      <c r="C88" s="64">
        <v>3.4836999999999998</v>
      </c>
      <c r="D88" s="222">
        <v>18.047079789052706</v>
      </c>
      <c r="E88" s="222">
        <v>18.047079789052706</v>
      </c>
      <c r="F88" s="274">
        <v>81.952920210947298</v>
      </c>
      <c r="G88" s="107">
        <v>1</v>
      </c>
      <c r="H88" s="64">
        <v>0.36509999999999998</v>
      </c>
      <c r="I88" s="222">
        <v>7.8754934316961096</v>
      </c>
      <c r="J88" s="222">
        <v>7.8754934316961096</v>
      </c>
      <c r="K88" s="274">
        <v>92.124506568303886</v>
      </c>
    </row>
    <row r="89" spans="2:29" ht="15.75" thickBot="1" x14ac:dyDescent="0.3">
      <c r="B89" s="182">
        <v>0.85</v>
      </c>
      <c r="C89" s="114">
        <v>0.89280000000000004</v>
      </c>
      <c r="D89" s="276">
        <v>4.6250919527129941</v>
      </c>
      <c r="E89" s="276">
        <v>22.672171741765702</v>
      </c>
      <c r="F89" s="277">
        <v>77.327828258234291</v>
      </c>
      <c r="G89" s="182">
        <v>0.85</v>
      </c>
      <c r="H89" s="275">
        <v>0.17979999999999999</v>
      </c>
      <c r="I89" s="276">
        <v>3.8784270583921128</v>
      </c>
      <c r="J89" s="276">
        <v>11.753920490088223</v>
      </c>
      <c r="K89" s="277">
        <v>88.24607950991178</v>
      </c>
    </row>
    <row r="90" spans="2:29" x14ac:dyDescent="0.25">
      <c r="B90" s="179">
        <v>0.3</v>
      </c>
      <c r="C90" s="180">
        <v>6.5472000000000001</v>
      </c>
      <c r="D90" s="279">
        <v>33.917340986561953</v>
      </c>
      <c r="E90" s="279">
        <v>56.589512728327655</v>
      </c>
      <c r="F90" s="280">
        <v>43.410487271672345</v>
      </c>
      <c r="G90" s="179">
        <v>0.3</v>
      </c>
      <c r="H90" s="278">
        <v>1.4696</v>
      </c>
      <c r="I90" s="279">
        <v>31.700424944455229</v>
      </c>
      <c r="J90" s="279">
        <v>43.454345434543455</v>
      </c>
      <c r="K90" s="280">
        <v>56.545654565456545</v>
      </c>
    </row>
    <row r="91" spans="2:29" x14ac:dyDescent="0.25">
      <c r="B91" s="107">
        <v>0.25</v>
      </c>
      <c r="C91" s="64">
        <v>0.75139999999999996</v>
      </c>
      <c r="D91" s="222">
        <v>3.8925785094853755</v>
      </c>
      <c r="E91" s="222">
        <v>60.48209123781303</v>
      </c>
      <c r="F91" s="274">
        <v>39.51790876218697</v>
      </c>
      <c r="G91" s="107">
        <v>0.25</v>
      </c>
      <c r="H91" s="281">
        <v>0.26450000000000001</v>
      </c>
      <c r="I91" s="222">
        <v>5.7054725080351174</v>
      </c>
      <c r="J91" s="222">
        <v>49.15981794257857</v>
      </c>
      <c r="K91" s="274">
        <v>50.84018205742143</v>
      </c>
    </row>
    <row r="92" spans="2:29" x14ac:dyDescent="0.25">
      <c r="B92" s="107">
        <v>0.125</v>
      </c>
      <c r="C92" s="64">
        <v>2.4607999999999999</v>
      </c>
      <c r="D92" s="222">
        <v>12.748013303355885</v>
      </c>
      <c r="E92" s="222">
        <v>73.230104541168913</v>
      </c>
      <c r="F92" s="274">
        <v>26.769895458831087</v>
      </c>
      <c r="G92" s="107">
        <v>0.125</v>
      </c>
      <c r="H92" s="281">
        <v>0.79659999999999997</v>
      </c>
      <c r="I92" s="222">
        <v>17.183286956146592</v>
      </c>
      <c r="J92" s="222">
        <v>66.343104898725159</v>
      </c>
      <c r="K92" s="274">
        <v>33.656895101274841</v>
      </c>
    </row>
    <row r="93" spans="2:29" ht="15.75" thickBot="1" x14ac:dyDescent="0.3">
      <c r="B93" s="182">
        <v>6.3E-2</v>
      </c>
      <c r="C93" s="282">
        <v>1.9026000000000001</v>
      </c>
      <c r="D93" s="276">
        <v>9.8562947460032948</v>
      </c>
      <c r="E93" s="276">
        <v>83.086399287172213</v>
      </c>
      <c r="F93" s="277">
        <v>16.913600712827787</v>
      </c>
      <c r="G93" s="182">
        <v>6.3E-2</v>
      </c>
      <c r="H93" s="275">
        <v>0.59119999999999995</v>
      </c>
      <c r="I93" s="276">
        <v>12.752647813800985</v>
      </c>
      <c r="J93" s="276">
        <v>79.095752712526149</v>
      </c>
      <c r="K93" s="277">
        <v>20.904247287473851</v>
      </c>
    </row>
    <row r="94" spans="2:29" x14ac:dyDescent="0.25">
      <c r="B94" s="176">
        <v>5.2999999999999999E-2</v>
      </c>
      <c r="C94" s="286">
        <v>0.4325</v>
      </c>
      <c r="D94" s="284">
        <v>2.2405379363220987</v>
      </c>
      <c r="E94" s="284">
        <v>85.326937223494312</v>
      </c>
      <c r="F94" s="285">
        <v>14.673062776505688</v>
      </c>
      <c r="G94" s="176">
        <v>5.2999999999999999E-2</v>
      </c>
      <c r="H94" s="283">
        <v>0.16170000000000001</v>
      </c>
      <c r="I94" s="284">
        <v>3.4879958584093709</v>
      </c>
      <c r="J94" s="284">
        <v>82.583748570935526</v>
      </c>
      <c r="K94" s="285">
        <v>17.416251429064474</v>
      </c>
    </row>
    <row r="95" spans="2:29" x14ac:dyDescent="0.25">
      <c r="B95" s="107">
        <v>3.7999999999999999E-2</v>
      </c>
      <c r="C95" s="64">
        <v>1.1508</v>
      </c>
      <c r="D95" s="222">
        <v>5.9616440627039804</v>
      </c>
      <c r="E95" s="222">
        <v>91.288581286198294</v>
      </c>
      <c r="F95" s="274">
        <v>8.7114187138017058</v>
      </c>
      <c r="G95" s="107">
        <v>3.7999999999999999E-2</v>
      </c>
      <c r="H95" s="281">
        <v>0.37519999999999998</v>
      </c>
      <c r="I95" s="222">
        <v>8.093358355443387</v>
      </c>
      <c r="J95" s="222">
        <v>90.677106926378912</v>
      </c>
      <c r="K95" s="274">
        <v>9.3228930736210884</v>
      </c>
    </row>
    <row r="96" spans="2:29" x14ac:dyDescent="0.25">
      <c r="B96" s="107">
        <v>2.5000000000000001E-2</v>
      </c>
      <c r="C96" s="64">
        <v>1.5504</v>
      </c>
      <c r="D96" s="222">
        <v>8.0317457028295536</v>
      </c>
      <c r="E96" s="222">
        <v>99.320326989027848</v>
      </c>
      <c r="F96" s="274">
        <v>0.67967301097215227</v>
      </c>
      <c r="G96" s="107">
        <v>2.5000000000000001E-2</v>
      </c>
      <c r="H96" s="281">
        <v>0.37409999999999999</v>
      </c>
      <c r="I96" s="222">
        <v>8.0696304924610089</v>
      </c>
      <c r="J96" s="222">
        <v>98.746737418839899</v>
      </c>
      <c r="K96" s="274">
        <v>1.2532625811600724</v>
      </c>
    </row>
    <row r="97" spans="2:24" ht="15.75" thickBot="1" x14ac:dyDescent="0.3">
      <c r="B97" s="109" t="s">
        <v>70</v>
      </c>
      <c r="C97" s="287">
        <v>0.13119999999999976</v>
      </c>
      <c r="D97" s="222">
        <v>0.67967301097215915</v>
      </c>
      <c r="E97" s="222">
        <v>100</v>
      </c>
      <c r="F97" s="274">
        <v>0</v>
      </c>
      <c r="G97" s="109" t="s">
        <v>70</v>
      </c>
      <c r="H97" s="287">
        <v>5.8100000000000485E-2</v>
      </c>
      <c r="I97" s="222">
        <v>1.2532625811600873</v>
      </c>
      <c r="J97" s="222">
        <v>100.00000000000001</v>
      </c>
      <c r="K97" s="274">
        <v>0</v>
      </c>
    </row>
    <row r="98" spans="2:24" ht="15.75" thickBot="1" x14ac:dyDescent="0.3">
      <c r="B98" s="111" t="s">
        <v>24</v>
      </c>
      <c r="C98" s="112">
        <v>19.3034</v>
      </c>
      <c r="D98" s="289">
        <v>100</v>
      </c>
      <c r="E98" s="114"/>
      <c r="F98" s="115"/>
      <c r="G98" s="111" t="s">
        <v>24</v>
      </c>
      <c r="H98" s="288">
        <v>4.6359000000000004</v>
      </c>
      <c r="I98" s="113"/>
      <c r="J98" s="114"/>
      <c r="K98" s="115"/>
    </row>
    <row r="99" spans="2:24" ht="15.75" thickBot="1" x14ac:dyDescent="0.3"/>
    <row r="100" spans="2:24" x14ac:dyDescent="0.25">
      <c r="B100" s="541" t="s">
        <v>9</v>
      </c>
      <c r="C100" s="542"/>
      <c r="D100" s="542"/>
      <c r="E100" s="542"/>
      <c r="F100" s="543"/>
      <c r="G100" s="541" t="s">
        <v>10</v>
      </c>
      <c r="H100" s="542"/>
      <c r="I100" s="542"/>
      <c r="J100" s="542"/>
      <c r="K100" s="543"/>
      <c r="L100" s="541" t="s">
        <v>11</v>
      </c>
      <c r="M100" s="542"/>
      <c r="N100" s="542"/>
      <c r="O100" s="542"/>
      <c r="P100" s="543"/>
      <c r="Q100" s="541" t="s">
        <v>12</v>
      </c>
      <c r="R100" s="542"/>
      <c r="S100" s="542"/>
      <c r="T100" s="542"/>
      <c r="U100" s="543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44" t="s">
        <v>13</v>
      </c>
      <c r="C115" s="545"/>
      <c r="D115" s="545"/>
      <c r="E115" s="545"/>
      <c r="F115" s="546"/>
      <c r="G115" s="547" t="s">
        <v>14</v>
      </c>
      <c r="H115" s="548"/>
      <c r="I115" s="548"/>
      <c r="J115" s="548"/>
      <c r="K115" s="549"/>
      <c r="L115" s="547" t="s">
        <v>15</v>
      </c>
      <c r="M115" s="548"/>
      <c r="N115" s="548"/>
      <c r="O115" s="548"/>
      <c r="P115" s="549"/>
      <c r="Q115" s="547" t="s">
        <v>16</v>
      </c>
      <c r="R115" s="548"/>
      <c r="S115" s="548"/>
      <c r="T115" s="548"/>
      <c r="U115" s="549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50" t="s">
        <v>17</v>
      </c>
      <c r="C130" s="551"/>
      <c r="D130" s="551"/>
      <c r="E130" s="551"/>
      <c r="F130" s="552"/>
      <c r="G130" s="550" t="s">
        <v>18</v>
      </c>
      <c r="H130" s="551"/>
      <c r="I130" s="551"/>
      <c r="J130" s="551"/>
      <c r="K130" s="552"/>
      <c r="L130" s="550" t="s">
        <v>19</v>
      </c>
      <c r="M130" s="551"/>
      <c r="N130" s="551"/>
      <c r="O130" s="551"/>
      <c r="P130" s="552"/>
      <c r="Q130" s="550" t="s">
        <v>20</v>
      </c>
      <c r="R130" s="551"/>
      <c r="S130" s="551"/>
      <c r="T130" s="551"/>
      <c r="U130" s="552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56" t="s">
        <v>21</v>
      </c>
      <c r="C145" s="557"/>
      <c r="D145" s="557"/>
      <c r="E145" s="557"/>
      <c r="F145" s="558"/>
      <c r="G145" s="556" t="s">
        <v>22</v>
      </c>
      <c r="H145" s="557"/>
      <c r="I145" s="557"/>
      <c r="J145" s="557"/>
      <c r="K145" s="558"/>
      <c r="L145" s="556" t="s">
        <v>23</v>
      </c>
      <c r="M145" s="557"/>
      <c r="N145" s="557"/>
      <c r="O145" s="557"/>
      <c r="P145" s="55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G85:K85"/>
    <mergeCell ref="B85:F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abSelected="1" topLeftCell="A101" zoomScaleNormal="100" workbookViewId="0">
      <selection activeCell="H124" sqref="H12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60" ht="15.75" thickBot="1" x14ac:dyDescent="0.3">
      <c r="A1" s="526" t="s">
        <v>92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26"/>
    </row>
    <row r="2" spans="1:60" x14ac:dyDescent="0.25">
      <c r="A2" s="228"/>
      <c r="B2" s="565" t="s">
        <v>104</v>
      </c>
      <c r="C2" s="566"/>
      <c r="D2" s="567"/>
      <c r="E2" s="565" t="s">
        <v>101</v>
      </c>
      <c r="F2" s="566"/>
      <c r="G2" s="567"/>
      <c r="H2" s="565" t="s">
        <v>103</v>
      </c>
      <c r="I2" s="566"/>
      <c r="J2" s="567"/>
      <c r="K2" s="565" t="s">
        <v>72</v>
      </c>
      <c r="L2" s="566"/>
      <c r="M2" s="567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.75" thickBot="1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488" t="s">
        <v>150</v>
      </c>
      <c r="AC4" s="488"/>
      <c r="AK4" s="488" t="s">
        <v>150</v>
      </c>
      <c r="AL4" s="488"/>
      <c r="AT4" s="488" t="s">
        <v>150</v>
      </c>
      <c r="AU4" s="488"/>
      <c r="BC4" s="488" t="s">
        <v>150</v>
      </c>
      <c r="BD4" s="488"/>
    </row>
    <row r="5" spans="1:60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t="s">
        <v>151</v>
      </c>
      <c r="AC5">
        <v>0.92217408556661962</v>
      </c>
      <c r="AK5" t="s">
        <v>151</v>
      </c>
      <c r="AL5">
        <v>0.73407482450437334</v>
      </c>
      <c r="AT5" t="s">
        <v>151</v>
      </c>
      <c r="AU5">
        <v>0.7406851621249223</v>
      </c>
      <c r="BC5" t="s">
        <v>151</v>
      </c>
      <c r="BD5">
        <v>0.7406305439527604</v>
      </c>
    </row>
    <row r="6" spans="1:60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t="s">
        <v>152</v>
      </c>
      <c r="AC6">
        <v>0.850405044090631</v>
      </c>
      <c r="AK6" t="s">
        <v>152</v>
      </c>
      <c r="AL6">
        <v>0.53886584797112647</v>
      </c>
      <c r="AT6" t="s">
        <v>152</v>
      </c>
      <c r="AU6">
        <v>0.54861450939202239</v>
      </c>
      <c r="BC6" t="s">
        <v>152</v>
      </c>
      <c r="BD6">
        <v>0.54853360263576179</v>
      </c>
    </row>
    <row r="7" spans="1:60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t="s">
        <v>153</v>
      </c>
      <c r="AC7">
        <v>0.8204860529087572</v>
      </c>
      <c r="AK7" t="s">
        <v>153</v>
      </c>
      <c r="AL7">
        <v>0.44663901756535174</v>
      </c>
      <c r="AT7" t="s">
        <v>153</v>
      </c>
      <c r="AU7">
        <v>0.45833741127042682</v>
      </c>
      <c r="BC7" t="s">
        <v>153</v>
      </c>
      <c r="BD7">
        <v>0.45824032316291419</v>
      </c>
    </row>
    <row r="8" spans="1:60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t="s">
        <v>154</v>
      </c>
      <c r="AC8">
        <v>0.13437612477589433</v>
      </c>
      <c r="AK8" t="s">
        <v>154</v>
      </c>
      <c r="AL8">
        <v>0.32858983948952536</v>
      </c>
      <c r="AT8" t="s">
        <v>154</v>
      </c>
      <c r="AU8">
        <v>0.37645955097146033</v>
      </c>
      <c r="BC8" t="s">
        <v>154</v>
      </c>
      <c r="BD8">
        <v>0.41323551227634292</v>
      </c>
    </row>
    <row r="9" spans="1:60" ht="15.75" thickBot="1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486" t="s">
        <v>155</v>
      </c>
      <c r="AC9" s="486">
        <v>7</v>
      </c>
      <c r="AK9" s="486" t="s">
        <v>155</v>
      </c>
      <c r="AL9" s="486">
        <v>7</v>
      </c>
      <c r="AT9" s="486" t="s">
        <v>155</v>
      </c>
      <c r="AU9" s="486">
        <v>7</v>
      </c>
      <c r="BC9" s="486" t="s">
        <v>155</v>
      </c>
      <c r="BD9" s="486">
        <v>7</v>
      </c>
    </row>
    <row r="10" spans="1:60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.75" thickBot="1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487"/>
      <c r="AC12" s="487" t="s">
        <v>160</v>
      </c>
      <c r="AD12" s="487" t="s">
        <v>161</v>
      </c>
      <c r="AE12" s="487" t="s">
        <v>162</v>
      </c>
      <c r="AF12" s="487" t="s">
        <v>163</v>
      </c>
      <c r="AG12" s="487" t="s">
        <v>164</v>
      </c>
      <c r="AK12" s="487"/>
      <c r="AL12" s="487" t="s">
        <v>160</v>
      </c>
      <c r="AM12" s="487" t="s">
        <v>161</v>
      </c>
      <c r="AN12" s="487" t="s">
        <v>162</v>
      </c>
      <c r="AO12" s="487" t="s">
        <v>163</v>
      </c>
      <c r="AP12" s="487" t="s">
        <v>164</v>
      </c>
      <c r="AT12" s="487"/>
      <c r="AU12" s="487" t="s">
        <v>160</v>
      </c>
      <c r="AV12" s="487" t="s">
        <v>161</v>
      </c>
      <c r="AW12" s="487" t="s">
        <v>162</v>
      </c>
      <c r="AX12" s="487" t="s">
        <v>163</v>
      </c>
      <c r="AY12" s="487" t="s">
        <v>164</v>
      </c>
      <c r="BC12" s="487"/>
      <c r="BD12" s="487" t="s">
        <v>160</v>
      </c>
      <c r="BE12" s="487" t="s">
        <v>161</v>
      </c>
      <c r="BF12" s="487" t="s">
        <v>162</v>
      </c>
      <c r="BG12" s="487" t="s">
        <v>163</v>
      </c>
      <c r="BH12" s="487" t="s">
        <v>164</v>
      </c>
    </row>
    <row r="13" spans="1:60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t="s">
        <v>157</v>
      </c>
      <c r="AC13">
        <v>1</v>
      </c>
      <c r="AD13">
        <v>0.51324308490195103</v>
      </c>
      <c r="AE13">
        <v>0.51324308490195103</v>
      </c>
      <c r="AF13">
        <v>28.423586842254306</v>
      </c>
      <c r="AG13">
        <v>3.1110933090988304E-3</v>
      </c>
      <c r="AK13" t="s">
        <v>157</v>
      </c>
      <c r="AL13">
        <v>1</v>
      </c>
      <c r="AM13">
        <v>0.63085803238906868</v>
      </c>
      <c r="AN13">
        <v>0.63085803238906868</v>
      </c>
      <c r="AO13">
        <v>5.8428316965925546</v>
      </c>
      <c r="AP13">
        <v>6.032584164319519E-2</v>
      </c>
      <c r="AT13" t="s">
        <v>157</v>
      </c>
      <c r="AU13">
        <v>1</v>
      </c>
      <c r="AV13">
        <v>0.86124425616905131</v>
      </c>
      <c r="AW13">
        <v>0.86124425616905131</v>
      </c>
      <c r="AX13">
        <v>6.0770064701579738</v>
      </c>
      <c r="AY13">
        <v>5.6867185160257128E-2</v>
      </c>
      <c r="BC13" t="s">
        <v>157</v>
      </c>
      <c r="BD13">
        <v>1</v>
      </c>
      <c r="BE13">
        <v>1.0373924505133059</v>
      </c>
      <c r="BF13">
        <v>1.0373924505133059</v>
      </c>
      <c r="BG13">
        <v>6.0750213729994469</v>
      </c>
      <c r="BH13">
        <v>5.6895308428599918E-2</v>
      </c>
    </row>
    <row r="14" spans="1:60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t="s">
        <v>158</v>
      </c>
      <c r="AC14">
        <v>5</v>
      </c>
      <c r="AD14">
        <v>9.0284714548933609E-2</v>
      </c>
      <c r="AE14">
        <v>1.8056942909786721E-2</v>
      </c>
      <c r="AK14" t="s">
        <v>158</v>
      </c>
      <c r="AL14">
        <v>5</v>
      </c>
      <c r="AM14">
        <v>0.5398564130787602</v>
      </c>
      <c r="AN14">
        <v>0.10797128261575203</v>
      </c>
      <c r="AT14" t="s">
        <v>158</v>
      </c>
      <c r="AU14">
        <v>5</v>
      </c>
      <c r="AV14">
        <v>0.7086089675881676</v>
      </c>
      <c r="AW14">
        <v>0.14172179351763353</v>
      </c>
      <c r="BC14" t="s">
        <v>158</v>
      </c>
      <c r="BD14">
        <v>5</v>
      </c>
      <c r="BE14">
        <v>0.85381794303145764</v>
      </c>
      <c r="BF14">
        <v>0.17076358860629154</v>
      </c>
    </row>
    <row r="15" spans="1:60" ht="15.75" thickBot="1" x14ac:dyDescent="0.3">
      <c r="F15">
        <v>0</v>
      </c>
      <c r="AB15" s="486" t="s">
        <v>105</v>
      </c>
      <c r="AC15" s="486">
        <v>6</v>
      </c>
      <c r="AD15" s="486">
        <v>0.60352779945088464</v>
      </c>
      <c r="AE15" s="486"/>
      <c r="AF15" s="486"/>
      <c r="AG15" s="486"/>
      <c r="AK15" s="486" t="s">
        <v>105</v>
      </c>
      <c r="AL15" s="486">
        <v>6</v>
      </c>
      <c r="AM15" s="486">
        <v>1.1707144454678289</v>
      </c>
      <c r="AN15" s="486"/>
      <c r="AO15" s="486"/>
      <c r="AP15" s="486"/>
      <c r="AT15" s="486" t="s">
        <v>105</v>
      </c>
      <c r="AU15" s="486">
        <v>6</v>
      </c>
      <c r="AV15" s="486">
        <v>1.5698532237572189</v>
      </c>
      <c r="AW15" s="486"/>
      <c r="AX15" s="486"/>
      <c r="AY15" s="486"/>
      <c r="BC15" s="486" t="s">
        <v>105</v>
      </c>
      <c r="BD15" s="486">
        <v>6</v>
      </c>
      <c r="BE15" s="486">
        <v>1.8912103935447635</v>
      </c>
      <c r="BF15" s="486"/>
      <c r="BG15" s="486"/>
      <c r="BH15" s="486"/>
    </row>
    <row r="16" spans="1:60" ht="15.75" thickBot="1" x14ac:dyDescent="0.3">
      <c r="A16" s="526" t="s">
        <v>99</v>
      </c>
      <c r="B16" s="568"/>
      <c r="C16" s="568"/>
      <c r="D16" s="568"/>
      <c r="E16" s="568"/>
      <c r="F16" s="568"/>
      <c r="G16" s="568"/>
      <c r="H16" s="568"/>
      <c r="I16" s="568"/>
      <c r="J16" s="568"/>
      <c r="K16" s="568"/>
      <c r="L16" s="568"/>
      <c r="M16" s="568"/>
      <c r="N16" s="526"/>
    </row>
    <row r="17" spans="1:63" x14ac:dyDescent="0.25">
      <c r="A17" s="228"/>
      <c r="B17" s="565" t="s">
        <v>104</v>
      </c>
      <c r="C17" s="566"/>
      <c r="D17" s="567"/>
      <c r="E17" s="565" t="s">
        <v>102</v>
      </c>
      <c r="F17" s="566"/>
      <c r="G17" s="567"/>
      <c r="H17" s="565" t="s">
        <v>103</v>
      </c>
      <c r="I17" s="566"/>
      <c r="J17" s="567"/>
      <c r="K17" s="565" t="s">
        <v>72</v>
      </c>
      <c r="L17" s="566"/>
      <c r="M17" s="567"/>
      <c r="N17" s="244"/>
      <c r="AB17" s="487"/>
      <c r="AC17" s="487" t="s">
        <v>165</v>
      </c>
      <c r="AD17" s="487" t="s">
        <v>154</v>
      </c>
      <c r="AE17" s="487" t="s">
        <v>166</v>
      </c>
      <c r="AF17" s="487" t="s">
        <v>167</v>
      </c>
      <c r="AG17" s="487" t="s">
        <v>168</v>
      </c>
      <c r="AH17" s="487" t="s">
        <v>169</v>
      </c>
      <c r="AI17" s="487" t="s">
        <v>170</v>
      </c>
      <c r="AJ17" s="487" t="s">
        <v>171</v>
      </c>
      <c r="AK17" s="487"/>
      <c r="AL17" s="487" t="s">
        <v>165</v>
      </c>
      <c r="AM17" s="487" t="s">
        <v>154</v>
      </c>
      <c r="AN17" s="487" t="s">
        <v>166</v>
      </c>
      <c r="AO17" s="487" t="s">
        <v>167</v>
      </c>
      <c r="AP17" s="487" t="s">
        <v>168</v>
      </c>
      <c r="AQ17" s="487" t="s">
        <v>169</v>
      </c>
      <c r="AR17" s="487" t="s">
        <v>170</v>
      </c>
      <c r="AS17" s="487" t="s">
        <v>171</v>
      </c>
      <c r="AT17" s="487"/>
      <c r="AU17" s="487" t="s">
        <v>165</v>
      </c>
      <c r="AV17" s="487" t="s">
        <v>154</v>
      </c>
      <c r="AW17" s="487" t="s">
        <v>166</v>
      </c>
      <c r="AX17" s="487" t="s">
        <v>167</v>
      </c>
      <c r="AY17" s="487" t="s">
        <v>168</v>
      </c>
      <c r="AZ17" s="487" t="s">
        <v>169</v>
      </c>
      <c r="BA17" s="487" t="s">
        <v>170</v>
      </c>
      <c r="BB17" s="487" t="s">
        <v>171</v>
      </c>
      <c r="BC17" s="487"/>
      <c r="BD17" s="487" t="s">
        <v>165</v>
      </c>
      <c r="BE17" s="487" t="s">
        <v>154</v>
      </c>
      <c r="BF17" s="487" t="s">
        <v>166</v>
      </c>
      <c r="BG17" s="487" t="s">
        <v>167</v>
      </c>
      <c r="BH17" s="487" t="s">
        <v>168</v>
      </c>
      <c r="BI17" s="487" t="s">
        <v>169</v>
      </c>
      <c r="BJ17" s="487" t="s">
        <v>170</v>
      </c>
      <c r="BK17" s="487" t="s">
        <v>171</v>
      </c>
    </row>
    <row r="18" spans="1:63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t="s">
        <v>159</v>
      </c>
      <c r="AC18">
        <v>-0.14768007693470936</v>
      </c>
      <c r="AD18">
        <v>5.4137477039910592E-2</v>
      </c>
      <c r="AE18">
        <v>-2.7278714304665215</v>
      </c>
      <c r="AF18">
        <v>4.1385025797127321E-2</v>
      </c>
      <c r="AG18">
        <v>-0.28684489204068159</v>
      </c>
      <c r="AH18">
        <v>-8.5152618287371307E-3</v>
      </c>
      <c r="AI18">
        <v>-0.28684489204068159</v>
      </c>
      <c r="AJ18">
        <v>-8.5152618287371307E-3</v>
      </c>
      <c r="AK18" t="s">
        <v>159</v>
      </c>
      <c r="AL18">
        <v>2.1155150004398798E-2</v>
      </c>
      <c r="AM18">
        <v>0.13238233295222435</v>
      </c>
      <c r="AN18">
        <v>0.15980342340721182</v>
      </c>
      <c r="AO18">
        <v>0.87929098599602395</v>
      </c>
      <c r="AP18">
        <v>-0.31914447044174787</v>
      </c>
      <c r="AQ18">
        <v>0.36145477045054553</v>
      </c>
      <c r="AR18">
        <v>-0.31914447044174787</v>
      </c>
      <c r="AS18">
        <v>0.36145477045054553</v>
      </c>
      <c r="AT18" t="s">
        <v>159</v>
      </c>
      <c r="AU18">
        <v>-4.6742226290714894E-2</v>
      </c>
      <c r="AV18">
        <v>0.15166809082463245</v>
      </c>
      <c r="AW18">
        <v>-0.30818760911786647</v>
      </c>
      <c r="AX18">
        <v>0.77036543697745608</v>
      </c>
      <c r="AY18">
        <v>-0.43661746561015391</v>
      </c>
      <c r="AZ18">
        <v>0.34313301302872412</v>
      </c>
      <c r="BA18">
        <v>-0.43661746561015391</v>
      </c>
      <c r="BB18">
        <v>0.34313301302872412</v>
      </c>
      <c r="BC18" t="s">
        <v>159</v>
      </c>
      <c r="BD18">
        <v>-5.4387073334323494E-2</v>
      </c>
      <c r="BE18">
        <v>0.16648439665339584</v>
      </c>
      <c r="BF18">
        <v>-0.32667970348928277</v>
      </c>
      <c r="BG18">
        <v>0.75714188532961191</v>
      </c>
      <c r="BH18">
        <v>-0.48234883928841421</v>
      </c>
      <c r="BI18">
        <v>0.37357469261976717</v>
      </c>
      <c r="BJ18">
        <v>-0.48234883928841421</v>
      </c>
      <c r="BK18">
        <v>0.37357469261976717</v>
      </c>
    </row>
    <row r="19" spans="1:63" ht="15.75" thickBot="1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486" t="s">
        <v>27</v>
      </c>
      <c r="AC19" s="486">
        <v>-1.7601011488519356</v>
      </c>
      <c r="AD19" s="486">
        <v>0.3301400293348129</v>
      </c>
      <c r="AE19" s="486">
        <v>-5.3313775745349608</v>
      </c>
      <c r="AF19" s="505">
        <v>3.1110933090988365E-3</v>
      </c>
      <c r="AG19" s="486">
        <v>-2.608753111476446</v>
      </c>
      <c r="AH19" s="486">
        <v>-0.91144918622742532</v>
      </c>
      <c r="AI19" s="486">
        <v>-2.608753111476446</v>
      </c>
      <c r="AJ19" s="486">
        <v>-0.91144918622742532</v>
      </c>
      <c r="AK19" s="486" t="s">
        <v>27</v>
      </c>
      <c r="AL19" s="486">
        <v>-1.9513801890759237</v>
      </c>
      <c r="AM19" s="486">
        <v>0.80729117191846311</v>
      </c>
      <c r="AN19" s="486">
        <v>-2.4171950059092362</v>
      </c>
      <c r="AO19" s="504">
        <v>6.0325841643195231E-2</v>
      </c>
      <c r="AP19" s="486">
        <v>-4.0265882116790781</v>
      </c>
      <c r="AQ19" s="486">
        <v>0.12382783352723115</v>
      </c>
      <c r="AR19" s="486">
        <v>-4.0265882116790781</v>
      </c>
      <c r="AS19" s="486">
        <v>0.12382783352723115</v>
      </c>
      <c r="AT19" s="486" t="s">
        <v>27</v>
      </c>
      <c r="AU19" s="486">
        <v>-2.2800230751041424</v>
      </c>
      <c r="AV19" s="486">
        <v>0.92489917690634071</v>
      </c>
      <c r="AW19" s="486">
        <v>-2.4651585081203153</v>
      </c>
      <c r="AX19" s="504">
        <v>5.6867185160257017E-2</v>
      </c>
      <c r="AY19" s="486">
        <v>-4.6575520990545609</v>
      </c>
      <c r="AZ19" s="486">
        <v>9.7505948846275725E-2</v>
      </c>
      <c r="BA19" s="486">
        <v>-4.6575520990545609</v>
      </c>
      <c r="BB19" s="486">
        <v>9.7505948846275725E-2</v>
      </c>
      <c r="BC19" s="486" t="s">
        <v>27</v>
      </c>
      <c r="BD19" s="486">
        <v>-2.5023474699975021</v>
      </c>
      <c r="BE19" s="486">
        <v>1.0152516629916359</v>
      </c>
      <c r="BF19" s="486">
        <v>-2.4647558445005151</v>
      </c>
      <c r="BG19" s="504">
        <v>5.6895308428599911E-2</v>
      </c>
      <c r="BH19" s="486">
        <v>-5.1121349534833627</v>
      </c>
      <c r="BI19" s="486">
        <v>0.10744001348835885</v>
      </c>
      <c r="BJ19" s="486">
        <v>-5.1121349534833627</v>
      </c>
      <c r="BK19" s="486">
        <v>0.10744001348835885</v>
      </c>
    </row>
    <row r="20" spans="1:63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4.7747439937281033E-2</v>
      </c>
      <c r="L21" s="416">
        <f>'Summer Weights'!AI6</f>
        <v>0.18703707902634226</v>
      </c>
      <c r="M21" s="395">
        <f t="shared" si="7"/>
        <v>0.25528328492852637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.75" thickBot="1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  <c r="BC22" t="s">
        <v>211</v>
      </c>
    </row>
    <row r="23" spans="1:63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488" t="s">
        <v>150</v>
      </c>
      <c r="AC23" s="488"/>
      <c r="AK23" s="488" t="s">
        <v>150</v>
      </c>
      <c r="AL23" s="488"/>
      <c r="AT23" s="488" t="s">
        <v>150</v>
      </c>
      <c r="AU23" s="488"/>
      <c r="BC23" s="488" t="s">
        <v>150</v>
      </c>
      <c r="BD23" s="488"/>
    </row>
    <row r="24" spans="1:63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t="s">
        <v>151</v>
      </c>
      <c r="AC24">
        <v>0.7459495950553936</v>
      </c>
      <c r="AK24" t="s">
        <v>151</v>
      </c>
      <c r="AL24">
        <v>0.45607553375474197</v>
      </c>
      <c r="AT24" t="s">
        <v>151</v>
      </c>
      <c r="AU24">
        <v>0.52102443993267233</v>
      </c>
      <c r="BC24" t="s">
        <v>151</v>
      </c>
      <c r="BD24">
        <v>0.61009580777357519</v>
      </c>
    </row>
    <row r="25" spans="1:63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t="s">
        <v>152</v>
      </c>
      <c r="AC25">
        <v>0.55644079836330573</v>
      </c>
      <c r="AK25" t="s">
        <v>152</v>
      </c>
      <c r="AL25">
        <v>0.20800489248967277</v>
      </c>
      <c r="AT25" t="s">
        <v>152</v>
      </c>
      <c r="AU25">
        <v>0.27146646700715493</v>
      </c>
      <c r="BC25" t="s">
        <v>152</v>
      </c>
      <c r="BD25">
        <v>0.37221689466289126</v>
      </c>
    </row>
    <row r="26" spans="1:63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t="s">
        <v>153</v>
      </c>
      <c r="AC26">
        <v>0.44555099795413211</v>
      </c>
      <c r="AK26" t="s">
        <v>153</v>
      </c>
      <c r="AL26">
        <v>1.0006115612090971E-2</v>
      </c>
      <c r="AT26" t="s">
        <v>153</v>
      </c>
      <c r="AU26">
        <v>8.9333083758943665E-2</v>
      </c>
      <c r="BC26" t="s">
        <v>153</v>
      </c>
      <c r="BD26">
        <v>0.21527111832861406</v>
      </c>
    </row>
    <row r="27" spans="1:63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t="s">
        <v>154</v>
      </c>
      <c r="AC27">
        <v>1.0539299263969779</v>
      </c>
      <c r="AK27" t="s">
        <v>154</v>
      </c>
      <c r="AL27">
        <v>0.25820076621558635</v>
      </c>
      <c r="AT27" t="s">
        <v>154</v>
      </c>
      <c r="AU27">
        <v>0.16230831333128767</v>
      </c>
      <c r="BC27" t="s">
        <v>154</v>
      </c>
      <c r="BD27">
        <v>0.22320009627940465</v>
      </c>
    </row>
    <row r="28" spans="1:63" ht="15.75" thickBot="1" x14ac:dyDescent="0.3">
      <c r="AB28" s="486" t="s">
        <v>155</v>
      </c>
      <c r="AC28" s="486">
        <v>6</v>
      </c>
      <c r="AK28" s="486" t="s">
        <v>155</v>
      </c>
      <c r="AL28" s="486">
        <v>6</v>
      </c>
      <c r="AT28" s="486" t="s">
        <v>155</v>
      </c>
      <c r="AU28" s="486">
        <v>6</v>
      </c>
      <c r="BC28" s="486" t="s">
        <v>155</v>
      </c>
      <c r="BD28" s="486">
        <v>6</v>
      </c>
    </row>
    <row r="30" spans="1:63" ht="15.75" thickBot="1" x14ac:dyDescent="0.3">
      <c r="A30" s="526" t="s">
        <v>100</v>
      </c>
      <c r="B30" s="568"/>
      <c r="C30" s="568"/>
      <c r="D30" s="568"/>
      <c r="E30" s="568"/>
      <c r="F30" s="568"/>
      <c r="G30" s="568"/>
      <c r="H30" s="568"/>
      <c r="I30" s="568"/>
      <c r="J30" s="568"/>
      <c r="K30" s="568"/>
      <c r="L30" s="568"/>
      <c r="M30" s="568"/>
      <c r="N30" s="526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25">
      <c r="A31" s="228"/>
      <c r="B31" s="565" t="s">
        <v>104</v>
      </c>
      <c r="C31" s="566"/>
      <c r="D31" s="567"/>
      <c r="E31" s="565" t="s">
        <v>102</v>
      </c>
      <c r="F31" s="566"/>
      <c r="G31" s="567"/>
      <c r="H31" s="565" t="s">
        <v>103</v>
      </c>
      <c r="I31" s="566"/>
      <c r="J31" s="567"/>
      <c r="K31" s="565" t="s">
        <v>72</v>
      </c>
      <c r="L31" s="566"/>
      <c r="M31" s="567"/>
      <c r="N31" s="244"/>
      <c r="AB31" s="487"/>
      <c r="AC31" s="487" t="s">
        <v>160</v>
      </c>
      <c r="AD31" s="487" t="s">
        <v>161</v>
      </c>
      <c r="AE31" s="487" t="s">
        <v>162</v>
      </c>
      <c r="AF31" s="487" t="s">
        <v>163</v>
      </c>
      <c r="AG31" s="487" t="s">
        <v>164</v>
      </c>
      <c r="AK31" s="487"/>
      <c r="AL31" s="487" t="s">
        <v>160</v>
      </c>
      <c r="AM31" s="487" t="s">
        <v>161</v>
      </c>
      <c r="AN31" s="487" t="s">
        <v>162</v>
      </c>
      <c r="AO31" s="487" t="s">
        <v>163</v>
      </c>
      <c r="AP31" s="487" t="s">
        <v>164</v>
      </c>
      <c r="AT31" s="487"/>
      <c r="AU31" s="487" t="s">
        <v>160</v>
      </c>
      <c r="AV31" s="487" t="s">
        <v>161</v>
      </c>
      <c r="AW31" s="487" t="s">
        <v>162</v>
      </c>
      <c r="AX31" s="487" t="s">
        <v>163</v>
      </c>
      <c r="AY31" s="487" t="s">
        <v>164</v>
      </c>
      <c r="BC31" s="487"/>
      <c r="BD31" s="487" t="s">
        <v>160</v>
      </c>
      <c r="BE31" s="487" t="s">
        <v>161</v>
      </c>
      <c r="BF31" s="487" t="s">
        <v>162</v>
      </c>
      <c r="BG31" s="487" t="s">
        <v>163</v>
      </c>
      <c r="BH31" s="487" t="s">
        <v>164</v>
      </c>
    </row>
    <row r="32" spans="1:63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t="s">
        <v>157</v>
      </c>
      <c r="AC32">
        <v>1</v>
      </c>
      <c r="AD32">
        <v>5.5737930059152854</v>
      </c>
      <c r="AE32">
        <v>5.5737930059152854</v>
      </c>
      <c r="AF32">
        <v>5.017961943389639</v>
      </c>
      <c r="AG32">
        <v>8.8614001522613409E-2</v>
      </c>
      <c r="AK32" t="s">
        <v>157</v>
      </c>
      <c r="AL32">
        <v>1</v>
      </c>
      <c r="AM32">
        <v>7.0036767952109724E-2</v>
      </c>
      <c r="AN32">
        <v>7.0036767952109724E-2</v>
      </c>
      <c r="AO32">
        <v>1.0505362496167212</v>
      </c>
      <c r="AP32">
        <v>0.36331967055079956</v>
      </c>
      <c r="AT32" t="s">
        <v>157</v>
      </c>
      <c r="AU32">
        <v>1</v>
      </c>
      <c r="AV32">
        <v>3.9265231766869274E-2</v>
      </c>
      <c r="AW32">
        <v>3.9265231766869274E-2</v>
      </c>
      <c r="AX32">
        <v>1.4904816578144855</v>
      </c>
      <c r="AY32">
        <v>0.28918367206744355</v>
      </c>
      <c r="BC32" t="s">
        <v>157</v>
      </c>
      <c r="BD32">
        <v>1</v>
      </c>
      <c r="BE32">
        <v>0.11815040213911845</v>
      </c>
      <c r="BF32">
        <v>0.11815040213911845</v>
      </c>
      <c r="BG32">
        <v>2.3716273438930293</v>
      </c>
      <c r="BH32">
        <v>0.19840027184780137</v>
      </c>
    </row>
    <row r="33" spans="1:63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t="s">
        <v>158</v>
      </c>
      <c r="AC33">
        <v>4</v>
      </c>
      <c r="AD33">
        <v>4.4430731590205577</v>
      </c>
      <c r="AE33">
        <v>1.1107682897551394</v>
      </c>
      <c r="AK33" t="s">
        <v>158</v>
      </c>
      <c r="AL33">
        <v>4</v>
      </c>
      <c r="AM33">
        <v>0.26667054269726348</v>
      </c>
      <c r="AN33">
        <v>6.666763567431587E-2</v>
      </c>
      <c r="AT33" t="s">
        <v>158</v>
      </c>
      <c r="AU33">
        <v>4</v>
      </c>
      <c r="AV33">
        <v>0.10537595430578983</v>
      </c>
      <c r="AW33">
        <v>2.6343988576447458E-2</v>
      </c>
      <c r="BC33" t="s">
        <v>158</v>
      </c>
      <c r="BD33">
        <v>4</v>
      </c>
      <c r="BE33">
        <v>0.19927313191654203</v>
      </c>
      <c r="BF33">
        <v>4.9818282979135507E-2</v>
      </c>
    </row>
    <row r="34" spans="1:63" ht="15.75" thickBot="1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225">
        <v>-0.25646381521666273</v>
      </c>
      <c r="AB34" s="486" t="s">
        <v>105</v>
      </c>
      <c r="AC34" s="486">
        <v>5</v>
      </c>
      <c r="AD34" s="486">
        <v>10.016866164935843</v>
      </c>
      <c r="AE34" s="486"/>
      <c r="AF34" s="486"/>
      <c r="AG34" s="486"/>
      <c r="AK34" s="486" t="s">
        <v>105</v>
      </c>
      <c r="AL34" s="486">
        <v>5</v>
      </c>
      <c r="AM34" s="486">
        <v>0.3367073106493732</v>
      </c>
      <c r="AN34" s="486"/>
      <c r="AO34" s="486"/>
      <c r="AP34" s="486"/>
      <c r="AT34" s="486" t="s">
        <v>105</v>
      </c>
      <c r="AU34" s="486">
        <v>5</v>
      </c>
      <c r="AV34" s="486">
        <v>0.14464118607265911</v>
      </c>
      <c r="AW34" s="486"/>
      <c r="AX34" s="486"/>
      <c r="AY34" s="486"/>
      <c r="BC34" s="486" t="s">
        <v>105</v>
      </c>
      <c r="BD34" s="486">
        <v>5</v>
      </c>
      <c r="BE34" s="486">
        <v>0.31742353405566048</v>
      </c>
      <c r="BF34" s="486"/>
      <c r="BG34" s="486"/>
      <c r="BH34" s="486"/>
    </row>
    <row r="35" spans="1:63" ht="15.75" thickBot="1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487"/>
      <c r="AC36" s="487" t="s">
        <v>165</v>
      </c>
      <c r="AD36" s="487" t="s">
        <v>154</v>
      </c>
      <c r="AE36" s="487" t="s">
        <v>166</v>
      </c>
      <c r="AF36" s="487" t="s">
        <v>167</v>
      </c>
      <c r="AG36" s="487" t="s">
        <v>168</v>
      </c>
      <c r="AH36" s="487" t="s">
        <v>169</v>
      </c>
      <c r="AI36" s="487" t="s">
        <v>170</v>
      </c>
      <c r="AJ36" s="487" t="s">
        <v>171</v>
      </c>
      <c r="AK36" s="487"/>
      <c r="AL36" s="487" t="s">
        <v>165</v>
      </c>
      <c r="AM36" s="487" t="s">
        <v>154</v>
      </c>
      <c r="AN36" s="487" t="s">
        <v>166</v>
      </c>
      <c r="AO36" s="487" t="s">
        <v>167</v>
      </c>
      <c r="AP36" s="487" t="s">
        <v>168</v>
      </c>
      <c r="AQ36" s="487" t="s">
        <v>169</v>
      </c>
      <c r="AR36" s="487" t="s">
        <v>170</v>
      </c>
      <c r="AS36" s="487" t="s">
        <v>171</v>
      </c>
      <c r="AT36" s="487"/>
      <c r="AU36" s="487" t="s">
        <v>165</v>
      </c>
      <c r="AV36" s="487" t="s">
        <v>154</v>
      </c>
      <c r="AW36" s="487" t="s">
        <v>166</v>
      </c>
      <c r="AX36" s="487" t="s">
        <v>167</v>
      </c>
      <c r="AY36" s="487" t="s">
        <v>168</v>
      </c>
      <c r="AZ36" s="487" t="s">
        <v>169</v>
      </c>
      <c r="BA36" s="487" t="s">
        <v>170</v>
      </c>
      <c r="BB36" s="487" t="s">
        <v>171</v>
      </c>
      <c r="BC36" s="487"/>
      <c r="BD36" s="487" t="s">
        <v>165</v>
      </c>
      <c r="BE36" s="487" t="s">
        <v>154</v>
      </c>
      <c r="BF36" s="487" t="s">
        <v>166</v>
      </c>
      <c r="BG36" s="487" t="s">
        <v>167</v>
      </c>
      <c r="BH36" s="487" t="s">
        <v>168</v>
      </c>
      <c r="BI36" s="487" t="s">
        <v>169</v>
      </c>
      <c r="BJ36" s="487" t="s">
        <v>170</v>
      </c>
      <c r="BK36" s="487" t="s">
        <v>171</v>
      </c>
    </row>
    <row r="37" spans="1:63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t="s">
        <v>159</v>
      </c>
      <c r="AC37">
        <v>-0.58210357849372674</v>
      </c>
      <c r="AD37">
        <v>0.57410699124081832</v>
      </c>
      <c r="AE37">
        <v>-1.0139287404175752</v>
      </c>
      <c r="AF37">
        <v>0.36796257727041631</v>
      </c>
      <c r="AG37">
        <v>-2.1760801241841294</v>
      </c>
      <c r="AH37">
        <v>1.0118729671966757</v>
      </c>
      <c r="AI37">
        <v>-2.1760801241841294</v>
      </c>
      <c r="AJ37">
        <v>1.0118729671966757</v>
      </c>
      <c r="AK37" t="s">
        <v>159</v>
      </c>
      <c r="AL37">
        <v>-1.9035208914555388E-2</v>
      </c>
      <c r="AM37">
        <v>0.14064964028004018</v>
      </c>
      <c r="AN37">
        <v>-0.13533777176148742</v>
      </c>
      <c r="AO37">
        <v>0.89888214438639791</v>
      </c>
      <c r="AP37">
        <v>-0.40954121421790335</v>
      </c>
      <c r="AQ37">
        <v>0.37147079638879255</v>
      </c>
      <c r="AR37">
        <v>-0.40954121421790335</v>
      </c>
      <c r="AS37">
        <v>0.37147079638879255</v>
      </c>
      <c r="AT37" t="s">
        <v>159</v>
      </c>
      <c r="AU37">
        <v>0.14382771392444849</v>
      </c>
      <c r="AV37">
        <v>8.8414167855120837E-2</v>
      </c>
      <c r="AW37">
        <v>1.6267496195873337</v>
      </c>
      <c r="AX37">
        <v>0.17911859361070112</v>
      </c>
      <c r="AY37">
        <v>-0.10164936964703786</v>
      </c>
      <c r="AZ37">
        <v>0.38930479749593483</v>
      </c>
      <c r="BA37">
        <v>-0.10164936964703786</v>
      </c>
      <c r="BB37">
        <v>0.38930479749593483</v>
      </c>
      <c r="BC37" t="s">
        <v>159</v>
      </c>
      <c r="BD37">
        <v>2.6015652467456948E-2</v>
      </c>
      <c r="BE37">
        <v>0.12158373389936733</v>
      </c>
      <c r="BF37">
        <v>0.2139731330260809</v>
      </c>
      <c r="BG37">
        <v>0.8410327032502436</v>
      </c>
      <c r="BH37">
        <v>-0.31155491038911248</v>
      </c>
      <c r="BI37">
        <v>0.36358621532402641</v>
      </c>
      <c r="BJ37">
        <v>-0.31155491038911248</v>
      </c>
      <c r="BK37">
        <v>0.36358621532402641</v>
      </c>
    </row>
    <row r="38" spans="1:63" ht="15.75" thickBot="1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486" t="s">
        <v>27</v>
      </c>
      <c r="AC38" s="486">
        <v>-7.0141084934909461</v>
      </c>
      <c r="AD38" s="486">
        <v>3.1311855029677487</v>
      </c>
      <c r="AE38" s="486">
        <v>-2.2400807894782822</v>
      </c>
      <c r="AF38" s="504">
        <v>8.8614001522613339E-2</v>
      </c>
      <c r="AG38" s="486">
        <v>-15.707673156672042</v>
      </c>
      <c r="AH38" s="486">
        <v>1.67945616969015</v>
      </c>
      <c r="AI38" s="486">
        <v>-15.707673156672042</v>
      </c>
      <c r="AJ38" s="486">
        <v>1.67945616969015</v>
      </c>
      <c r="AK38" s="486" t="s">
        <v>27</v>
      </c>
      <c r="AL38" s="486">
        <v>-0.7862490055127731</v>
      </c>
      <c r="AM38" s="486">
        <v>0.76710460134034109</v>
      </c>
      <c r="AN38" s="486">
        <v>-1.0249567062157905</v>
      </c>
      <c r="AO38" s="503">
        <v>0.36331967055079961</v>
      </c>
      <c r="AP38" s="486">
        <v>-2.9160728210788678</v>
      </c>
      <c r="AQ38" s="486">
        <v>1.3435748100533216</v>
      </c>
      <c r="AR38" s="486">
        <v>-2.9160728210788678</v>
      </c>
      <c r="AS38" s="486">
        <v>1.3435748100533216</v>
      </c>
      <c r="AT38" s="486" t="s">
        <v>27</v>
      </c>
      <c r="AU38" s="486">
        <v>-0.5887096350653217</v>
      </c>
      <c r="AV38" s="486">
        <v>0.48221179130143377</v>
      </c>
      <c r="AW38" s="486">
        <v>-1.2208528403597569</v>
      </c>
      <c r="AX38" s="503">
        <v>0.28918367206744339</v>
      </c>
      <c r="AY38" s="486">
        <v>-1.9275442026928475</v>
      </c>
      <c r="AZ38" s="486">
        <v>0.75012493256220403</v>
      </c>
      <c r="BA38" s="486">
        <v>-1.9275442026928475</v>
      </c>
      <c r="BB38" s="486">
        <v>0.75012493256220403</v>
      </c>
      <c r="BC38" s="486" t="s">
        <v>27</v>
      </c>
      <c r="BD38" s="486">
        <v>-1.0212090694429417</v>
      </c>
      <c r="BE38" s="486">
        <v>0.66311894958738837</v>
      </c>
      <c r="BF38" s="486">
        <v>-1.540008877861758</v>
      </c>
      <c r="BG38" s="503">
        <v>0.19840027184780118</v>
      </c>
      <c r="BH38" s="486">
        <v>-2.8623224311887485</v>
      </c>
      <c r="BI38" s="486">
        <v>0.81990429230286521</v>
      </c>
      <c r="BJ38" s="486">
        <v>-2.8623224311887485</v>
      </c>
      <c r="BK38" s="486">
        <v>0.81990429230286521</v>
      </c>
    </row>
    <row r="39" spans="1:63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.75" thickBot="1" x14ac:dyDescent="0.3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25">
      <c r="AB42" s="488" t="s">
        <v>150</v>
      </c>
      <c r="AC42" s="488"/>
      <c r="AK42" s="488" t="s">
        <v>150</v>
      </c>
      <c r="AL42" s="488"/>
      <c r="AT42" s="488" t="s">
        <v>150</v>
      </c>
      <c r="AU42" s="488"/>
      <c r="BC42" s="488" t="s">
        <v>150</v>
      </c>
      <c r="BD42" s="488"/>
    </row>
    <row r="43" spans="1:63" x14ac:dyDescent="0.25">
      <c r="A43" s="526" t="s">
        <v>146</v>
      </c>
      <c r="B43" s="568"/>
      <c r="C43" s="568"/>
      <c r="D43" s="568"/>
      <c r="E43" s="568"/>
      <c r="F43" s="568"/>
      <c r="G43" s="568"/>
      <c r="H43" s="568"/>
      <c r="I43" s="568"/>
      <c r="J43" s="568"/>
      <c r="K43" s="568"/>
      <c r="L43" s="568"/>
      <c r="M43" s="568"/>
      <c r="N43" s="526"/>
      <c r="AB43" t="s">
        <v>151</v>
      </c>
      <c r="AC43">
        <v>0.50724260208561189</v>
      </c>
      <c r="AK43" t="s">
        <v>151</v>
      </c>
      <c r="AL43">
        <v>0.8630872392956892</v>
      </c>
      <c r="AT43" t="s">
        <v>151</v>
      </c>
      <c r="AU43">
        <v>0.63597904452519183</v>
      </c>
      <c r="BC43" t="s">
        <v>151</v>
      </c>
      <c r="BD43">
        <v>0.64956139629092535</v>
      </c>
    </row>
    <row r="44" spans="1:63" x14ac:dyDescent="0.25">
      <c r="A44" s="228"/>
      <c r="B44" s="526" t="s">
        <v>104</v>
      </c>
      <c r="C44" s="526"/>
      <c r="D44" s="526"/>
      <c r="E44" s="526" t="s">
        <v>102</v>
      </c>
      <c r="F44" s="526"/>
      <c r="G44" s="526"/>
      <c r="H44" s="526" t="s">
        <v>103</v>
      </c>
      <c r="I44" s="526"/>
      <c r="J44" s="526"/>
      <c r="K44" s="526" t="s">
        <v>72</v>
      </c>
      <c r="L44" s="526"/>
      <c r="M44" s="526"/>
      <c r="N44" s="244"/>
      <c r="AB44" t="s">
        <v>152</v>
      </c>
      <c r="AC44">
        <v>0.25729505737058245</v>
      </c>
      <c r="AK44" t="s">
        <v>152</v>
      </c>
      <c r="AL44">
        <v>0.7449195826350542</v>
      </c>
      <c r="AT44" t="s">
        <v>152</v>
      </c>
      <c r="AU44">
        <v>0.4044693450751759</v>
      </c>
      <c r="BC44" t="s">
        <v>152</v>
      </c>
      <c r="BD44">
        <v>0.42193000755141652</v>
      </c>
    </row>
    <row r="45" spans="1:63" x14ac:dyDescent="0.25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t="s">
        <v>153</v>
      </c>
      <c r="AC45">
        <v>9.7267431607765964E-3</v>
      </c>
      <c r="AK45" t="s">
        <v>153</v>
      </c>
      <c r="AL45">
        <v>0.65989277684673897</v>
      </c>
      <c r="AT45" t="s">
        <v>153</v>
      </c>
      <c r="AU45">
        <v>0.2059591267669012</v>
      </c>
      <c r="BC45" t="s">
        <v>153</v>
      </c>
      <c r="BD45">
        <v>0.22924001006855535</v>
      </c>
    </row>
    <row r="46" spans="1:63" x14ac:dyDescent="0.25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t="s">
        <v>154</v>
      </c>
      <c r="AC46">
        <v>0.43584971321528798</v>
      </c>
      <c r="AK46" t="s">
        <v>154</v>
      </c>
      <c r="AL46">
        <v>0.16386429953454154</v>
      </c>
      <c r="AT46" t="s">
        <v>154</v>
      </c>
      <c r="AU46">
        <v>0.16899633017867166</v>
      </c>
      <c r="BC46" t="s">
        <v>154</v>
      </c>
      <c r="BD46">
        <v>0.24207496877675877</v>
      </c>
    </row>
    <row r="47" spans="1:63" ht="15.75" thickBot="1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486" t="s">
        <v>155</v>
      </c>
      <c r="AC47" s="486">
        <v>5</v>
      </c>
      <c r="AK47" s="486" t="s">
        <v>155</v>
      </c>
      <c r="AL47" s="486">
        <v>5</v>
      </c>
      <c r="AT47" s="486" t="s">
        <v>155</v>
      </c>
      <c r="AU47" s="486">
        <v>5</v>
      </c>
      <c r="BC47" s="486" t="s">
        <v>155</v>
      </c>
      <c r="BD47" s="486">
        <v>5</v>
      </c>
    </row>
    <row r="48" spans="1:63" x14ac:dyDescent="0.25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.75" thickBot="1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25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487"/>
      <c r="AC50" s="487" t="s">
        <v>160</v>
      </c>
      <c r="AD50" s="487" t="s">
        <v>161</v>
      </c>
      <c r="AE50" s="487" t="s">
        <v>162</v>
      </c>
      <c r="AF50" s="487" t="s">
        <v>163</v>
      </c>
      <c r="AG50" s="487" t="s">
        <v>164</v>
      </c>
      <c r="AK50" s="487"/>
      <c r="AL50" s="487" t="s">
        <v>160</v>
      </c>
      <c r="AM50" s="487" t="s">
        <v>161</v>
      </c>
      <c r="AN50" s="487" t="s">
        <v>162</v>
      </c>
      <c r="AO50" s="487" t="s">
        <v>163</v>
      </c>
      <c r="AP50" s="487" t="s">
        <v>164</v>
      </c>
      <c r="AT50" s="487"/>
      <c r="AU50" s="487" t="s">
        <v>160</v>
      </c>
      <c r="AV50" s="487" t="s">
        <v>161</v>
      </c>
      <c r="AW50" s="487" t="s">
        <v>162</v>
      </c>
      <c r="AX50" s="487" t="s">
        <v>163</v>
      </c>
      <c r="AY50" s="487" t="s">
        <v>164</v>
      </c>
      <c r="BC50" s="487"/>
      <c r="BD50" s="487" t="s">
        <v>160</v>
      </c>
      <c r="BE50" s="487" t="s">
        <v>161</v>
      </c>
      <c r="BF50" s="487" t="s">
        <v>162</v>
      </c>
      <c r="BG50" s="487" t="s">
        <v>163</v>
      </c>
      <c r="BH50" s="487" t="s">
        <v>164</v>
      </c>
    </row>
    <row r="51" spans="1:63" x14ac:dyDescent="0.25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t="s">
        <v>157</v>
      </c>
      <c r="AC51">
        <v>1</v>
      </c>
      <c r="AD51">
        <v>0.19742853061115484</v>
      </c>
      <c r="AE51">
        <v>0.19742853061115484</v>
      </c>
      <c r="AF51">
        <v>1.0392891278991927</v>
      </c>
      <c r="AG51">
        <v>0.38303551199188679</v>
      </c>
      <c r="AK51" t="s">
        <v>157</v>
      </c>
      <c r="AL51">
        <v>1</v>
      </c>
      <c r="AM51">
        <v>0.23524598437081473</v>
      </c>
      <c r="AN51">
        <v>0.23524598437081473</v>
      </c>
      <c r="AO51">
        <v>8.7609969083117534</v>
      </c>
      <c r="AP51">
        <v>5.9548855531135987E-2</v>
      </c>
      <c r="AT51" t="s">
        <v>157</v>
      </c>
      <c r="AU51">
        <v>1</v>
      </c>
      <c r="AV51">
        <v>5.8191197233902467E-2</v>
      </c>
      <c r="AW51">
        <v>5.8191197233902467E-2</v>
      </c>
      <c r="AX51">
        <v>2.0375240555479053</v>
      </c>
      <c r="AY51">
        <v>0.24874691573503355</v>
      </c>
      <c r="BC51" t="s">
        <v>157</v>
      </c>
      <c r="BD51">
        <v>1</v>
      </c>
      <c r="BE51">
        <v>0.12831605864164392</v>
      </c>
      <c r="BF51">
        <v>0.12831605864164392</v>
      </c>
      <c r="BG51">
        <v>2.189682978167796</v>
      </c>
      <c r="BH51">
        <v>0.23549930259735113</v>
      </c>
    </row>
    <row r="52" spans="1:63" x14ac:dyDescent="0.25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t="s">
        <v>158</v>
      </c>
      <c r="AC52">
        <v>3</v>
      </c>
      <c r="AD52">
        <v>0.56989491752954635</v>
      </c>
      <c r="AE52">
        <v>0.18996497250984878</v>
      </c>
      <c r="AK52" t="s">
        <v>158</v>
      </c>
      <c r="AL52">
        <v>3</v>
      </c>
      <c r="AM52">
        <v>8.0554525985837844E-2</v>
      </c>
      <c r="AN52">
        <v>2.6851508661945949E-2</v>
      </c>
      <c r="AT52" t="s">
        <v>158</v>
      </c>
      <c r="AU52">
        <v>3</v>
      </c>
      <c r="AV52">
        <v>8.5679278841575821E-2</v>
      </c>
      <c r="AW52">
        <v>2.8559759613858607E-2</v>
      </c>
      <c r="BC52" t="s">
        <v>158</v>
      </c>
      <c r="BD52">
        <v>3</v>
      </c>
      <c r="BE52">
        <v>0.17580087152480622</v>
      </c>
      <c r="BF52">
        <v>5.8600290508268739E-2</v>
      </c>
    </row>
    <row r="53" spans="1:63" ht="15.75" thickBot="1" x14ac:dyDescent="0.3">
      <c r="AB53" s="486" t="s">
        <v>105</v>
      </c>
      <c r="AC53" s="486">
        <v>4</v>
      </c>
      <c r="AD53" s="486">
        <v>0.76732344814070119</v>
      </c>
      <c r="AE53" s="486"/>
      <c r="AF53" s="486"/>
      <c r="AG53" s="486"/>
      <c r="AK53" s="486" t="s">
        <v>105</v>
      </c>
      <c r="AL53" s="486">
        <v>4</v>
      </c>
      <c r="AM53" s="486">
        <v>0.31580051035665258</v>
      </c>
      <c r="AN53" s="486"/>
      <c r="AO53" s="486"/>
      <c r="AP53" s="486"/>
      <c r="AT53" s="486" t="s">
        <v>105</v>
      </c>
      <c r="AU53" s="486">
        <v>4</v>
      </c>
      <c r="AV53" s="486">
        <v>0.14387047607547829</v>
      </c>
      <c r="AW53" s="486"/>
      <c r="AX53" s="486"/>
      <c r="AY53" s="486"/>
      <c r="BC53" s="486" t="s">
        <v>105</v>
      </c>
      <c r="BD53" s="486">
        <v>4</v>
      </c>
      <c r="BE53" s="486">
        <v>0.30411693016645014</v>
      </c>
      <c r="BF53" s="486"/>
      <c r="BG53" s="486"/>
      <c r="BH53" s="486"/>
    </row>
    <row r="54" spans="1:63" ht="15.75" thickBot="1" x14ac:dyDescent="0.3">
      <c r="A54" s="526" t="s">
        <v>147</v>
      </c>
      <c r="B54" s="568"/>
      <c r="C54" s="568"/>
      <c r="D54" s="568"/>
      <c r="E54" s="568"/>
      <c r="F54" s="568"/>
      <c r="G54" s="568"/>
      <c r="H54" s="568"/>
      <c r="I54" s="568"/>
      <c r="J54" s="568"/>
      <c r="K54" s="568"/>
      <c r="L54" s="568"/>
      <c r="M54" s="568"/>
      <c r="N54" s="526"/>
    </row>
    <row r="55" spans="1:63" x14ac:dyDescent="0.25">
      <c r="A55" s="228"/>
      <c r="B55" s="526" t="s">
        <v>104</v>
      </c>
      <c r="C55" s="526"/>
      <c r="D55" s="526"/>
      <c r="E55" s="526" t="s">
        <v>102</v>
      </c>
      <c r="F55" s="526"/>
      <c r="G55" s="526"/>
      <c r="H55" s="526" t="s">
        <v>103</v>
      </c>
      <c r="I55" s="526"/>
      <c r="J55" s="526"/>
      <c r="K55" s="526" t="s">
        <v>72</v>
      </c>
      <c r="L55" s="526"/>
      <c r="M55" s="526"/>
      <c r="N55" s="244"/>
      <c r="AB55" s="487"/>
      <c r="AC55" s="487" t="s">
        <v>165</v>
      </c>
      <c r="AD55" s="487" t="s">
        <v>154</v>
      </c>
      <c r="AE55" s="487" t="s">
        <v>166</v>
      </c>
      <c r="AF55" s="487" t="s">
        <v>167</v>
      </c>
      <c r="AG55" s="487" t="s">
        <v>168</v>
      </c>
      <c r="AH55" s="487" t="s">
        <v>169</v>
      </c>
      <c r="AI55" s="487" t="s">
        <v>170</v>
      </c>
      <c r="AJ55" s="487" t="s">
        <v>171</v>
      </c>
      <c r="AK55" s="487"/>
      <c r="AL55" s="487" t="s">
        <v>165</v>
      </c>
      <c r="AM55" s="487" t="s">
        <v>154</v>
      </c>
      <c r="AN55" s="487" t="s">
        <v>166</v>
      </c>
      <c r="AO55" s="487" t="s">
        <v>167</v>
      </c>
      <c r="AP55" s="487" t="s">
        <v>168</v>
      </c>
      <c r="AQ55" s="487" t="s">
        <v>169</v>
      </c>
      <c r="AR55" s="487" t="s">
        <v>170</v>
      </c>
      <c r="AS55" s="487" t="s">
        <v>171</v>
      </c>
      <c r="AT55" s="487"/>
      <c r="AU55" s="487" t="s">
        <v>165</v>
      </c>
      <c r="AV55" s="487" t="s">
        <v>154</v>
      </c>
      <c r="AW55" s="487" t="s">
        <v>166</v>
      </c>
      <c r="AX55" s="487" t="s">
        <v>167</v>
      </c>
      <c r="AY55" s="487" t="s">
        <v>168</v>
      </c>
      <c r="AZ55" s="487" t="s">
        <v>169</v>
      </c>
      <c r="BA55" s="487" t="s">
        <v>170</v>
      </c>
      <c r="BB55" s="487" t="s">
        <v>171</v>
      </c>
      <c r="BC55" s="487"/>
      <c r="BD55" s="487" t="s">
        <v>165</v>
      </c>
      <c r="BE55" s="487" t="s">
        <v>154</v>
      </c>
      <c r="BF55" s="487" t="s">
        <v>166</v>
      </c>
      <c r="BG55" s="487" t="s">
        <v>167</v>
      </c>
      <c r="BH55" s="487" t="s">
        <v>168</v>
      </c>
      <c r="BI55" s="487" t="s">
        <v>169</v>
      </c>
      <c r="BJ55" s="487" t="s">
        <v>170</v>
      </c>
      <c r="BK55" s="487" t="s">
        <v>171</v>
      </c>
    </row>
    <row r="56" spans="1:63" x14ac:dyDescent="0.25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t="s">
        <v>159</v>
      </c>
      <c r="AC56">
        <v>-0.42841128112440341</v>
      </c>
      <c r="AD56">
        <v>0.23984774431231323</v>
      </c>
      <c r="AE56">
        <v>-1.7861801550510132</v>
      </c>
      <c r="AF56">
        <v>0.17204690320560756</v>
      </c>
      <c r="AG56">
        <v>-1.1917138488417565</v>
      </c>
      <c r="AH56">
        <v>0.33489128659294953</v>
      </c>
      <c r="AI56">
        <v>-1.1917138488417565</v>
      </c>
      <c r="AJ56">
        <v>0.33489128659294953</v>
      </c>
      <c r="AK56" t="s">
        <v>159</v>
      </c>
      <c r="AL56">
        <v>-5.2725924486567863E-2</v>
      </c>
      <c r="AM56">
        <v>9.017439136701591E-2</v>
      </c>
      <c r="AN56">
        <v>-0.58471062224273584</v>
      </c>
      <c r="AO56">
        <v>0.59980988339506902</v>
      </c>
      <c r="AP56">
        <v>-0.33970108312373487</v>
      </c>
      <c r="AQ56">
        <v>0.23424923415059912</v>
      </c>
      <c r="AR56">
        <v>-0.33970108312373487</v>
      </c>
      <c r="AS56">
        <v>0.23424923415059912</v>
      </c>
      <c r="AT56" t="s">
        <v>159</v>
      </c>
      <c r="AU56">
        <v>0.13286760613533788</v>
      </c>
      <c r="AV56">
        <v>9.2998543675516521E-2</v>
      </c>
      <c r="AW56">
        <v>1.4287063096270569</v>
      </c>
      <c r="AX56">
        <v>0.24841145967953634</v>
      </c>
      <c r="AY56">
        <v>-0.16309526558157533</v>
      </c>
      <c r="AZ56">
        <v>0.42883047785225109</v>
      </c>
      <c r="BA56">
        <v>-0.16309526558157533</v>
      </c>
      <c r="BB56">
        <v>0.42883047785225109</v>
      </c>
      <c r="BC56" t="s">
        <v>159</v>
      </c>
      <c r="BD56">
        <v>1.4051117648737996E-2</v>
      </c>
      <c r="BE56">
        <v>0.13321365933054993</v>
      </c>
      <c r="BF56">
        <v>0.10547805472314391</v>
      </c>
      <c r="BG56">
        <v>0.92265359707617201</v>
      </c>
      <c r="BH56">
        <v>-0.4098942003010933</v>
      </c>
      <c r="BI56">
        <v>0.43799643559856932</v>
      </c>
      <c r="BJ56">
        <v>-0.4098942003010933</v>
      </c>
      <c r="BK56">
        <v>0.43799643559856932</v>
      </c>
    </row>
    <row r="57" spans="1:63" ht="15.75" thickBot="1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486" t="s">
        <v>27</v>
      </c>
      <c r="AC57" s="486">
        <v>-1.7728264890811853</v>
      </c>
      <c r="AD57" s="486">
        <v>1.7389938261192028</v>
      </c>
      <c r="AE57" s="486">
        <v>-1.019455309417334</v>
      </c>
      <c r="AF57" s="503">
        <v>0.3830355119918874</v>
      </c>
      <c r="AG57" s="486">
        <v>-7.3070809659254232</v>
      </c>
      <c r="AH57" s="486">
        <v>3.7614279877630521</v>
      </c>
      <c r="AI57" s="486">
        <v>-7.3070809659254232</v>
      </c>
      <c r="AJ57" s="486">
        <v>3.7614279877630521</v>
      </c>
      <c r="AK57" s="486" t="s">
        <v>27</v>
      </c>
      <c r="AL57" s="486">
        <v>-1.9351845362176592</v>
      </c>
      <c r="AM57" s="486">
        <v>0.65380106163144358</v>
      </c>
      <c r="AN57" s="486">
        <v>-2.9598981246508722</v>
      </c>
      <c r="AO57" s="504">
        <v>5.9548855531136022E-2</v>
      </c>
      <c r="AP57" s="486">
        <v>-4.0158713091972134</v>
      </c>
      <c r="AQ57" s="486">
        <v>0.145502236761895</v>
      </c>
      <c r="AR57" s="486">
        <v>-4.0158713091972134</v>
      </c>
      <c r="AS57" s="486">
        <v>0.145502236761895</v>
      </c>
      <c r="AT57" s="486" t="s">
        <v>27</v>
      </c>
      <c r="AU57" s="486">
        <v>-0.96247602872795501</v>
      </c>
      <c r="AV57" s="486">
        <v>0.67427731602601404</v>
      </c>
      <c r="AW57" s="486">
        <v>-1.4274186686280605</v>
      </c>
      <c r="AX57" s="503">
        <v>0.24874691573503355</v>
      </c>
      <c r="AY57" s="486">
        <v>-3.1083273818515593</v>
      </c>
      <c r="AZ57" s="486">
        <v>1.1833753243956491</v>
      </c>
      <c r="BA57" s="486">
        <v>-3.1083273818515593</v>
      </c>
      <c r="BB57" s="486">
        <v>1.1833753243956491</v>
      </c>
      <c r="BC57" s="486" t="s">
        <v>27</v>
      </c>
      <c r="BD57" s="486">
        <v>-1.429228873361903</v>
      </c>
      <c r="BE57" s="486">
        <v>0.96585328244289959</v>
      </c>
      <c r="BF57" s="486">
        <v>-1.4797577430673563</v>
      </c>
      <c r="BG57" s="503">
        <v>0.23549930259735113</v>
      </c>
      <c r="BH57" s="486">
        <v>-4.5030050835184516</v>
      </c>
      <c r="BI57" s="486">
        <v>1.6445473367946457</v>
      </c>
      <c r="BJ57" s="486">
        <v>-4.5030050835184516</v>
      </c>
      <c r="BK57" s="486">
        <v>1.6445473367946457</v>
      </c>
    </row>
    <row r="58" spans="1:63" x14ac:dyDescent="0.25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4.7747439937281033E-2</v>
      </c>
      <c r="L58" s="456">
        <f>'Summer Weights'!AH52</f>
        <v>0.18703707902634226</v>
      </c>
      <c r="M58" s="456">
        <f t="shared" ref="M58:M62" si="23">K58/L58</f>
        <v>0.25528328492852637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25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25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25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25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25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25">
      <c r="F64" s="452"/>
      <c r="J64" s="452"/>
    </row>
    <row r="65" spans="1:41" x14ac:dyDescent="0.25">
      <c r="A65" t="s">
        <v>134</v>
      </c>
      <c r="B65" t="s">
        <v>125</v>
      </c>
      <c r="G65" t="s">
        <v>148</v>
      </c>
      <c r="H65" t="s">
        <v>125</v>
      </c>
      <c r="W65" s="569" t="s">
        <v>144</v>
      </c>
      <c r="X65" s="569"/>
      <c r="Y65" s="569"/>
      <c r="Z65" s="56"/>
      <c r="AA65" s="215" t="s">
        <v>135</v>
      </c>
      <c r="AB65" s="215"/>
      <c r="AC65" s="56"/>
      <c r="AD65" s="56"/>
      <c r="AG65" s="490" t="s">
        <v>149</v>
      </c>
      <c r="AH65" s="491"/>
      <c r="AI65" s="491"/>
      <c r="AJ65" s="491"/>
      <c r="AK65" s="491"/>
      <c r="AL65" s="491"/>
      <c r="AM65" s="491"/>
      <c r="AN65" s="491"/>
      <c r="AO65" s="492"/>
    </row>
    <row r="66" spans="1:41" ht="15.75" thickBot="1" x14ac:dyDescent="0.3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06" t="s">
        <v>185</v>
      </c>
      <c r="AG66" s="493" t="s">
        <v>172</v>
      </c>
      <c r="AO66" s="494"/>
    </row>
    <row r="67" spans="1:41" x14ac:dyDescent="0.25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5" t="s">
        <v>150</v>
      </c>
      <c r="AH67" s="488"/>
      <c r="AO67" s="494"/>
    </row>
    <row r="68" spans="1:41" x14ac:dyDescent="0.25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3" t="s">
        <v>151</v>
      </c>
      <c r="AH68">
        <v>0.94002076818784097</v>
      </c>
      <c r="AO68" s="494"/>
    </row>
    <row r="69" spans="1:41" x14ac:dyDescent="0.25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3" t="s">
        <v>152</v>
      </c>
      <c r="AH69">
        <v>0.88363904462445875</v>
      </c>
      <c r="AO69" s="494"/>
    </row>
    <row r="70" spans="1:41" x14ac:dyDescent="0.25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3" t="s">
        <v>153</v>
      </c>
      <c r="AH70">
        <v>0.8603668535493505</v>
      </c>
      <c r="AO70" s="494"/>
    </row>
    <row r="71" spans="1:41" x14ac:dyDescent="0.25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3" t="s">
        <v>154</v>
      </c>
      <c r="AH71">
        <v>0.12056577437940891</v>
      </c>
      <c r="AO71" s="494"/>
    </row>
    <row r="72" spans="1:41" ht="15.75" thickBot="1" x14ac:dyDescent="0.3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6" t="s">
        <v>155</v>
      </c>
      <c r="AH72" s="486">
        <v>7</v>
      </c>
      <c r="AO72" s="494"/>
    </row>
    <row r="73" spans="1:41" x14ac:dyDescent="0.25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3"/>
      <c r="AO73" s="494"/>
    </row>
    <row r="74" spans="1:41" ht="15.75" thickBot="1" x14ac:dyDescent="0.3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69" t="s">
        <v>145</v>
      </c>
      <c r="X74" s="569"/>
      <c r="Y74" s="569"/>
      <c r="Z74" s="56"/>
      <c r="AA74" s="56"/>
      <c r="AB74" s="56"/>
      <c r="AC74" s="56"/>
      <c r="AD74" s="56"/>
      <c r="AG74" s="493" t="s">
        <v>156</v>
      </c>
      <c r="AO74" s="494"/>
    </row>
    <row r="75" spans="1:41" x14ac:dyDescent="0.25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7"/>
      <c r="AH75" s="487" t="s">
        <v>160</v>
      </c>
      <c r="AI75" s="487" t="s">
        <v>161</v>
      </c>
      <c r="AJ75" s="487" t="s">
        <v>162</v>
      </c>
      <c r="AK75" s="487" t="s">
        <v>163</v>
      </c>
      <c r="AL75" s="487" t="s">
        <v>164</v>
      </c>
      <c r="AO75" s="494"/>
    </row>
    <row r="76" spans="1:41" x14ac:dyDescent="0.25">
      <c r="W76" s="59" t="s">
        <v>106</v>
      </c>
      <c r="X76" s="225">
        <v>4.6365499999999997</v>
      </c>
      <c r="Y76" s="456">
        <f>'Summer Weights'!AB51</f>
        <v>9.9549500000000002</v>
      </c>
      <c r="Z76" s="456">
        <f t="shared" ref="Z76:Z81" si="28">X76/Y76</f>
        <v>0.46575321824820815</v>
      </c>
      <c r="AA76" s="225">
        <v>5.1529157327069051</v>
      </c>
      <c r="AB76" s="456">
        <f>'Summer Weights'!AC51</f>
        <v>12.037779962234591</v>
      </c>
      <c r="AC76" s="456">
        <f t="shared" ref="AC76:AC81" si="29">AA76/AB76</f>
        <v>0.42806196398944324</v>
      </c>
      <c r="AD76" s="86">
        <v>-0.25646381521666273</v>
      </c>
      <c r="AE76">
        <v>-0.1822636658300531</v>
      </c>
      <c r="AG76" s="493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4"/>
    </row>
    <row r="77" spans="1:41" x14ac:dyDescent="0.25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si="28"/>
        <v>0.46884704968944091</v>
      </c>
      <c r="AA77" s="225">
        <v>5.1789754851130283</v>
      </c>
      <c r="AB77" s="456">
        <f>'Summer Weights'!AC52</f>
        <v>11.951146715571859</v>
      </c>
      <c r="AC77" s="456">
        <f t="shared" si="29"/>
        <v>0.43334548628417668</v>
      </c>
      <c r="AD77" s="420">
        <v>-0.32648441197031308</v>
      </c>
      <c r="AE77">
        <v>-0.32905443303548948</v>
      </c>
      <c r="AG77" s="493" t="s">
        <v>158</v>
      </c>
      <c r="AH77">
        <v>5</v>
      </c>
      <c r="AI77">
        <v>7.2680529758532661E-2</v>
      </c>
      <c r="AJ77">
        <v>1.4536105951706532E-2</v>
      </c>
      <c r="AO77" s="494"/>
    </row>
    <row r="78" spans="1:41" ht="15.75" thickBot="1" x14ac:dyDescent="0.3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496" t="s">
        <v>105</v>
      </c>
      <c r="AH78" s="486">
        <v>6</v>
      </c>
      <c r="AI78" s="486">
        <v>0.6246126935273506</v>
      </c>
      <c r="AJ78" s="486"/>
      <c r="AK78" s="486"/>
      <c r="AL78" s="486"/>
      <c r="AO78" s="494"/>
    </row>
    <row r="79" spans="1:41" ht="15.75" thickBot="1" x14ac:dyDescent="0.3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493"/>
      <c r="AO79" s="494"/>
    </row>
    <row r="80" spans="1:41" x14ac:dyDescent="0.25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497"/>
      <c r="AH80" s="487" t="s">
        <v>165</v>
      </c>
      <c r="AI80" s="487" t="s">
        <v>154</v>
      </c>
      <c r="AJ80" s="487" t="s">
        <v>166</v>
      </c>
      <c r="AK80" s="489" t="s">
        <v>167</v>
      </c>
      <c r="AL80" s="487" t="s">
        <v>168</v>
      </c>
      <c r="AM80" s="487" t="s">
        <v>169</v>
      </c>
      <c r="AN80" s="487" t="s">
        <v>170</v>
      </c>
      <c r="AO80" s="498" t="s">
        <v>171</v>
      </c>
    </row>
    <row r="81" spans="1:41" x14ac:dyDescent="0.25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493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4">
        <v>2.7415776814945017E-2</v>
      </c>
    </row>
    <row r="82" spans="1:41" x14ac:dyDescent="0.25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G82" s="499" t="s">
        <v>131</v>
      </c>
      <c r="AH82" s="500">
        <v>-1.8252355743010502</v>
      </c>
      <c r="AI82" s="500">
        <v>0.29621027066210526</v>
      </c>
      <c r="AJ82" s="500">
        <v>-6.1619591050005953</v>
      </c>
      <c r="AK82" s="501">
        <v>1.6381616480848796E-3</v>
      </c>
      <c r="AL82" s="500">
        <v>-2.5866683155939745</v>
      </c>
      <c r="AM82" s="500">
        <v>-1.0638028330081259</v>
      </c>
      <c r="AN82" s="500">
        <v>-2.5866683155939745</v>
      </c>
      <c r="AO82" s="502">
        <v>-1.0638028330081259</v>
      </c>
    </row>
    <row r="83" spans="1:41" x14ac:dyDescent="0.25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25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490" t="s">
        <v>149</v>
      </c>
      <c r="AH84" s="491"/>
      <c r="AI84" s="491"/>
      <c r="AJ84" s="491"/>
      <c r="AK84" s="491"/>
      <c r="AL84" s="491"/>
      <c r="AM84" s="491"/>
      <c r="AN84" s="491"/>
      <c r="AO84" s="492"/>
    </row>
    <row r="85" spans="1:41" ht="15.75" thickBot="1" x14ac:dyDescent="0.3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493" t="s">
        <v>173</v>
      </c>
      <c r="AO85" s="494"/>
    </row>
    <row r="86" spans="1:41" x14ac:dyDescent="0.25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495" t="s">
        <v>150</v>
      </c>
      <c r="AH86" s="488"/>
      <c r="AO86" s="494"/>
    </row>
    <row r="87" spans="1:41" x14ac:dyDescent="0.25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493" t="s">
        <v>151</v>
      </c>
      <c r="AH87">
        <v>0.92536456500566133</v>
      </c>
      <c r="AO87" s="494"/>
    </row>
    <row r="88" spans="1:41" x14ac:dyDescent="0.25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493" t="s">
        <v>152</v>
      </c>
      <c r="AH88">
        <v>0.85629957816811675</v>
      </c>
      <c r="AO88" s="494"/>
    </row>
    <row r="89" spans="1:41" x14ac:dyDescent="0.25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493" t="s">
        <v>153</v>
      </c>
      <c r="AH89">
        <v>0.82037447271014585</v>
      </c>
      <c r="AO89" s="494"/>
    </row>
    <row r="90" spans="1:41" x14ac:dyDescent="0.25">
      <c r="AG90" s="493" t="s">
        <v>154</v>
      </c>
      <c r="AH90">
        <v>0.12069960881956698</v>
      </c>
      <c r="AO90" s="494"/>
    </row>
    <row r="91" spans="1:41" ht="15.75" thickBot="1" x14ac:dyDescent="0.3">
      <c r="F91" t="s">
        <v>212</v>
      </c>
      <c r="AG91" s="496" t="s">
        <v>155</v>
      </c>
      <c r="AH91" s="486">
        <v>6</v>
      </c>
      <c r="AO91" s="494"/>
    </row>
    <row r="92" spans="1:41" x14ac:dyDescent="0.25">
      <c r="B92" s="83" t="s">
        <v>113</v>
      </c>
      <c r="C92" s="450" t="s">
        <v>117</v>
      </c>
      <c r="D92" s="450" t="s">
        <v>118</v>
      </c>
      <c r="F92" s="229" t="s">
        <v>75</v>
      </c>
      <c r="G92" s="215" t="s">
        <v>131</v>
      </c>
      <c r="AG92" s="493"/>
      <c r="AO92" s="494"/>
    </row>
    <row r="93" spans="1:41" ht="15.75" thickBot="1" x14ac:dyDescent="0.3">
      <c r="B93" s="83" t="s">
        <v>115</v>
      </c>
      <c r="C93" s="450" t="s">
        <v>116</v>
      </c>
      <c r="D93" s="450" t="s">
        <v>116</v>
      </c>
      <c r="F93" s="456">
        <v>9.6250500805787967E-2</v>
      </c>
      <c r="G93" s="86">
        <v>-0.25646381521666273</v>
      </c>
      <c r="AG93" s="493" t="s">
        <v>156</v>
      </c>
      <c r="AO93" s="494"/>
    </row>
    <row r="94" spans="1:41" x14ac:dyDescent="0.25">
      <c r="B94" s="83" t="s">
        <v>106</v>
      </c>
      <c r="C94" s="453">
        <v>2.3674028040712401E-6</v>
      </c>
      <c r="D94" s="451">
        <f>C94*86400</f>
        <v>0.20454360227175514</v>
      </c>
      <c r="E94">
        <v>0.19070799999999999</v>
      </c>
      <c r="F94" s="456">
        <v>0.82482620575765719</v>
      </c>
      <c r="G94" s="86">
        <v>-0.25646381521666273</v>
      </c>
      <c r="AG94" s="497"/>
      <c r="AH94" s="487" t="s">
        <v>160</v>
      </c>
      <c r="AI94" s="487" t="s">
        <v>161</v>
      </c>
      <c r="AJ94" s="487" t="s">
        <v>162</v>
      </c>
      <c r="AK94" s="487" t="s">
        <v>163</v>
      </c>
      <c r="AL94" s="487" t="s">
        <v>164</v>
      </c>
      <c r="AO94" s="494"/>
    </row>
    <row r="95" spans="1:41" x14ac:dyDescent="0.25">
      <c r="B95" s="83" t="s">
        <v>107</v>
      </c>
      <c r="C95" s="453">
        <v>-3.6645109923664098E-6</v>
      </c>
      <c r="D95" s="451">
        <f t="shared" ref="D94:D100" si="32">C95*86400</f>
        <v>-0.31661374974045781</v>
      </c>
      <c r="E95">
        <v>-0.320243</v>
      </c>
      <c r="F95" s="456">
        <v>-0.25314346921600916</v>
      </c>
      <c r="G95" s="87">
        <v>8.8871890830739209E-2</v>
      </c>
      <c r="AG95" s="493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4"/>
    </row>
    <row r="96" spans="1:41" x14ac:dyDescent="0.25">
      <c r="B96" s="83" t="s">
        <v>108</v>
      </c>
      <c r="C96" s="453">
        <v>-1.27513986259541E-6</v>
      </c>
      <c r="D96" s="451">
        <f t="shared" si="32"/>
        <v>-0.11017208412824342</v>
      </c>
      <c r="E96">
        <v>-0.11450399999999999</v>
      </c>
      <c r="F96" s="456">
        <v>-0.27238261557668869</v>
      </c>
      <c r="G96" s="87">
        <v>8.8871890830739209E-2</v>
      </c>
      <c r="I96" t="s">
        <v>149</v>
      </c>
      <c r="R96" t="s">
        <v>149</v>
      </c>
      <c r="AG96" s="493" t="s">
        <v>158</v>
      </c>
      <c r="AH96">
        <v>4</v>
      </c>
      <c r="AI96">
        <v>5.8273582276785973E-2</v>
      </c>
      <c r="AJ96">
        <v>1.4568395569196493E-2</v>
      </c>
      <c r="AO96" s="494"/>
    </row>
    <row r="97" spans="2:41" ht="15.75" thickBot="1" x14ac:dyDescent="0.3">
      <c r="B97" s="83" t="s">
        <v>109</v>
      </c>
      <c r="C97" s="453">
        <v>6.9914096692111896E-7</v>
      </c>
      <c r="D97" s="451">
        <f t="shared" si="32"/>
        <v>6.0405779541984679E-2</v>
      </c>
      <c r="E97">
        <v>6.1934000000000003E-2</v>
      </c>
      <c r="F97" s="456">
        <v>-0.35997139719598487</v>
      </c>
      <c r="G97" s="225">
        <v>-5.8003155872635853E-2</v>
      </c>
      <c r="I97" t="s">
        <v>213</v>
      </c>
      <c r="R97" t="s">
        <v>214</v>
      </c>
      <c r="AG97" s="496" t="s">
        <v>105</v>
      </c>
      <c r="AH97" s="486">
        <v>5</v>
      </c>
      <c r="AI97" s="486">
        <v>0.40552130281817039</v>
      </c>
      <c r="AJ97" s="486"/>
      <c r="AK97" s="486"/>
      <c r="AL97" s="486"/>
      <c r="AO97" s="494"/>
    </row>
    <row r="98" spans="2:41" ht="15.75" thickBot="1" x14ac:dyDescent="0.3">
      <c r="B98" s="83" t="s">
        <v>110</v>
      </c>
      <c r="C98" s="453">
        <v>-4.0200137048346001E-7</v>
      </c>
      <c r="D98" s="451">
        <f t="shared" si="32"/>
        <v>-3.4732918409770948E-2</v>
      </c>
      <c r="E98">
        <v>-3.3806000000000003E-2</v>
      </c>
      <c r="F98" s="456">
        <v>-5.6644530065569224E-4</v>
      </c>
      <c r="G98" s="220">
        <v>-0.12379754395977956</v>
      </c>
      <c r="I98" s="488" t="s">
        <v>150</v>
      </c>
      <c r="J98" s="488"/>
      <c r="R98" s="488" t="s">
        <v>150</v>
      </c>
      <c r="S98" s="488"/>
      <c r="AG98" s="493"/>
      <c r="AO98" s="494"/>
    </row>
    <row r="99" spans="2:41" x14ac:dyDescent="0.25">
      <c r="B99" s="83" t="s">
        <v>111</v>
      </c>
      <c r="C99" s="453">
        <v>-1.93824267684478E-6</v>
      </c>
      <c r="D99" s="451">
        <f t="shared" si="32"/>
        <v>-0.16746416727938898</v>
      </c>
      <c r="E99">
        <v>-0.162573</v>
      </c>
      <c r="F99" s="456">
        <v>-0.13505730290907142</v>
      </c>
      <c r="G99" s="220">
        <v>-0.12379754395977956</v>
      </c>
      <c r="I99" t="s">
        <v>151</v>
      </c>
      <c r="J99">
        <v>0.70481230015693608</v>
      </c>
      <c r="R99" t="s">
        <v>151</v>
      </c>
      <c r="S99">
        <v>0.8958640342226375</v>
      </c>
      <c r="AG99" s="497"/>
      <c r="AH99" s="487" t="s">
        <v>165</v>
      </c>
      <c r="AI99" s="487" t="s">
        <v>154</v>
      </c>
      <c r="AJ99" s="487" t="s">
        <v>166</v>
      </c>
      <c r="AK99" s="487" t="s">
        <v>167</v>
      </c>
      <c r="AL99" s="487" t="s">
        <v>168</v>
      </c>
      <c r="AM99" s="487" t="s">
        <v>169</v>
      </c>
      <c r="AN99" s="487" t="s">
        <v>170</v>
      </c>
      <c r="AO99" s="498" t="s">
        <v>171</v>
      </c>
    </row>
    <row r="100" spans="2:41" x14ac:dyDescent="0.25">
      <c r="B100" s="83" t="s">
        <v>112</v>
      </c>
      <c r="C100" s="453">
        <v>-3.8632371653943999E-7</v>
      </c>
      <c r="D100" s="451">
        <f t="shared" si="32"/>
        <v>-3.3378369109007613E-2</v>
      </c>
      <c r="E100">
        <v>-3.3625000000000002E-2</v>
      </c>
      <c r="F100" s="456">
        <v>0.16169171106984601</v>
      </c>
      <c r="G100" s="227">
        <v>-5.2460135362221633E-2</v>
      </c>
      <c r="I100" t="s">
        <v>152</v>
      </c>
      <c r="J100">
        <v>0.49676037845251098</v>
      </c>
      <c r="R100" t="s">
        <v>152</v>
      </c>
      <c r="S100">
        <v>0.80257236781365893</v>
      </c>
      <c r="AB100" s="59" t="s">
        <v>106</v>
      </c>
      <c r="AC100" s="456">
        <v>0.42806196398944324</v>
      </c>
      <c r="AD100" s="86">
        <v>-0.25646381521666273</v>
      </c>
      <c r="AG100" s="493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4">
        <v>6.5555000169427641E-2</v>
      </c>
    </row>
    <row r="101" spans="2:41" x14ac:dyDescent="0.25">
      <c r="B101" s="83"/>
      <c r="C101" s="450"/>
      <c r="D101" s="452"/>
      <c r="I101" t="s">
        <v>153</v>
      </c>
      <c r="J101">
        <v>0.41288710819459612</v>
      </c>
      <c r="R101" t="s">
        <v>153</v>
      </c>
      <c r="S101">
        <v>0.78063596423739889</v>
      </c>
      <c r="AB101" s="65" t="s">
        <v>109</v>
      </c>
      <c r="AC101" s="456">
        <v>-0.26191713426081537</v>
      </c>
      <c r="AD101" s="87">
        <v>8.8871890830739209E-2</v>
      </c>
      <c r="AG101" s="499" t="s">
        <v>131</v>
      </c>
      <c r="AH101" s="500">
        <v>-1.7507202812248268</v>
      </c>
      <c r="AI101" s="500">
        <v>0.35859392155390085</v>
      </c>
      <c r="AJ101" s="500">
        <v>-4.8821805836484966</v>
      </c>
      <c r="AK101" s="501">
        <v>8.1477958245433722E-3</v>
      </c>
      <c r="AL101" s="500">
        <v>-2.7463366194768364</v>
      </c>
      <c r="AM101" s="500">
        <v>-0.75510394297281724</v>
      </c>
      <c r="AN101" s="500">
        <v>-2.7463366194768364</v>
      </c>
      <c r="AO101" s="502">
        <v>-0.75510394297281724</v>
      </c>
    </row>
    <row r="102" spans="2:41" x14ac:dyDescent="0.25">
      <c r="B102" s="83" t="s">
        <v>114</v>
      </c>
      <c r="C102" s="450" t="s">
        <v>117</v>
      </c>
      <c r="D102" s="450" t="s">
        <v>118</v>
      </c>
      <c r="I102" t="s">
        <v>154</v>
      </c>
      <c r="J102">
        <v>0.28980651460195456</v>
      </c>
      <c r="R102" t="s">
        <v>154</v>
      </c>
      <c r="S102">
        <v>0.14242325348078544</v>
      </c>
      <c r="AB102" s="67" t="s">
        <v>110</v>
      </c>
      <c r="AC102" s="456">
        <v>-6.5913688961924233E-2</v>
      </c>
      <c r="AD102" s="225">
        <v>-5.8003155872635853E-2</v>
      </c>
    </row>
    <row r="103" spans="2:41" ht="15.75" thickBot="1" x14ac:dyDescent="0.3">
      <c r="B103" s="83" t="s">
        <v>115</v>
      </c>
      <c r="C103" s="450" t="s">
        <v>116</v>
      </c>
      <c r="D103" s="450" t="s">
        <v>116</v>
      </c>
      <c r="I103" s="486" t="s">
        <v>155</v>
      </c>
      <c r="J103" s="486">
        <v>8</v>
      </c>
      <c r="R103" s="486" t="s">
        <v>155</v>
      </c>
      <c r="S103" s="486">
        <v>11</v>
      </c>
      <c r="AB103" s="69" t="s">
        <v>111</v>
      </c>
      <c r="AC103" s="456">
        <v>-6.8297498069089135E-2</v>
      </c>
      <c r="AD103" s="220">
        <v>-0.12379754395977956</v>
      </c>
      <c r="AG103" s="490" t="s">
        <v>149</v>
      </c>
      <c r="AH103" s="491"/>
      <c r="AI103" s="491"/>
      <c r="AJ103" s="491"/>
      <c r="AK103" s="491"/>
      <c r="AL103" s="491"/>
      <c r="AM103" s="491"/>
      <c r="AN103" s="491"/>
      <c r="AO103" s="492"/>
    </row>
    <row r="104" spans="2:41" ht="15.75" thickBot="1" x14ac:dyDescent="0.3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E104">
        <v>-0.237849</v>
      </c>
      <c r="AB104" s="70" t="s">
        <v>112</v>
      </c>
      <c r="AC104" s="456">
        <v>0.10788011827382145</v>
      </c>
      <c r="AD104" s="227">
        <v>-5.2460135362221633E-2</v>
      </c>
      <c r="AG104" s="493" t="s">
        <v>183</v>
      </c>
      <c r="AO104" s="494"/>
    </row>
    <row r="105" spans="2:41" ht="15.75" thickBot="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E105">
        <v>-0.32194299999999998</v>
      </c>
      <c r="I105" t="s">
        <v>156</v>
      </c>
      <c r="R105" t="s">
        <v>156</v>
      </c>
      <c r="AG105" s="495" t="s">
        <v>150</v>
      </c>
      <c r="AH105" s="488"/>
      <c r="AO105" s="494"/>
    </row>
    <row r="106" spans="2:41" x14ac:dyDescent="0.25">
      <c r="B106" s="83" t="s">
        <v>108</v>
      </c>
      <c r="C106" s="453">
        <v>-3.46758151783576E-6</v>
      </c>
      <c r="D106" s="451">
        <f t="shared" si="33"/>
        <v>-0.29959904314100966</v>
      </c>
      <c r="E106">
        <v>-0.30451899999999998</v>
      </c>
      <c r="I106" s="487"/>
      <c r="J106" s="487" t="s">
        <v>160</v>
      </c>
      <c r="K106" s="487" t="s">
        <v>161</v>
      </c>
      <c r="L106" s="487" t="s">
        <v>162</v>
      </c>
      <c r="M106" s="487" t="s">
        <v>163</v>
      </c>
      <c r="N106" s="487" t="s">
        <v>164</v>
      </c>
      <c r="R106" s="487"/>
      <c r="S106" s="487" t="s">
        <v>160</v>
      </c>
      <c r="T106" s="487" t="s">
        <v>161</v>
      </c>
      <c r="U106" s="487" t="s">
        <v>162</v>
      </c>
      <c r="V106" s="487" t="s">
        <v>163</v>
      </c>
      <c r="W106" s="487" t="s">
        <v>164</v>
      </c>
      <c r="AG106" s="493" t="s">
        <v>151</v>
      </c>
      <c r="AH106">
        <v>0.88694087034060609</v>
      </c>
      <c r="AO106" s="494"/>
    </row>
    <row r="107" spans="2:41" x14ac:dyDescent="0.25">
      <c r="B107" s="83" t="s">
        <v>109</v>
      </c>
      <c r="C107" s="453">
        <v>1.0286098475780001E-6</v>
      </c>
      <c r="D107" s="451">
        <f t="shared" si="33"/>
        <v>8.8871890830739209E-2</v>
      </c>
      <c r="E107">
        <v>9.8871000000000001E-2</v>
      </c>
      <c r="I107" t="s">
        <v>157</v>
      </c>
      <c r="J107">
        <v>1</v>
      </c>
      <c r="K107">
        <v>0.49743880364310167</v>
      </c>
      <c r="L107">
        <v>0.49743880364310167</v>
      </c>
      <c r="M107">
        <v>5.9227496069361072</v>
      </c>
      <c r="N107">
        <v>5.0907788272943517E-2</v>
      </c>
      <c r="R107" t="s">
        <v>157</v>
      </c>
      <c r="S107">
        <v>1</v>
      </c>
      <c r="T107">
        <v>0.74213101264915493</v>
      </c>
      <c r="U107">
        <v>0.74213101264915493</v>
      </c>
      <c r="V107">
        <v>36.586323962521085</v>
      </c>
      <c r="W107">
        <v>1.9079735641123869E-4</v>
      </c>
      <c r="AG107" s="493" t="s">
        <v>152</v>
      </c>
      <c r="AH107">
        <v>0.78666410748055182</v>
      </c>
      <c r="AO107" s="494"/>
    </row>
    <row r="108" spans="2:41" x14ac:dyDescent="0.25">
      <c r="B108" s="83" t="s">
        <v>110</v>
      </c>
      <c r="C108" s="453">
        <v>-6.7133282259995204E-7</v>
      </c>
      <c r="D108" s="451">
        <f t="shared" si="33"/>
        <v>-5.8003155872635853E-2</v>
      </c>
      <c r="E108">
        <v>-5.1068000000000002E-2</v>
      </c>
      <c r="I108" t="s">
        <v>158</v>
      </c>
      <c r="J108">
        <v>6</v>
      </c>
      <c r="K108">
        <v>0.50392689543439739</v>
      </c>
      <c r="L108">
        <v>8.3987815905732899E-2</v>
      </c>
      <c r="R108" t="s">
        <v>158</v>
      </c>
      <c r="S108">
        <v>9</v>
      </c>
      <c r="T108">
        <v>0.18255944818846856</v>
      </c>
      <c r="U108">
        <v>2.0284383132052063E-2</v>
      </c>
      <c r="AG108" s="493" t="s">
        <v>153</v>
      </c>
      <c r="AH108">
        <v>0.71555214330740247</v>
      </c>
      <c r="AO108" s="494"/>
    </row>
    <row r="109" spans="2:41" ht="15.75" thickBot="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E109">
        <v>-0.120591</v>
      </c>
      <c r="I109" s="486" t="s">
        <v>105</v>
      </c>
      <c r="J109" s="486">
        <v>7</v>
      </c>
      <c r="K109" s="486">
        <v>1.0013656990774991</v>
      </c>
      <c r="L109" s="486"/>
      <c r="M109" s="486"/>
      <c r="N109" s="486"/>
      <c r="R109" s="486" t="s">
        <v>105</v>
      </c>
      <c r="S109" s="486">
        <v>10</v>
      </c>
      <c r="T109" s="486">
        <v>0.92469046083762352</v>
      </c>
      <c r="U109" s="486"/>
      <c r="V109" s="486"/>
      <c r="W109" s="486"/>
      <c r="AG109" s="493" t="s">
        <v>154</v>
      </c>
      <c r="AH109">
        <v>0.1381988408674919</v>
      </c>
      <c r="AO109" s="494"/>
    </row>
    <row r="110" spans="2:41" ht="15.75" thickBot="1" x14ac:dyDescent="0.3">
      <c r="B110" s="83" t="s">
        <v>112</v>
      </c>
      <c r="C110" s="453">
        <v>-6.0717749261830596E-7</v>
      </c>
      <c r="D110" s="451">
        <f t="shared" si="33"/>
        <v>-5.2460135362221633E-2</v>
      </c>
      <c r="E110">
        <v>-5.0699000000000001E-2</v>
      </c>
      <c r="AG110" s="496" t="s">
        <v>155</v>
      </c>
      <c r="AH110" s="486">
        <v>5</v>
      </c>
      <c r="AO110" s="494"/>
    </row>
    <row r="111" spans="2:41" x14ac:dyDescent="0.25">
      <c r="I111" s="487"/>
      <c r="J111" s="487" t="s">
        <v>165</v>
      </c>
      <c r="K111" s="487" t="s">
        <v>154</v>
      </c>
      <c r="L111" s="487" t="s">
        <v>166</v>
      </c>
      <c r="M111" s="487" t="s">
        <v>167</v>
      </c>
      <c r="N111" s="487" t="s">
        <v>168</v>
      </c>
      <c r="O111" s="487" t="s">
        <v>169</v>
      </c>
      <c r="P111" s="487" t="s">
        <v>170</v>
      </c>
      <c r="Q111" s="487" t="s">
        <v>171</v>
      </c>
      <c r="R111" s="487"/>
      <c r="S111" s="487" t="s">
        <v>165</v>
      </c>
      <c r="T111" s="487" t="s">
        <v>154</v>
      </c>
      <c r="U111" s="487" t="s">
        <v>166</v>
      </c>
      <c r="V111" s="487" t="s">
        <v>167</v>
      </c>
      <c r="W111" s="487" t="s">
        <v>168</v>
      </c>
      <c r="X111" s="487" t="s">
        <v>169</v>
      </c>
      <c r="Y111" s="487" t="s">
        <v>170</v>
      </c>
      <c r="Z111" s="487" t="s">
        <v>171</v>
      </c>
      <c r="AG111" s="493"/>
      <c r="AO111" s="494"/>
    </row>
    <row r="112" spans="2:41" ht="15.75" thickBot="1" x14ac:dyDescent="0.3">
      <c r="I112" t="s">
        <v>159</v>
      </c>
      <c r="J112">
        <v>-0.16582869946467557</v>
      </c>
      <c r="K112">
        <v>0.12483181932264244</v>
      </c>
      <c r="L112">
        <v>-1.3284169081608264</v>
      </c>
      <c r="M112">
        <v>0.23233132587632921</v>
      </c>
      <c r="N112">
        <v>-0.47128115756523692</v>
      </c>
      <c r="O112">
        <v>0.1396237586358858</v>
      </c>
      <c r="P112">
        <v>-0.47128115756523692</v>
      </c>
      <c r="Q112">
        <v>0.1396237586358858</v>
      </c>
      <c r="R112" t="s">
        <v>159</v>
      </c>
      <c r="S112">
        <v>-0.13361265335210812</v>
      </c>
      <c r="T112">
        <v>4.3798476417167144E-2</v>
      </c>
      <c r="U112">
        <v>-3.0506233157402165</v>
      </c>
      <c r="V112">
        <v>1.3779003462500317E-2</v>
      </c>
      <c r="W112">
        <v>-0.23269169049885105</v>
      </c>
      <c r="X112">
        <v>-3.4533616205365186E-2</v>
      </c>
      <c r="Y112">
        <v>-0.23269169049885105</v>
      </c>
      <c r="Z112">
        <v>-3.4533616205365186E-2</v>
      </c>
      <c r="AG112" s="493" t="s">
        <v>156</v>
      </c>
      <c r="AO112" s="494"/>
    </row>
    <row r="113" spans="9:41" ht="15.75" thickBot="1" x14ac:dyDescent="0.3">
      <c r="I113" s="486" t="s">
        <v>131</v>
      </c>
      <c r="J113" s="486">
        <v>-2.0025854271819536</v>
      </c>
      <c r="K113" s="486">
        <v>0.82286646819720488</v>
      </c>
      <c r="L113" s="486">
        <v>-2.4336699872694556</v>
      </c>
      <c r="M113" s="518">
        <v>5.0907788272943434E-2</v>
      </c>
      <c r="N113" s="486">
        <v>-4.0160671401235</v>
      </c>
      <c r="O113" s="486">
        <v>1.0896285759592228E-2</v>
      </c>
      <c r="P113" s="486">
        <v>-4.0160671401235</v>
      </c>
      <c r="Q113" s="486">
        <v>1.0896285759592228E-2</v>
      </c>
      <c r="R113" s="486" t="s">
        <v>131</v>
      </c>
      <c r="S113" s="486">
        <v>-1.7134067443870236</v>
      </c>
      <c r="T113" s="486">
        <v>0.28327032723018919</v>
      </c>
      <c r="U113" s="486">
        <v>-6.0486629896631801</v>
      </c>
      <c r="V113" s="486">
        <v>1.9079735641123785E-4</v>
      </c>
      <c r="W113" s="486">
        <v>-2.3542087441389876</v>
      </c>
      <c r="X113" s="486">
        <v>-1.0726047446350595</v>
      </c>
      <c r="Y113" s="486">
        <v>-2.3542087441389876</v>
      </c>
      <c r="Z113" s="486">
        <v>-1.0726047446350595</v>
      </c>
      <c r="AG113" s="497"/>
      <c r="AH113" s="487" t="s">
        <v>160</v>
      </c>
      <c r="AI113" s="487" t="s">
        <v>161</v>
      </c>
      <c r="AJ113" s="487" t="s">
        <v>162</v>
      </c>
      <c r="AK113" s="487" t="s">
        <v>163</v>
      </c>
      <c r="AL113" s="487" t="s">
        <v>164</v>
      </c>
      <c r="AO113" s="494"/>
    </row>
    <row r="114" spans="9:41" x14ac:dyDescent="0.25">
      <c r="AG114" s="493" t="s">
        <v>157</v>
      </c>
      <c r="AH114">
        <v>1</v>
      </c>
      <c r="AI114">
        <v>0.21127857638498704</v>
      </c>
      <c r="AJ114">
        <v>0.21127857638498704</v>
      </c>
      <c r="AK114">
        <v>11.062331305673343</v>
      </c>
      <c r="AL114">
        <v>4.4852499869195081E-2</v>
      </c>
      <c r="AO114" s="494"/>
    </row>
    <row r="115" spans="9:41" x14ac:dyDescent="0.25">
      <c r="AG115" s="493" t="s">
        <v>158</v>
      </c>
      <c r="AH115">
        <v>3</v>
      </c>
      <c r="AI115">
        <v>5.7296758851355045E-2</v>
      </c>
      <c r="AJ115">
        <v>1.9098919617118348E-2</v>
      </c>
      <c r="AO115" s="494"/>
    </row>
    <row r="116" spans="9:41" ht="15.75" thickBot="1" x14ac:dyDescent="0.3">
      <c r="AG116" s="496" t="s">
        <v>105</v>
      </c>
      <c r="AH116" s="486">
        <v>4</v>
      </c>
      <c r="AI116" s="486">
        <v>0.26857533523634208</v>
      </c>
      <c r="AJ116" s="486"/>
      <c r="AK116" s="486"/>
      <c r="AL116" s="486"/>
      <c r="AO116" s="494"/>
    </row>
    <row r="117" spans="9:41" ht="15.75" thickBot="1" x14ac:dyDescent="0.3">
      <c r="AG117" s="493"/>
      <c r="AO117" s="494"/>
    </row>
    <row r="118" spans="9:41" x14ac:dyDescent="0.25">
      <c r="AG118" s="497"/>
      <c r="AH118" s="487" t="s">
        <v>165</v>
      </c>
      <c r="AI118" s="487" t="s">
        <v>154</v>
      </c>
      <c r="AJ118" s="487" t="s">
        <v>166</v>
      </c>
      <c r="AK118" s="487" t="s">
        <v>167</v>
      </c>
      <c r="AL118" s="487" t="s">
        <v>168</v>
      </c>
      <c r="AM118" s="487" t="s">
        <v>169</v>
      </c>
      <c r="AN118" s="487" t="s">
        <v>170</v>
      </c>
      <c r="AO118" s="498" t="s">
        <v>171</v>
      </c>
    </row>
    <row r="119" spans="9:41" x14ac:dyDescent="0.25">
      <c r="AG119" s="493" t="s">
        <v>159</v>
      </c>
      <c r="AH119">
        <v>-0.11943333582275427</v>
      </c>
      <c r="AI119">
        <v>7.6050710241654926E-2</v>
      </c>
      <c r="AJ119">
        <v>-1.5704433981385433</v>
      </c>
      <c r="AK119">
        <v>0.21433907053026652</v>
      </c>
      <c r="AL119">
        <v>-0.3614606376455109</v>
      </c>
      <c r="AM119">
        <v>0.12259396600000237</v>
      </c>
      <c r="AN119">
        <v>-0.3614606376455109</v>
      </c>
      <c r="AO119" s="494">
        <v>0.12259396600000237</v>
      </c>
    </row>
    <row r="120" spans="9:41" x14ac:dyDescent="0.25">
      <c r="AG120" s="499" t="s">
        <v>174</v>
      </c>
      <c r="AH120" s="500">
        <v>-1.8339563994893078</v>
      </c>
      <c r="AI120" s="500">
        <v>0.551398621493848</v>
      </c>
      <c r="AJ120" s="500">
        <v>-3.3260083141317227</v>
      </c>
      <c r="AK120" s="501">
        <v>4.4852499869195067E-2</v>
      </c>
      <c r="AL120" s="500">
        <v>-3.5887529052009333</v>
      </c>
      <c r="AM120" s="500">
        <v>-7.9159893777682289E-2</v>
      </c>
      <c r="AN120" s="500">
        <v>-3.5887529052009333</v>
      </c>
      <c r="AO120" s="502">
        <v>-7.9159893777682289E-2</v>
      </c>
    </row>
  </sheetData>
  <mergeCells count="27">
    <mergeCell ref="B44:D44"/>
    <mergeCell ref="E44:G44"/>
    <mergeCell ref="H44:J44"/>
    <mergeCell ref="K44:M44"/>
    <mergeCell ref="A43:N43"/>
    <mergeCell ref="W65:Y65"/>
    <mergeCell ref="W74:Y74"/>
    <mergeCell ref="A54:N54"/>
    <mergeCell ref="B55:D55"/>
    <mergeCell ref="E55:G55"/>
    <mergeCell ref="H55:J55"/>
    <mergeCell ref="K55:M55"/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Z93"/>
  <sheetViews>
    <sheetView topLeftCell="A55" zoomScale="85" zoomScaleNormal="85" workbookViewId="0">
      <selection activeCell="U90" sqref="U90"/>
    </sheetView>
  </sheetViews>
  <sheetFormatPr defaultRowHeight="15" x14ac:dyDescent="0.25"/>
  <cols>
    <col min="15" max="15" width="16.28515625" customWidth="1"/>
  </cols>
  <sheetData>
    <row r="1" spans="1:24" x14ac:dyDescent="0.25">
      <c r="A1" s="83" t="s">
        <v>187</v>
      </c>
      <c r="B1" s="83"/>
      <c r="H1" s="507" t="s">
        <v>190</v>
      </c>
      <c r="O1" s="83"/>
      <c r="R1" s="570" t="s">
        <v>200</v>
      </c>
      <c r="S1" s="570"/>
      <c r="W1" s="571" t="s">
        <v>205</v>
      </c>
      <c r="X1" s="571"/>
    </row>
    <row r="2" spans="1:24" x14ac:dyDescent="0.25">
      <c r="B2" t="s">
        <v>189</v>
      </c>
      <c r="C2" s="83" t="s">
        <v>59</v>
      </c>
      <c r="D2" s="83" t="s">
        <v>60</v>
      </c>
      <c r="E2" s="83" t="s">
        <v>61</v>
      </c>
      <c r="F2" s="83" t="s">
        <v>62</v>
      </c>
      <c r="H2" s="83" t="s">
        <v>191</v>
      </c>
      <c r="I2" t="s">
        <v>189</v>
      </c>
      <c r="J2" s="83" t="s">
        <v>59</v>
      </c>
      <c r="K2" s="83" t="s">
        <v>60</v>
      </c>
      <c r="L2" s="83" t="s">
        <v>61</v>
      </c>
      <c r="M2" s="83" t="s">
        <v>62</v>
      </c>
      <c r="O2" s="83" t="s">
        <v>197</v>
      </c>
      <c r="P2" s="83" t="s">
        <v>195</v>
      </c>
      <c r="Q2" s="83" t="s">
        <v>196</v>
      </c>
      <c r="R2" s="83" t="s">
        <v>198</v>
      </c>
      <c r="S2" s="83" t="s">
        <v>199</v>
      </c>
      <c r="T2" s="83" t="s">
        <v>202</v>
      </c>
      <c r="U2" s="83" t="s">
        <v>203</v>
      </c>
      <c r="V2" s="83" t="s">
        <v>204</v>
      </c>
      <c r="W2" s="83" t="s">
        <v>198</v>
      </c>
      <c r="X2" s="83" t="s">
        <v>199</v>
      </c>
    </row>
    <row r="3" spans="1:24" x14ac:dyDescent="0.25">
      <c r="A3" s="59" t="s">
        <v>28</v>
      </c>
      <c r="B3" s="86">
        <v>47.014299999999999</v>
      </c>
      <c r="C3" s="85">
        <v>30.169900000000002</v>
      </c>
      <c r="D3" s="85">
        <v>15.686499999999999</v>
      </c>
      <c r="E3" s="85">
        <v>2.1642984735935578</v>
      </c>
      <c r="F3" s="85">
        <v>0.16000831182380926</v>
      </c>
      <c r="H3" s="60" t="s">
        <v>76</v>
      </c>
      <c r="I3" s="508">
        <f t="shared" ref="I3:I12" si="0">B17/B3</f>
        <v>0.5855303599117716</v>
      </c>
      <c r="J3" s="508">
        <f t="shared" ref="J3:M3" si="1">C17/C3</f>
        <v>0.45238134697165056</v>
      </c>
      <c r="K3" s="508">
        <f t="shared" si="1"/>
        <v>0.84800943486437397</v>
      </c>
      <c r="L3" s="508">
        <f t="shared" si="1"/>
        <v>0.81643206821665004</v>
      </c>
      <c r="M3" s="508">
        <f t="shared" si="1"/>
        <v>0.80480638972967899</v>
      </c>
      <c r="O3" s="509" t="s">
        <v>189</v>
      </c>
      <c r="P3" s="510">
        <f>AVERAGE(I3:I13)</f>
        <v>0.95452265050524621</v>
      </c>
      <c r="Q3" s="510">
        <f>_xlfn.STDEV.P(I3:I13)</f>
        <v>0.30841518876603885</v>
      </c>
      <c r="R3" s="510">
        <f>P3-2*Q3</f>
        <v>0.33769227297316851</v>
      </c>
      <c r="S3" s="511">
        <f>P3+2*Q3</f>
        <v>1.5713530280373238</v>
      </c>
      <c r="T3" s="85">
        <f>_xlfn.QUARTILE.INC(I3:I13,1)</f>
        <v>0.72895260740162393</v>
      </c>
      <c r="U3" s="85">
        <f>_xlfn.QUARTILE.INC(I3:I13,3)</f>
        <v>1.1872933250190165</v>
      </c>
      <c r="V3" s="85">
        <f>U3-T3</f>
        <v>0.45834071761739259</v>
      </c>
      <c r="W3" s="85">
        <f>T3-V3*1.5</f>
        <v>4.1441530975535046E-2</v>
      </c>
      <c r="X3" s="85">
        <f>U3+V3*1.5</f>
        <v>1.8748044014451053</v>
      </c>
    </row>
    <row r="4" spans="1:24" x14ac:dyDescent="0.25">
      <c r="A4" s="59" t="s">
        <v>29</v>
      </c>
      <c r="B4" s="86">
        <v>29.554200000000002</v>
      </c>
      <c r="C4" s="85">
        <v>13.648300000000001</v>
      </c>
      <c r="D4" s="85">
        <v>13.302300000000001</v>
      </c>
      <c r="E4" s="85">
        <v>1.8076248437061064</v>
      </c>
      <c r="F4" s="85">
        <v>0.12962202535912964</v>
      </c>
      <c r="H4" s="60" t="s">
        <v>77</v>
      </c>
      <c r="I4" s="508">
        <f t="shared" si="0"/>
        <v>0.49079995398285181</v>
      </c>
      <c r="J4" s="508">
        <f t="shared" ref="J4:M4" si="2">C18/C4</f>
        <v>0.64617571419151099</v>
      </c>
      <c r="K4" s="508">
        <f t="shared" si="2"/>
        <v>0.40477962457620109</v>
      </c>
      <c r="L4" s="508">
        <f t="shared" si="2"/>
        <v>0.36268356023527992</v>
      </c>
      <c r="M4" s="508">
        <f t="shared" si="2"/>
        <v>0.33195683319433522</v>
      </c>
      <c r="O4" s="509" t="s">
        <v>59</v>
      </c>
      <c r="P4" s="510">
        <f>AVERAGE(J3:J13)</f>
        <v>0.92630814638241721</v>
      </c>
      <c r="Q4" s="510">
        <f>_xlfn.STDEV.P(J3:J13)</f>
        <v>0.30265163535946904</v>
      </c>
      <c r="R4" s="510">
        <f t="shared" ref="R4:R7" si="3">P4-2*Q4</f>
        <v>0.32100487566347913</v>
      </c>
      <c r="S4" s="511">
        <f t="shared" ref="S4:S7" si="4">P4+2*Q4</f>
        <v>1.5316114171013553</v>
      </c>
      <c r="T4" s="85">
        <f>_xlfn.QUARTILE.INC(J3:J13,1)</f>
        <v>0.70246413253431916</v>
      </c>
      <c r="U4" s="85">
        <f>_xlfn.QUARTILE.INC(J3:J13,3)</f>
        <v>1.0221686248820008</v>
      </c>
      <c r="V4" s="85">
        <f t="shared" ref="V4:V7" si="5">U4-T4</f>
        <v>0.31970449234768161</v>
      </c>
      <c r="W4" s="85">
        <f t="shared" ref="W4:W7" si="6">T4-V4*1.5</f>
        <v>0.22290739401279674</v>
      </c>
      <c r="X4" s="85">
        <f t="shared" ref="X4:X7" si="7">U4+V4*1.5</f>
        <v>1.5017253634035233</v>
      </c>
    </row>
    <row r="5" spans="1:24" x14ac:dyDescent="0.25">
      <c r="A5" s="61" t="s">
        <v>30</v>
      </c>
      <c r="B5" s="220">
        <v>47.488500000000002</v>
      </c>
      <c r="C5" s="85">
        <v>30.079799999999999</v>
      </c>
      <c r="D5" s="85">
        <v>16.905100000000001</v>
      </c>
      <c r="E5" s="85">
        <v>1.7951717616012994</v>
      </c>
      <c r="F5" s="85">
        <v>0.13238380964895011</v>
      </c>
      <c r="H5" s="62" t="s">
        <v>78</v>
      </c>
      <c r="I5" s="508">
        <f t="shared" si="0"/>
        <v>1.5097170894005916</v>
      </c>
      <c r="J5" s="513">
        <f t="shared" ref="J5:L5" si="8">C19/C5</f>
        <v>1.554202488048458</v>
      </c>
      <c r="K5" s="508">
        <f t="shared" si="8"/>
        <v>1.4343186375709105</v>
      </c>
      <c r="L5" s="508">
        <f t="shared" si="8"/>
        <v>1.4515108631759563</v>
      </c>
      <c r="M5" s="508">
        <f>F19/F5</f>
        <v>1.49854710443643</v>
      </c>
      <c r="O5" s="509" t="s">
        <v>60</v>
      </c>
      <c r="P5" s="510">
        <f>AVERAGE(K3:K13)</f>
        <v>1.0741299295629725</v>
      </c>
      <c r="Q5" s="510">
        <f>_xlfn.STDEV.P(K3:K13)</f>
        <v>0.44406352205195132</v>
      </c>
      <c r="R5" s="510">
        <f t="shared" si="3"/>
        <v>0.18600288545906984</v>
      </c>
      <c r="S5" s="511">
        <f t="shared" si="4"/>
        <v>1.9622569736668751</v>
      </c>
      <c r="T5" s="85">
        <f>_xlfn.QUARTILE.INC(K3:K13,1)</f>
        <v>0.76503324887897228</v>
      </c>
      <c r="U5" s="85">
        <f>_xlfn.QUARTILE.INC(K3:K13,3)</f>
        <v>1.381725238481881</v>
      </c>
      <c r="V5" s="85">
        <f t="shared" si="5"/>
        <v>0.61669198960290872</v>
      </c>
      <c r="W5" s="85">
        <f t="shared" si="6"/>
        <v>-0.16000473552539074</v>
      </c>
      <c r="X5" s="85">
        <f t="shared" si="7"/>
        <v>2.3067632228862438</v>
      </c>
    </row>
    <row r="6" spans="1:24" x14ac:dyDescent="0.25">
      <c r="A6" s="63" t="s">
        <v>31</v>
      </c>
      <c r="B6" s="222">
        <v>38.784700000000001</v>
      </c>
      <c r="C6" s="85">
        <v>27.011699999999998</v>
      </c>
      <c r="D6" s="85">
        <v>11.104199999999999</v>
      </c>
      <c r="E6" s="85">
        <v>1.6108243373451037</v>
      </c>
      <c r="F6" s="85">
        <v>0.12090681526084991</v>
      </c>
      <c r="H6" s="64" t="s">
        <v>79</v>
      </c>
      <c r="I6" s="508">
        <f t="shared" si="0"/>
        <v>1.2198676282142185</v>
      </c>
      <c r="J6" s="508">
        <f t="shared" ref="J6:M6" si="9">C20/C6</f>
        <v>0.95871418681534304</v>
      </c>
      <c r="K6" s="508">
        <f t="shared" si="9"/>
        <v>1.8496064552151439</v>
      </c>
      <c r="L6" s="508">
        <f t="shared" si="9"/>
        <v>1.8674308308418519</v>
      </c>
      <c r="M6" s="508">
        <f t="shared" si="9"/>
        <v>1.9246065038279212</v>
      </c>
      <c r="O6" s="509" t="s">
        <v>61</v>
      </c>
      <c r="P6" s="510">
        <f>AVERAGE(L3:L13)</f>
        <v>1.0321117840264682</v>
      </c>
      <c r="Q6" s="510">
        <f>_xlfn.STDEV.P(L3:L13)</f>
        <v>0.50141424697030845</v>
      </c>
      <c r="R6" s="510">
        <f t="shared" si="3"/>
        <v>2.9283290085851288E-2</v>
      </c>
      <c r="S6" s="511">
        <f t="shared" si="4"/>
        <v>2.0349402779670851</v>
      </c>
      <c r="T6" s="85">
        <f>_xlfn.QUARTILE.INC(L3:L13,1)</f>
        <v>0.61408351120650373</v>
      </c>
      <c r="U6" s="85">
        <f>_xlfn.QUARTILE.INC(L3:L13,3)</f>
        <v>1.3914956284163105</v>
      </c>
      <c r="V6" s="85">
        <f t="shared" si="5"/>
        <v>0.77741211720980674</v>
      </c>
      <c r="W6" s="85">
        <f t="shared" si="6"/>
        <v>-0.55203466460820638</v>
      </c>
      <c r="X6" s="85">
        <f t="shared" si="7"/>
        <v>2.5576138042310204</v>
      </c>
    </row>
    <row r="7" spans="1:24" x14ac:dyDescent="0.25">
      <c r="A7" s="65" t="s">
        <v>32</v>
      </c>
      <c r="B7" s="87">
        <v>54.746600000000001</v>
      </c>
      <c r="C7" s="85">
        <v>32.3613</v>
      </c>
      <c r="D7" s="85">
        <v>21.376599999999996</v>
      </c>
      <c r="E7" s="85">
        <v>4.0674559942692206</v>
      </c>
      <c r="F7" s="85">
        <v>0.32174543062421551</v>
      </c>
      <c r="H7" s="66" t="s">
        <v>80</v>
      </c>
      <c r="I7" s="508">
        <f t="shared" si="0"/>
        <v>0.58105160868437489</v>
      </c>
      <c r="J7" s="508">
        <f t="shared" ref="J7:M7" si="10">C21/C7</f>
        <v>0.62831530253728995</v>
      </c>
      <c r="K7" s="508">
        <f t="shared" si="10"/>
        <v>0.5112085177249891</v>
      </c>
      <c r="L7" s="508">
        <f t="shared" si="10"/>
        <v>0.46437110228249351</v>
      </c>
      <c r="M7" s="508">
        <f t="shared" si="10"/>
        <v>0.45352315724740905</v>
      </c>
      <c r="O7" s="509" t="s">
        <v>62</v>
      </c>
      <c r="P7" s="510">
        <f>AVERAGE(M3:M13)</f>
        <v>1.0436072166244972</v>
      </c>
      <c r="Q7" s="510">
        <f>_xlfn.STDEV.P(M3:M13)</f>
        <v>0.57954994328158926</v>
      </c>
      <c r="R7" s="510">
        <f t="shared" si="3"/>
        <v>-0.11549266993868135</v>
      </c>
      <c r="S7" s="511">
        <f t="shared" si="4"/>
        <v>2.2027071031876755</v>
      </c>
      <c r="T7" s="85">
        <f>_xlfn.QUARTILE.INC(M3:M13,1)</f>
        <v>0.52913616040385658</v>
      </c>
      <c r="U7" s="85">
        <f>_xlfn.QUARTILE.INC(M3:M13,3)</f>
        <v>1.4402592590160812</v>
      </c>
      <c r="V7" s="85">
        <f t="shared" si="5"/>
        <v>0.91112309861222462</v>
      </c>
      <c r="W7" s="85">
        <f t="shared" si="6"/>
        <v>-0.83754848751448041</v>
      </c>
      <c r="X7" s="85">
        <f t="shared" si="7"/>
        <v>2.8069439069344182</v>
      </c>
    </row>
    <row r="8" spans="1:24" x14ac:dyDescent="0.25">
      <c r="A8" s="65" t="s">
        <v>33</v>
      </c>
      <c r="B8" s="87">
        <v>27.5703</v>
      </c>
      <c r="C8" s="85">
        <v>13.872400000000001</v>
      </c>
      <c r="D8" s="85">
        <v>12.863</v>
      </c>
      <c r="E8" s="85">
        <v>2.5636871963176899</v>
      </c>
      <c r="F8" s="85">
        <v>0.22065374815008071</v>
      </c>
      <c r="H8" s="66" t="s">
        <v>81</v>
      </c>
      <c r="I8" s="508">
        <f t="shared" si="0"/>
        <v>0.87601875931709128</v>
      </c>
      <c r="J8" s="508">
        <f t="shared" ref="J8:M8" si="11">C22/C8</f>
        <v>1.0384864911623077</v>
      </c>
      <c r="K8" s="508">
        <f t="shared" si="11"/>
        <v>0.6820570628935706</v>
      </c>
      <c r="L8" s="508">
        <f t="shared" si="11"/>
        <v>0.62033791078328049</v>
      </c>
      <c r="M8" s="508">
        <f t="shared" si="11"/>
        <v>0.49371358600376286</v>
      </c>
      <c r="O8" s="83"/>
    </row>
    <row r="9" spans="1:24" x14ac:dyDescent="0.25">
      <c r="A9" s="67" t="s">
        <v>34</v>
      </c>
      <c r="B9" s="225">
        <v>63.384900000000002</v>
      </c>
      <c r="C9" s="85">
        <v>43.567</v>
      </c>
      <c r="D9" s="85">
        <v>18.895600000000002</v>
      </c>
      <c r="E9" s="85">
        <v>3.6723632263988888</v>
      </c>
      <c r="F9" s="85">
        <v>0.32472434373056097</v>
      </c>
      <c r="H9" s="68" t="s">
        <v>82</v>
      </c>
      <c r="I9" s="508">
        <f t="shared" si="0"/>
        <v>0.991411203614741</v>
      </c>
      <c r="J9" s="508">
        <f t="shared" ref="J9:M9" si="12">C23/C9</f>
        <v>1.0058507586016938</v>
      </c>
      <c r="K9" s="508">
        <f t="shared" si="12"/>
        <v>0.96231397785727901</v>
      </c>
      <c r="L9" s="508">
        <f t="shared" si="12"/>
        <v>0.82481762457752394</v>
      </c>
      <c r="M9" s="508">
        <f t="shared" si="12"/>
        <v>0.78067714652771203</v>
      </c>
      <c r="O9" s="83"/>
    </row>
    <row r="10" spans="1:24" x14ac:dyDescent="0.25">
      <c r="A10" s="67" t="s">
        <v>35</v>
      </c>
      <c r="B10" s="225">
        <v>31.8675</v>
      </c>
      <c r="C10" s="85">
        <v>21.365199999999998</v>
      </c>
      <c r="D10" s="85">
        <v>10.018800000000001</v>
      </c>
      <c r="E10" s="85">
        <v>1.5610683051149881</v>
      </c>
      <c r="F10" s="85">
        <v>0.12314691966104313</v>
      </c>
      <c r="H10" s="68" t="s">
        <v>83</v>
      </c>
      <c r="I10" s="508">
        <f t="shared" si="0"/>
        <v>0.91568839726994589</v>
      </c>
      <c r="J10" s="508">
        <f t="shared" ref="J10:M10" si="13">C24/C10</f>
        <v>0.75875255087712734</v>
      </c>
      <c r="K10" s="508">
        <f t="shared" si="13"/>
        <v>1.2440711462450593</v>
      </c>
      <c r="L10" s="508">
        <f t="shared" si="13"/>
        <v>1.3314803936566644</v>
      </c>
      <c r="M10" s="508">
        <f t="shared" si="13"/>
        <v>1.3819714135957324</v>
      </c>
      <c r="O10" s="83"/>
    </row>
    <row r="11" spans="1:24" x14ac:dyDescent="0.25">
      <c r="A11" s="69" t="s">
        <v>36</v>
      </c>
      <c r="B11" s="220">
        <v>21.8202</v>
      </c>
      <c r="C11" s="85">
        <v>16.279599999999999</v>
      </c>
      <c r="D11" s="85">
        <v>5.2179000000000002</v>
      </c>
      <c r="E11" s="85">
        <v>0.68218590616009644</v>
      </c>
      <c r="F11" s="85">
        <v>4.2238846068331719E-2</v>
      </c>
      <c r="H11" s="217" t="s">
        <v>84</v>
      </c>
      <c r="I11" s="508">
        <f t="shared" si="0"/>
        <v>1.1547190218238146</v>
      </c>
      <c r="J11" s="508">
        <f t="shared" ref="J11:M11" si="14">C25/C11</f>
        <v>0.99968058183247754</v>
      </c>
      <c r="K11" s="508">
        <f t="shared" si="14"/>
        <v>1.64991663312827</v>
      </c>
      <c r="L11" s="508">
        <f t="shared" si="14"/>
        <v>1.7761056576187881</v>
      </c>
      <c r="M11" s="508">
        <f t="shared" si="14"/>
        <v>2.0775013302402989</v>
      </c>
      <c r="O11" s="83"/>
    </row>
    <row r="12" spans="1:24" x14ac:dyDescent="0.25">
      <c r="A12" s="69" t="s">
        <v>37</v>
      </c>
      <c r="B12" s="220">
        <v>17.0562</v>
      </c>
      <c r="C12" s="85">
        <v>10.2546</v>
      </c>
      <c r="D12" s="85">
        <v>6.2910000000000004</v>
      </c>
      <c r="E12" s="85">
        <v>1.0662058857023278</v>
      </c>
      <c r="F12" s="85">
        <v>6.5591352842813269E-2</v>
      </c>
      <c r="H12" s="217" t="s">
        <v>85</v>
      </c>
      <c r="I12" s="508">
        <f t="shared" si="0"/>
        <v>0.87237485489147637</v>
      </c>
      <c r="J12" s="508">
        <f t="shared" ref="J12:M13" si="15">C26/C12</f>
        <v>0.82366937764515447</v>
      </c>
      <c r="K12" s="508">
        <f t="shared" si="15"/>
        <v>0.90001589572405005</v>
      </c>
      <c r="L12" s="508">
        <f t="shared" si="15"/>
        <v>1.2302305012729364</v>
      </c>
      <c r="M12" s="508">
        <f t="shared" si="15"/>
        <v>1.167817183262237</v>
      </c>
      <c r="O12" s="83"/>
    </row>
    <row r="13" spans="1:24" x14ac:dyDescent="0.25">
      <c r="A13" s="70" t="s">
        <v>38</v>
      </c>
      <c r="B13" s="227">
        <v>23.997399999999999</v>
      </c>
      <c r="C13" s="85">
        <v>13.4611</v>
      </c>
      <c r="D13" s="85">
        <v>9.7505000000000006</v>
      </c>
      <c r="E13" s="85">
        <v>2.0555035456745703</v>
      </c>
      <c r="F13" s="85">
        <v>0.14223859065114886</v>
      </c>
      <c r="H13" s="71" t="s">
        <v>86</v>
      </c>
      <c r="I13" s="508">
        <f t="shared" ref="I13" si="16">B27/B13</f>
        <v>1.3025702784468318</v>
      </c>
      <c r="J13" s="508">
        <f t="shared" si="15"/>
        <v>1.3231608115235753</v>
      </c>
      <c r="K13" s="508">
        <f t="shared" si="15"/>
        <v>1.3291318393928515</v>
      </c>
      <c r="L13" s="508">
        <f t="shared" si="15"/>
        <v>0.60782911162972697</v>
      </c>
      <c r="M13" s="508">
        <f t="shared" si="15"/>
        <v>0.56455873480395036</v>
      </c>
      <c r="O13" s="83"/>
    </row>
    <row r="14" spans="1:24" x14ac:dyDescent="0.25">
      <c r="A14" s="70" t="s">
        <v>39</v>
      </c>
      <c r="B14" s="227">
        <v>35.043199999999999</v>
      </c>
      <c r="C14" s="85">
        <v>21.040900000000001</v>
      </c>
      <c r="D14" s="85">
        <v>13.398000000000001</v>
      </c>
      <c r="E14" s="85">
        <v>1.4828472986928873</v>
      </c>
      <c r="F14" s="85">
        <v>0.10207224320241665</v>
      </c>
      <c r="H14" t="s">
        <v>192</v>
      </c>
      <c r="I14" t="s">
        <v>189</v>
      </c>
      <c r="J14" s="83" t="s">
        <v>59</v>
      </c>
      <c r="K14" s="83" t="s">
        <v>60</v>
      </c>
      <c r="L14" s="83" t="s">
        <v>61</v>
      </c>
      <c r="M14" s="83" t="s">
        <v>62</v>
      </c>
      <c r="O14" s="83"/>
      <c r="R14" s="570" t="s">
        <v>200</v>
      </c>
      <c r="S14" s="570"/>
      <c r="W14" s="571" t="s">
        <v>205</v>
      </c>
      <c r="X14" s="571"/>
    </row>
    <row r="15" spans="1:24" x14ac:dyDescent="0.25">
      <c r="A15" s="83" t="s">
        <v>188</v>
      </c>
      <c r="B15" s="83"/>
      <c r="C15" s="83"/>
      <c r="D15" s="83"/>
      <c r="E15" s="83"/>
      <c r="F15" s="83"/>
      <c r="H15" s="230" t="s">
        <v>76</v>
      </c>
      <c r="I15" s="508">
        <f t="shared" ref="I15:I20" si="17">B44/B31</f>
        <v>1.1063699128863311</v>
      </c>
      <c r="J15" s="508">
        <f t="shared" ref="J15:M15" si="18">C44/C31</f>
        <v>0.62330452337391962</v>
      </c>
      <c r="K15" s="508">
        <f t="shared" si="18"/>
        <v>1.1705182351847425</v>
      </c>
      <c r="L15" s="508">
        <f t="shared" si="18"/>
        <v>1.1419460914927202</v>
      </c>
      <c r="M15" s="508">
        <f t="shared" si="18"/>
        <v>1.1806196624020175</v>
      </c>
      <c r="O15" s="83" t="s">
        <v>114</v>
      </c>
      <c r="P15" s="83" t="s">
        <v>195</v>
      </c>
      <c r="Q15" s="83" t="s">
        <v>196</v>
      </c>
      <c r="R15" s="83" t="s">
        <v>198</v>
      </c>
      <c r="S15" s="83" t="s">
        <v>199</v>
      </c>
      <c r="T15" s="83" t="s">
        <v>202</v>
      </c>
      <c r="U15" s="83" t="s">
        <v>203</v>
      </c>
      <c r="V15" s="83" t="s">
        <v>204</v>
      </c>
      <c r="W15" s="83" t="s">
        <v>198</v>
      </c>
      <c r="X15" s="83" t="s">
        <v>199</v>
      </c>
    </row>
    <row r="16" spans="1:24" x14ac:dyDescent="0.25">
      <c r="B16" s="83" t="s">
        <v>189</v>
      </c>
      <c r="C16" s="83" t="s">
        <v>59</v>
      </c>
      <c r="D16" s="83" t="s">
        <v>60</v>
      </c>
      <c r="E16" s="83" t="s">
        <v>61</v>
      </c>
      <c r="F16" s="83" t="s">
        <v>62</v>
      </c>
      <c r="H16" s="230" t="s">
        <v>77</v>
      </c>
      <c r="I16" s="513">
        <f t="shared" si="17"/>
        <v>1.9470802490894139</v>
      </c>
      <c r="J16" s="514">
        <f t="shared" ref="J16:M16" si="19">C45/C32</f>
        <v>2.6420674802584352</v>
      </c>
      <c r="K16" s="513">
        <f t="shared" si="19"/>
        <v>1.964446059850806</v>
      </c>
      <c r="L16" s="514">
        <f t="shared" si="19"/>
        <v>1.5220342751693652</v>
      </c>
      <c r="M16" s="508">
        <f t="shared" si="19"/>
        <v>1.4565026374607606</v>
      </c>
      <c r="O16" s="509" t="s">
        <v>189</v>
      </c>
      <c r="P16" s="510">
        <f>AVERAGE(I15:I24)</f>
        <v>0.95857640678661971</v>
      </c>
      <c r="Q16" s="510">
        <f>_xlfn.STDEV.P(I15:I25)</f>
        <v>0.45609332835887439</v>
      </c>
      <c r="R16" s="510">
        <f>P16-2*Q16</f>
        <v>4.6389750068870916E-2</v>
      </c>
      <c r="S16" s="511">
        <f>P16+2*Q16</f>
        <v>1.8707630635043686</v>
      </c>
      <c r="T16" s="85">
        <f>_xlfn.QUARTILE.INC(I15:I24,1)</f>
        <v>0.69334630734478142</v>
      </c>
      <c r="U16" s="85">
        <f>_xlfn.QUARTILE.INC(I15:I25,3)</f>
        <v>1.0861973683339077</v>
      </c>
      <c r="V16" s="85">
        <f>U16-T16</f>
        <v>0.39285106098912626</v>
      </c>
      <c r="W16" s="85">
        <f>T16-V16*1.5</f>
        <v>0.10406971586109204</v>
      </c>
      <c r="X16" s="85">
        <f>U16+V16*1.5</f>
        <v>1.6754739598175972</v>
      </c>
    </row>
    <row r="17" spans="1:24" x14ac:dyDescent="0.25">
      <c r="A17" s="59" t="s">
        <v>41</v>
      </c>
      <c r="B17" s="86">
        <v>27.528300000000002</v>
      </c>
      <c r="C17" s="85">
        <v>13.648300000000001</v>
      </c>
      <c r="D17" s="85">
        <v>13.302300000000001</v>
      </c>
      <c r="E17" s="85">
        <v>1.7670026790341271</v>
      </c>
      <c r="F17" s="85">
        <v>0.12877571176566063</v>
      </c>
      <c r="H17" s="231" t="s">
        <v>78</v>
      </c>
      <c r="I17" s="508">
        <f t="shared" si="17"/>
        <v>1.468847049689441</v>
      </c>
      <c r="J17" s="513">
        <f t="shared" ref="J17:M17" si="20">C46/C33</f>
        <v>4.0456556588650203</v>
      </c>
      <c r="K17" s="508">
        <f t="shared" si="20"/>
        <v>0.94441349957867382</v>
      </c>
      <c r="L17" s="508">
        <f t="shared" si="20"/>
        <v>1.2406337151637576</v>
      </c>
      <c r="M17" s="508">
        <f t="shared" si="20"/>
        <v>1.2552832849285276</v>
      </c>
      <c r="O17" s="509" t="s">
        <v>59</v>
      </c>
      <c r="P17" s="510">
        <f>AVERAGE(J15:J24)</f>
        <v>0.99672470336135832</v>
      </c>
      <c r="Q17" s="510">
        <f>_xlfn.STDEV.P(J15:J25)</f>
        <v>1.2275018556095321</v>
      </c>
      <c r="R17" s="510">
        <f t="shared" ref="R17:R19" si="21">P17-2*Q17</f>
        <v>-1.4582790078577057</v>
      </c>
      <c r="S17" s="511">
        <f>P17+2*Q17</f>
        <v>3.4517284145804226</v>
      </c>
      <c r="T17" s="85">
        <f>_xlfn.QUARTILE.INC(J15:J25,1)</f>
        <v>0.35931100555419809</v>
      </c>
      <c r="U17" s="85">
        <f>_xlfn.QUARTILE.INC(J15:J25,3)</f>
        <v>0.66378924903291836</v>
      </c>
      <c r="V17" s="85">
        <f t="shared" ref="V17:V20" si="22">U17-T17</f>
        <v>0.30447824347872027</v>
      </c>
      <c r="W17" s="85">
        <f t="shared" ref="W17:W20" si="23">T17-V17*1.5</f>
        <v>-9.740635966388228E-2</v>
      </c>
      <c r="X17" s="85">
        <f t="shared" ref="X17:X20" si="24">U17+V17*1.5</f>
        <v>1.1205066142509987</v>
      </c>
    </row>
    <row r="18" spans="1:24" x14ac:dyDescent="0.25">
      <c r="A18" s="59" t="s">
        <v>42</v>
      </c>
      <c r="B18" s="86">
        <v>14.5052</v>
      </c>
      <c r="C18" s="85">
        <v>8.8192000000000004</v>
      </c>
      <c r="D18" s="85">
        <v>5.3845000000000001</v>
      </c>
      <c r="E18" s="85">
        <v>0.65559581388507215</v>
      </c>
      <c r="F18" s="85">
        <v>4.3028917050452489E-2</v>
      </c>
      <c r="H18" s="232" t="s">
        <v>79</v>
      </c>
      <c r="I18" s="508">
        <f t="shared" si="17"/>
        <v>0.24015976460105476</v>
      </c>
      <c r="J18" s="508">
        <f t="shared" ref="J18:M18" si="25">C47/C34</f>
        <v>0.12450588369701815</v>
      </c>
      <c r="K18" s="508">
        <f t="shared" si="25"/>
        <v>0.26769850797461847</v>
      </c>
      <c r="L18" s="508">
        <f t="shared" si="25"/>
        <v>0.38175691880233908</v>
      </c>
      <c r="M18" s="508">
        <f t="shared" si="25"/>
        <v>0.47918131529184382</v>
      </c>
      <c r="O18" s="509" t="s">
        <v>60</v>
      </c>
      <c r="P18" s="510">
        <f>AVERAGE(K15:K24)</f>
        <v>0.97085094096732294</v>
      </c>
      <c r="Q18" s="510">
        <f>_xlfn.STDEV.P(K15:K25)</f>
        <v>0.4164629678235775</v>
      </c>
      <c r="R18" s="510">
        <f t="shared" si="21"/>
        <v>0.13792500532016794</v>
      </c>
      <c r="S18" s="511">
        <f t="shared" ref="S18:S20" si="26">P18+2*Q18</f>
        <v>1.8037768766144779</v>
      </c>
      <c r="T18" s="85">
        <f>_xlfn.QUARTILE.INC(K15:K24,1)</f>
        <v>0.77868184023450349</v>
      </c>
      <c r="U18" s="85">
        <f>_xlfn.QUARTILE.INC(K15:K25,3)</f>
        <v>1.143634601417741</v>
      </c>
      <c r="V18" s="85">
        <f t="shared" si="22"/>
        <v>0.3649527611832375</v>
      </c>
      <c r="W18" s="85">
        <f t="shared" si="23"/>
        <v>0.23125269845964724</v>
      </c>
      <c r="X18" s="85">
        <f t="shared" si="24"/>
        <v>1.6910637431925972</v>
      </c>
    </row>
    <row r="19" spans="1:24" x14ac:dyDescent="0.25">
      <c r="A19" s="61" t="s">
        <v>43</v>
      </c>
      <c r="B19" s="220">
        <v>71.694199999999995</v>
      </c>
      <c r="C19" s="85">
        <v>46.750100000000003</v>
      </c>
      <c r="D19" s="85">
        <v>24.247299999999999</v>
      </c>
      <c r="E19" s="85">
        <v>2.6057113132310041</v>
      </c>
      <c r="F19" s="85">
        <v>0.19838337462369771</v>
      </c>
      <c r="H19" s="233" t="s">
        <v>80</v>
      </c>
      <c r="I19" s="508">
        <f t="shared" si="17"/>
        <v>0.74375730103737125</v>
      </c>
      <c r="J19" s="508">
        <f t="shared" ref="J19:M19" si="27">C48/C35</f>
        <v>0.57103979864716059</v>
      </c>
      <c r="K19" s="508">
        <f t="shared" si="27"/>
        <v>0.83219003567088723</v>
      </c>
      <c r="L19" s="508">
        <f t="shared" si="27"/>
        <v>0.7792714140934911</v>
      </c>
      <c r="M19" s="508">
        <f t="shared" si="27"/>
        <v>0.78578774260487583</v>
      </c>
      <c r="O19" s="509" t="s">
        <v>61</v>
      </c>
      <c r="P19" s="510">
        <f>AVERAGE(L15:L24)</f>
        <v>1.1332702237862626</v>
      </c>
      <c r="Q19" s="510">
        <f>_xlfn.STDEV.P(L15:L25)</f>
        <v>0.34153578652203459</v>
      </c>
      <c r="R19" s="510">
        <f t="shared" si="21"/>
        <v>0.45019865074219345</v>
      </c>
      <c r="S19" s="511">
        <f t="shared" si="26"/>
        <v>1.8163417968303319</v>
      </c>
      <c r="T19" s="85">
        <f>_xlfn.QUARTILE.INC(L15:L25,1)</f>
        <v>1.104779776699826</v>
      </c>
      <c r="U19" s="85">
        <f>_xlfn.QUARTILE.INC(L15:L25,3)</f>
        <v>1.227341352189889</v>
      </c>
      <c r="V19" s="85">
        <f t="shared" si="22"/>
        <v>0.12256157549006308</v>
      </c>
      <c r="W19" s="85">
        <f t="shared" si="23"/>
        <v>0.92093741346473135</v>
      </c>
      <c r="X19" s="85">
        <f t="shared" si="24"/>
        <v>1.4111837154249836</v>
      </c>
    </row>
    <row r="20" spans="1:24" x14ac:dyDescent="0.25">
      <c r="A20" s="63" t="s">
        <v>44</v>
      </c>
      <c r="B20" s="222">
        <v>47.312199999999997</v>
      </c>
      <c r="C20" s="85">
        <v>25.8965</v>
      </c>
      <c r="D20" s="85">
        <v>20.538399999999999</v>
      </c>
      <c r="E20" s="85">
        <v>3.0081030306286425</v>
      </c>
      <c r="F20" s="85">
        <v>0.23269804300815269</v>
      </c>
      <c r="H20" s="233" t="s">
        <v>81</v>
      </c>
      <c r="I20" s="508">
        <f t="shared" si="17"/>
        <v>0.67654264278058485</v>
      </c>
      <c r="J20" s="508">
        <f t="shared" ref="J20:M20" si="28">C49/C36</f>
        <v>0.41298251142271936</v>
      </c>
      <c r="K20" s="508">
        <f t="shared" si="28"/>
        <v>0.69983968130586882</v>
      </c>
      <c r="L20" s="508">
        <f t="shared" si="28"/>
        <v>1.1500146832618909</v>
      </c>
      <c r="M20" s="508">
        <f t="shared" si="28"/>
        <v>0.87908380603947722</v>
      </c>
      <c r="O20" s="509" t="s">
        <v>62</v>
      </c>
      <c r="P20" s="510">
        <f>AVERAGE(M15:M24)</f>
        <v>1.1342029847621953</v>
      </c>
      <c r="Q20" s="510">
        <f>_xlfn.STDEV.P(M15:M25)</f>
        <v>0.33742543207571718</v>
      </c>
      <c r="R20" s="510">
        <f>P20-2*Q20</f>
        <v>0.45935212061076092</v>
      </c>
      <c r="S20" s="511">
        <f t="shared" si="26"/>
        <v>1.8090538489136296</v>
      </c>
      <c r="T20" s="85">
        <f>_xlfn.QUARTILE.INC(M15:M25,1)</f>
        <v>0.92664758733249419</v>
      </c>
      <c r="U20" s="85">
        <f>_xlfn.QUARTILE.INC(M15:M25,3)</f>
        <v>1.2926232663939135</v>
      </c>
      <c r="V20" s="85">
        <f t="shared" si="22"/>
        <v>0.36597567906141926</v>
      </c>
      <c r="W20" s="85">
        <f t="shared" si="23"/>
        <v>0.37768406874036531</v>
      </c>
      <c r="X20" s="85">
        <f t="shared" si="24"/>
        <v>1.8415867849860423</v>
      </c>
    </row>
    <row r="21" spans="1:24" x14ac:dyDescent="0.25">
      <c r="A21" s="65" t="s">
        <v>45</v>
      </c>
      <c r="B21" s="87">
        <v>31.810600000000001</v>
      </c>
      <c r="C21" s="85">
        <v>20.333100000000002</v>
      </c>
      <c r="D21" s="85">
        <v>10.927899999999999</v>
      </c>
      <c r="E21" s="85">
        <v>1.8888090235443336</v>
      </c>
      <c r="F21" s="85">
        <v>0.14591900352662143</v>
      </c>
      <c r="H21" s="234" t="s">
        <v>83</v>
      </c>
      <c r="I21" s="508">
        <f>B51/B37</f>
        <v>0.58625613506100183</v>
      </c>
      <c r="J21" s="508">
        <f t="shared" ref="J21:M21" si="29">C51/C37</f>
        <v>0.12480380499405469</v>
      </c>
      <c r="K21" s="508">
        <f t="shared" si="29"/>
        <v>0.81670183459351731</v>
      </c>
      <c r="L21" s="508">
        <f t="shared" si="29"/>
        <v>1.1874642632682835</v>
      </c>
      <c r="M21" s="508">
        <f t="shared" si="29"/>
        <v>1.1923516495674067</v>
      </c>
      <c r="O21" s="83"/>
    </row>
    <row r="22" spans="1:24" x14ac:dyDescent="0.25">
      <c r="A22" s="65" t="s">
        <v>46</v>
      </c>
      <c r="B22" s="87">
        <v>24.152100000000001</v>
      </c>
      <c r="C22" s="85">
        <v>14.4063</v>
      </c>
      <c r="D22" s="85">
        <v>8.773299999999999</v>
      </c>
      <c r="E22" s="85">
        <v>1.5903523592655615</v>
      </c>
      <c r="F22" s="85">
        <v>0.1089397532643475</v>
      </c>
      <c r="H22" s="235" t="s">
        <v>84</v>
      </c>
      <c r="I22" s="508">
        <f>B52/B38</f>
        <v>1.0256797346766371</v>
      </c>
      <c r="J22" s="508">
        <f t="shared" ref="J22:M22" si="30">C52/C38</f>
        <v>0.34582040372372758</v>
      </c>
      <c r="K22" s="508">
        <f t="shared" si="30"/>
        <v>1.1837093466158806</v>
      </c>
      <c r="L22" s="508">
        <f t="shared" si="30"/>
        <v>1.1484736773966342</v>
      </c>
      <c r="M22" s="508">
        <f t="shared" si="30"/>
        <v>1.0693389312115449</v>
      </c>
    </row>
    <row r="23" spans="1:24" x14ac:dyDescent="0.25">
      <c r="A23" s="67" t="s">
        <v>47</v>
      </c>
      <c r="B23" s="225">
        <v>62.840499999999999</v>
      </c>
      <c r="C23" s="85">
        <v>43.821899999999999</v>
      </c>
      <c r="D23" s="85">
        <v>18.183500000000002</v>
      </c>
      <c r="E23" s="85">
        <v>3.0290299129841833</v>
      </c>
      <c r="F23" s="85">
        <v>0.25350487407165828</v>
      </c>
      <c r="H23" s="235" t="s">
        <v>85</v>
      </c>
      <c r="I23" s="508">
        <f>B53/B39</f>
        <v>0.77728576824475826</v>
      </c>
      <c r="J23" s="508">
        <f t="shared" ref="J23:M23" si="31">C53/C39</f>
        <v>0.39978281104560964</v>
      </c>
      <c r="K23" s="508">
        <f t="shared" si="31"/>
        <v>0.76600850878149895</v>
      </c>
      <c r="L23" s="508">
        <f t="shared" si="31"/>
        <v>1.0923910051021946</v>
      </c>
      <c r="M23" s="508">
        <f t="shared" si="31"/>
        <v>1.3050699268823753</v>
      </c>
    </row>
    <row r="24" spans="1:24" x14ac:dyDescent="0.25">
      <c r="A24" s="67" t="s">
        <v>48</v>
      </c>
      <c r="B24" s="225">
        <v>29.180700000000002</v>
      </c>
      <c r="C24" s="85">
        <v>16.210899999999999</v>
      </c>
      <c r="D24" s="85">
        <v>12.4641</v>
      </c>
      <c r="E24" s="85">
        <v>2.078531841419446</v>
      </c>
      <c r="F24" s="85">
        <v>0.17018552264393186</v>
      </c>
      <c r="H24" s="236" t="s">
        <v>86</v>
      </c>
      <c r="I24" s="508">
        <f>B54/B41</f>
        <v>1.0137855097996038</v>
      </c>
      <c r="J24" s="508">
        <f t="shared" ref="J24:M24" si="32">C54/C41</f>
        <v>0.67728415758591798</v>
      </c>
      <c r="K24" s="508">
        <f t="shared" si="32"/>
        <v>1.0629837001167366</v>
      </c>
      <c r="L24" s="514">
        <f t="shared" si="32"/>
        <v>1.6887161941119513</v>
      </c>
      <c r="M24" s="508">
        <f t="shared" si="32"/>
        <v>1.7388108912331248</v>
      </c>
    </row>
    <row r="25" spans="1:24" x14ac:dyDescent="0.25">
      <c r="A25" s="69" t="s">
        <v>49</v>
      </c>
      <c r="B25" s="220">
        <v>25.196200000000001</v>
      </c>
      <c r="C25" s="85">
        <v>16.2744</v>
      </c>
      <c r="D25" s="85">
        <v>8.6090999999999998</v>
      </c>
      <c r="E25" s="85">
        <v>1.2116342474787469</v>
      </c>
      <c r="F25" s="85">
        <v>8.7751258894774364E-2</v>
      </c>
    </row>
    <row r="26" spans="1:24" x14ac:dyDescent="0.25">
      <c r="A26" s="69" t="s">
        <v>50</v>
      </c>
      <c r="B26" s="220">
        <v>14.8794</v>
      </c>
      <c r="C26" s="85">
        <v>8.4464000000000006</v>
      </c>
      <c r="D26" s="85">
        <v>5.661999999999999</v>
      </c>
      <c r="E26" s="85">
        <v>1.31167900122773</v>
      </c>
      <c r="F26" s="85">
        <v>7.6598708923253711E-2</v>
      </c>
      <c r="H26" t="s">
        <v>207</v>
      </c>
    </row>
    <row r="27" spans="1:24" x14ac:dyDescent="0.25">
      <c r="A27" s="70" t="s">
        <v>51</v>
      </c>
      <c r="B27" s="227">
        <v>31.258299999999998</v>
      </c>
      <c r="C27" s="85">
        <v>17.811199999999999</v>
      </c>
      <c r="D27" s="85">
        <v>12.9597</v>
      </c>
      <c r="E27" s="85">
        <v>1.249394894119128</v>
      </c>
      <c r="F27" s="85">
        <v>8.0302038778309603E-2</v>
      </c>
      <c r="I27" t="s">
        <v>189</v>
      </c>
      <c r="J27" s="83" t="s">
        <v>59</v>
      </c>
      <c r="K27" s="83" t="s">
        <v>60</v>
      </c>
      <c r="L27" s="83" t="s">
        <v>61</v>
      </c>
      <c r="M27" s="83" t="s">
        <v>62</v>
      </c>
      <c r="O27" s="83"/>
      <c r="R27" s="570" t="s">
        <v>200</v>
      </c>
      <c r="S27" s="570"/>
      <c r="W27" s="571" t="s">
        <v>205</v>
      </c>
      <c r="X27" s="571"/>
    </row>
    <row r="28" spans="1:24" x14ac:dyDescent="0.25">
      <c r="H28" s="60" t="s">
        <v>76</v>
      </c>
      <c r="I28" s="515">
        <v>0.5855303599117716</v>
      </c>
      <c r="J28" s="515">
        <v>0.45238134697165056</v>
      </c>
      <c r="K28" s="515">
        <v>0.84800943486437397</v>
      </c>
      <c r="L28" s="515">
        <v>0.81643206821665004</v>
      </c>
      <c r="M28" s="515">
        <v>0.80480638972967899</v>
      </c>
      <c r="O28" s="83" t="s">
        <v>208</v>
      </c>
      <c r="P28" s="83" t="s">
        <v>195</v>
      </c>
      <c r="Q28" s="83" t="s">
        <v>196</v>
      </c>
      <c r="R28" s="83" t="s">
        <v>198</v>
      </c>
      <c r="S28" s="83" t="s">
        <v>199</v>
      </c>
      <c r="T28" s="83" t="s">
        <v>202</v>
      </c>
      <c r="U28" s="83" t="s">
        <v>203</v>
      </c>
      <c r="V28" s="83" t="s">
        <v>204</v>
      </c>
      <c r="W28" s="83" t="s">
        <v>198</v>
      </c>
      <c r="X28" s="83" t="s">
        <v>199</v>
      </c>
    </row>
    <row r="29" spans="1:24" x14ac:dyDescent="0.25">
      <c r="A29" t="s">
        <v>193</v>
      </c>
      <c r="H29" s="60" t="s">
        <v>77</v>
      </c>
      <c r="I29" s="515">
        <v>0.49079995398285181</v>
      </c>
      <c r="J29" s="515">
        <v>0.64617571419151099</v>
      </c>
      <c r="K29" s="515">
        <v>0.40477962457620109</v>
      </c>
      <c r="L29" s="515">
        <v>0.36268356023527992</v>
      </c>
      <c r="M29" s="515">
        <v>0.33195683319433522</v>
      </c>
      <c r="O29" s="509" t="s">
        <v>189</v>
      </c>
      <c r="P29" s="510">
        <f>AVERAGE(I28:I48)</f>
        <v>0.9564530106392336</v>
      </c>
      <c r="Q29" s="510">
        <f>_xlfn.STDEV.P(I28:I48)</f>
        <v>0.38585813666960778</v>
      </c>
      <c r="R29" s="510">
        <f>P29-2*Q29</f>
        <v>0.18473673730001805</v>
      </c>
      <c r="S29" s="511">
        <f>P29+2*Q29</f>
        <v>1.728169283978449</v>
      </c>
      <c r="T29" s="85">
        <f>_xlfn.QUARTILE.INC(I28:I48,1)</f>
        <v>0.67654264278058485</v>
      </c>
      <c r="U29" s="85">
        <f>_xlfn.QUARTILE.INC(I28:I48,3)</f>
        <v>1.1547190218238146</v>
      </c>
      <c r="V29" s="85">
        <f>U29-T29</f>
        <v>0.47817637904322974</v>
      </c>
      <c r="W29" s="85">
        <f>T29-V29*1.5</f>
        <v>-4.0721925784259816E-2</v>
      </c>
      <c r="X29" s="85">
        <f>U29+V29*1.5</f>
        <v>1.8719835903886592</v>
      </c>
    </row>
    <row r="30" spans="1:24" x14ac:dyDescent="0.25">
      <c r="B30" s="83" t="s">
        <v>189</v>
      </c>
      <c r="C30" s="83" t="s">
        <v>59</v>
      </c>
      <c r="D30" s="83" t="s">
        <v>60</v>
      </c>
      <c r="E30" s="83" t="s">
        <v>61</v>
      </c>
      <c r="F30" s="83" t="s">
        <v>62</v>
      </c>
      <c r="H30" s="62" t="s">
        <v>78</v>
      </c>
      <c r="I30" s="515">
        <v>1.5097170894005916</v>
      </c>
      <c r="J30" s="515">
        <v>1.554202488048458</v>
      </c>
      <c r="K30" s="515">
        <v>1.4343186375709105</v>
      </c>
      <c r="L30" s="515">
        <v>1.4515108631759563</v>
      </c>
      <c r="M30" s="515">
        <v>1.49854710443643</v>
      </c>
      <c r="O30" s="509" t="s">
        <v>59</v>
      </c>
      <c r="P30" s="510">
        <f>AVERAGE(J28:J48)</f>
        <v>0.95983984018191304</v>
      </c>
      <c r="Q30" s="510">
        <f>_xlfn.STDEV.P(J28:J48)</f>
        <v>0.8756265577720187</v>
      </c>
      <c r="R30" s="510">
        <f t="shared" ref="R30:R32" si="33">P30-2*Q30</f>
        <v>-0.79141327536212436</v>
      </c>
      <c r="S30" s="511">
        <f>P30+2*Q30</f>
        <v>2.7110929557259507</v>
      </c>
      <c r="T30" s="85">
        <f>_xlfn.QUARTILE.INC(J28:J48,1)</f>
        <v>0.45238134697165056</v>
      </c>
      <c r="U30" s="85">
        <f>_xlfn.QUARTILE.INC(J28:J48,3)</f>
        <v>1.0058507586016938</v>
      </c>
      <c r="V30" s="85">
        <f t="shared" ref="V30:V33" si="34">U30-T30</f>
        <v>0.55346941163004326</v>
      </c>
      <c r="W30" s="85">
        <f t="shared" ref="W30:W33" si="35">T30-V30*1.5</f>
        <v>-0.37782277047341439</v>
      </c>
      <c r="X30" s="85">
        <f t="shared" ref="X30:X33" si="36">U30+V30*1.5</f>
        <v>1.8360548760467588</v>
      </c>
    </row>
    <row r="31" spans="1:24" x14ac:dyDescent="0.25">
      <c r="A31" s="59" t="s">
        <v>28</v>
      </c>
      <c r="B31" s="86">
        <v>11.398899999999999</v>
      </c>
      <c r="C31" s="85">
        <v>1.5851</v>
      </c>
      <c r="D31" s="85">
        <v>7.529399999999999</v>
      </c>
      <c r="E31" s="85">
        <v>3.7933434306569351</v>
      </c>
      <c r="F31" s="85">
        <v>0.20310881995133825</v>
      </c>
      <c r="H31" s="64" t="s">
        <v>79</v>
      </c>
      <c r="I31" s="515">
        <v>1.2198676282142185</v>
      </c>
      <c r="J31" s="515">
        <v>0.95871418681534304</v>
      </c>
      <c r="K31" s="515">
        <v>1.8496064552151439</v>
      </c>
      <c r="L31" s="515">
        <v>1.8674308308418519</v>
      </c>
      <c r="M31" s="515">
        <v>1.9246065038279212</v>
      </c>
      <c r="O31" s="509" t="s">
        <v>60</v>
      </c>
      <c r="P31" s="510">
        <f>AVERAGE(K28:K48)</f>
        <v>1.0249494588031394</v>
      </c>
      <c r="Q31" s="510">
        <f>_xlfn.STDEV.P(K28:K48)</f>
        <v>0.43421538245324109</v>
      </c>
      <c r="R31" s="510">
        <f t="shared" si="33"/>
        <v>0.15651869389665718</v>
      </c>
      <c r="S31" s="511">
        <f t="shared" ref="S31:S33" si="37">P31+2*Q31</f>
        <v>1.8933802237096216</v>
      </c>
      <c r="T31" s="85">
        <f>_xlfn.QUARTILE.INC(K28:K48,1)</f>
        <v>0.76600850878149895</v>
      </c>
      <c r="U31" s="85">
        <f>_xlfn.QUARTILE.INC(K28:K48,3)</f>
        <v>1.2440711462450593</v>
      </c>
      <c r="V31" s="85">
        <f t="shared" si="34"/>
        <v>0.47806263746356037</v>
      </c>
      <c r="W31" s="85">
        <f t="shared" si="35"/>
        <v>4.89145525861584E-2</v>
      </c>
      <c r="X31" s="85">
        <f t="shared" si="36"/>
        <v>1.9611651024404</v>
      </c>
    </row>
    <row r="32" spans="1:24" x14ac:dyDescent="0.25">
      <c r="A32" s="59" t="s">
        <v>29</v>
      </c>
      <c r="B32" s="86">
        <v>8.5109999999999992</v>
      </c>
      <c r="C32" s="85">
        <v>0.69650000000000001</v>
      </c>
      <c r="D32" s="85">
        <v>5.7776999999999994</v>
      </c>
      <c r="E32" s="85">
        <v>4.2427262400605823</v>
      </c>
      <c r="F32" s="85">
        <v>0.24768143380032806</v>
      </c>
      <c r="H32" s="66" t="s">
        <v>80</v>
      </c>
      <c r="I32" s="515">
        <v>0.58105160868437489</v>
      </c>
      <c r="J32" s="515">
        <v>0.62831530253728995</v>
      </c>
      <c r="K32" s="515">
        <v>0.5112085177249891</v>
      </c>
      <c r="L32" s="515">
        <v>0.46437110228249351</v>
      </c>
      <c r="M32" s="515">
        <v>0.45352315724740905</v>
      </c>
      <c r="O32" s="509" t="s">
        <v>61</v>
      </c>
      <c r="P32" s="510">
        <f>AVERAGE(L28:L48)</f>
        <v>1.0802824696263702</v>
      </c>
      <c r="Q32" s="510">
        <f>_xlfn.STDEV.P(L28:L48)</f>
        <v>0.43565206944451029</v>
      </c>
      <c r="R32" s="510">
        <f t="shared" si="33"/>
        <v>0.20897833073734962</v>
      </c>
      <c r="S32" s="511">
        <f t="shared" si="37"/>
        <v>1.9515866085153908</v>
      </c>
      <c r="T32" s="85">
        <f>_xlfn.QUARTILE.INC(L28:L48,1)</f>
        <v>0.7792714140934911</v>
      </c>
      <c r="U32" s="85">
        <f>_xlfn.QUARTILE.INC(L28:L48,3)</f>
        <v>1.3314803936566644</v>
      </c>
      <c r="V32" s="85">
        <f t="shared" si="34"/>
        <v>0.55220897956317327</v>
      </c>
      <c r="W32" s="85">
        <f t="shared" si="35"/>
        <v>-4.9042055251268812E-2</v>
      </c>
      <c r="X32" s="85">
        <f t="shared" si="36"/>
        <v>2.1597938630014242</v>
      </c>
    </row>
    <row r="33" spans="1:24" x14ac:dyDescent="0.25">
      <c r="A33" s="61" t="s">
        <v>30</v>
      </c>
      <c r="B33" s="220">
        <v>10.304</v>
      </c>
      <c r="C33" s="85">
        <v>1.5595000000000001</v>
      </c>
      <c r="D33" s="85">
        <v>7.0016999999999996</v>
      </c>
      <c r="E33" s="85">
        <v>3.2029096365455167</v>
      </c>
      <c r="F33" s="85">
        <v>0.18703707902634226</v>
      </c>
      <c r="H33" s="66" t="s">
        <v>81</v>
      </c>
      <c r="I33" s="515">
        <v>0.87601875931709128</v>
      </c>
      <c r="J33" s="515">
        <v>1.0384864911623077</v>
      </c>
      <c r="K33" s="515">
        <v>0.6820570628935706</v>
      </c>
      <c r="L33" s="515">
        <v>0.62033791078328049</v>
      </c>
      <c r="M33" s="515">
        <v>0.49371358600376286</v>
      </c>
      <c r="O33" s="509" t="s">
        <v>62</v>
      </c>
      <c r="P33" s="510">
        <f>AVERAGE(M28:M48)</f>
        <v>1.0867480585948297</v>
      </c>
      <c r="Q33" s="510">
        <f>_xlfn.STDEV.P(M28:M48)</f>
        <v>0.48187188977836248</v>
      </c>
      <c r="R33" s="510">
        <f>P33-2*Q33</f>
        <v>0.12300427903810474</v>
      </c>
      <c r="S33" s="511">
        <f t="shared" si="37"/>
        <v>2.0504918381515544</v>
      </c>
      <c r="T33" s="85">
        <f>_xlfn.QUARTILE.INC(M28:M48,1)</f>
        <v>0.78067714652771203</v>
      </c>
      <c r="U33" s="85">
        <f>_xlfn.QUARTILE.INC(M28:M48,3)</f>
        <v>1.3819714135957324</v>
      </c>
      <c r="V33" s="85">
        <f t="shared" si="34"/>
        <v>0.60129426706802036</v>
      </c>
      <c r="W33" s="85">
        <f t="shared" si="35"/>
        <v>-0.12126425407431851</v>
      </c>
      <c r="X33" s="85">
        <f t="shared" si="36"/>
        <v>2.2839128141977629</v>
      </c>
    </row>
    <row r="34" spans="1:24" x14ac:dyDescent="0.25">
      <c r="A34" s="63" t="s">
        <v>31</v>
      </c>
      <c r="B34" s="222">
        <v>19.3034</v>
      </c>
      <c r="C34" s="85">
        <v>4.3765000000000001</v>
      </c>
      <c r="D34" s="85">
        <v>11.661999999999999</v>
      </c>
      <c r="E34" s="85">
        <v>5.822843398413668</v>
      </c>
      <c r="F34" s="85">
        <v>0.3635123062843198</v>
      </c>
      <c r="H34" s="68" t="s">
        <v>82</v>
      </c>
      <c r="I34" s="515">
        <v>0.991411203614741</v>
      </c>
      <c r="J34" s="515">
        <v>1.0058507586016938</v>
      </c>
      <c r="K34" s="515">
        <v>0.96231397785727901</v>
      </c>
      <c r="L34" s="515">
        <v>0.82481762457752394</v>
      </c>
      <c r="M34" s="515">
        <v>0.78067714652771203</v>
      </c>
    </row>
    <row r="35" spans="1:24" x14ac:dyDescent="0.25">
      <c r="A35" s="65" t="s">
        <v>32</v>
      </c>
      <c r="B35" s="87">
        <v>20.031400000000001</v>
      </c>
      <c r="C35" s="85">
        <v>6.3570000000000002</v>
      </c>
      <c r="D35" s="85">
        <v>10.2044</v>
      </c>
      <c r="E35" s="85">
        <v>7.0654710684273754</v>
      </c>
      <c r="F35" s="85">
        <v>0.45884337735094055</v>
      </c>
      <c r="H35" s="68" t="s">
        <v>83</v>
      </c>
      <c r="I35" s="515">
        <v>0.91568839726994589</v>
      </c>
      <c r="J35" s="515">
        <v>0.75875255087712734</v>
      </c>
      <c r="K35" s="515">
        <v>1.2440711462450593</v>
      </c>
      <c r="L35" s="515">
        <v>1.3314803936566644</v>
      </c>
      <c r="M35" s="515">
        <v>1.3819714135957324</v>
      </c>
    </row>
    <row r="36" spans="1:24" x14ac:dyDescent="0.25">
      <c r="A36" s="65" t="s">
        <v>33</v>
      </c>
      <c r="B36" s="87">
        <v>16.980599999999999</v>
      </c>
      <c r="C36" s="85">
        <v>6.3470000000000004</v>
      </c>
      <c r="D36" s="85">
        <v>8.2335999999999991</v>
      </c>
      <c r="E36" s="85">
        <v>5.0778449889732853</v>
      </c>
      <c r="F36" s="85">
        <v>0.53364981622151375</v>
      </c>
      <c r="H36" s="217" t="s">
        <v>84</v>
      </c>
      <c r="I36" s="515">
        <v>1.1547190218238146</v>
      </c>
      <c r="J36" s="515">
        <v>0.99968058183247754</v>
      </c>
      <c r="K36" s="515">
        <v>1.64991663312827</v>
      </c>
      <c r="L36" s="515">
        <v>1.7761056576187881</v>
      </c>
      <c r="M36" s="512">
        <v>2.0775013302402989</v>
      </c>
    </row>
    <row r="37" spans="1:24" x14ac:dyDescent="0.25">
      <c r="A37" s="67" t="s">
        <v>35</v>
      </c>
      <c r="B37" s="225">
        <v>15.056900000000001</v>
      </c>
      <c r="C37" s="85">
        <v>6.3075000000000001</v>
      </c>
      <c r="D37" s="85">
        <v>6.8244000000000007</v>
      </c>
      <c r="E37" s="85">
        <v>3.4966024327251528</v>
      </c>
      <c r="F37" s="85">
        <v>0.23523687411480473</v>
      </c>
      <c r="H37" s="217" t="s">
        <v>85</v>
      </c>
      <c r="I37" s="515">
        <v>0.87237485489147637</v>
      </c>
      <c r="J37" s="515">
        <v>0.82366937764515447</v>
      </c>
      <c r="K37" s="515">
        <v>0.90001589572405005</v>
      </c>
      <c r="L37" s="515">
        <v>1.2302305012729364</v>
      </c>
      <c r="M37" s="515">
        <v>1.167817183262237</v>
      </c>
    </row>
    <row r="38" spans="1:24" x14ac:dyDescent="0.25">
      <c r="A38" s="69" t="s">
        <v>36</v>
      </c>
      <c r="B38" s="220">
        <v>12.7844</v>
      </c>
      <c r="C38" s="85">
        <v>3.1258999999999997</v>
      </c>
      <c r="D38" s="85">
        <v>7.5085999999999995</v>
      </c>
      <c r="E38" s="85">
        <v>4.2943881967213136</v>
      </c>
      <c r="F38" s="85">
        <v>0.27809010795681738</v>
      </c>
      <c r="H38" s="71" t="s">
        <v>86</v>
      </c>
      <c r="I38" s="515">
        <v>1.3025702784468318</v>
      </c>
      <c r="J38" s="515">
        <v>1.3231608115235753</v>
      </c>
      <c r="K38" s="515">
        <v>1.3291318393928515</v>
      </c>
      <c r="L38" s="515">
        <v>0.60782911162972697</v>
      </c>
      <c r="M38" s="515">
        <v>0.56455873480395036</v>
      </c>
    </row>
    <row r="39" spans="1:24" x14ac:dyDescent="0.25">
      <c r="A39" s="69" t="s">
        <v>37</v>
      </c>
      <c r="B39" s="220">
        <v>12.443300000000001</v>
      </c>
      <c r="C39" s="85">
        <v>1.2892000000000001</v>
      </c>
      <c r="D39" s="85">
        <v>8.2502999999999993</v>
      </c>
      <c r="E39" s="85">
        <v>5.5288184321347602</v>
      </c>
      <c r="F39" s="85">
        <v>0.3598969808875932</v>
      </c>
      <c r="H39" s="230" t="s">
        <v>76</v>
      </c>
      <c r="I39" s="515">
        <v>1.1063699128863311</v>
      </c>
      <c r="J39" s="515">
        <v>0.62330452337391962</v>
      </c>
      <c r="K39" s="515">
        <v>1.1705182351847425</v>
      </c>
      <c r="L39" s="515">
        <v>1.1419460914927202</v>
      </c>
      <c r="M39" s="515">
        <v>1.1806196624020175</v>
      </c>
    </row>
    <row r="40" spans="1:24" x14ac:dyDescent="0.25">
      <c r="A40" s="70" t="s">
        <v>38</v>
      </c>
      <c r="B40" s="227">
        <v>12.441000000000001</v>
      </c>
      <c r="C40" s="85">
        <v>0.41239999999999999</v>
      </c>
      <c r="D40" s="85">
        <v>9.6692</v>
      </c>
      <c r="E40" s="85">
        <v>6.9407622366288502</v>
      </c>
      <c r="F40" s="85">
        <v>0.8784301134521878</v>
      </c>
      <c r="H40" s="230" t="s">
        <v>77</v>
      </c>
      <c r="I40" s="513">
        <v>1.9470802490894139</v>
      </c>
      <c r="J40" s="513">
        <v>2.6420674802584352</v>
      </c>
      <c r="K40" s="513">
        <v>1.964446059850806</v>
      </c>
      <c r="L40" s="515">
        <v>1.5220342751693652</v>
      </c>
      <c r="M40" s="515">
        <v>1.4565026374607606</v>
      </c>
    </row>
    <row r="41" spans="1:24" x14ac:dyDescent="0.25">
      <c r="A41" s="70" t="s">
        <v>39</v>
      </c>
      <c r="B41" s="227">
        <v>13.622999999999999</v>
      </c>
      <c r="C41" s="85">
        <v>2.1473999999999998</v>
      </c>
      <c r="D41" s="85">
        <v>9.2515999999999998</v>
      </c>
      <c r="E41" s="85">
        <v>4.0606493176648994</v>
      </c>
      <c r="F41" s="85">
        <v>0.28163472327520855</v>
      </c>
      <c r="H41" s="231" t="s">
        <v>78</v>
      </c>
      <c r="I41" s="515">
        <v>1.468847049689441</v>
      </c>
      <c r="J41" s="513">
        <v>4.0456556588650203</v>
      </c>
      <c r="K41" s="515">
        <v>0.94441349957867382</v>
      </c>
      <c r="L41" s="515">
        <v>1.2406337151637576</v>
      </c>
      <c r="M41" s="515">
        <v>1.2552832849285276</v>
      </c>
    </row>
    <row r="42" spans="1:24" x14ac:dyDescent="0.25">
      <c r="A42" t="s">
        <v>194</v>
      </c>
      <c r="H42" s="232" t="s">
        <v>79</v>
      </c>
      <c r="I42" s="515">
        <v>0.24015976460105476</v>
      </c>
      <c r="J42" s="515">
        <v>0.12450588369701815</v>
      </c>
      <c r="K42" s="515">
        <v>0.26769850797461847</v>
      </c>
      <c r="L42" s="515">
        <v>0.38175691880233908</v>
      </c>
      <c r="M42" s="515">
        <v>0.47918131529184382</v>
      </c>
    </row>
    <row r="43" spans="1:24" x14ac:dyDescent="0.25">
      <c r="B43" s="83" t="s">
        <v>189</v>
      </c>
      <c r="C43" s="83" t="s">
        <v>59</v>
      </c>
      <c r="D43" s="83" t="s">
        <v>60</v>
      </c>
      <c r="E43" s="83" t="s">
        <v>61</v>
      </c>
      <c r="F43" s="83" t="s">
        <v>62</v>
      </c>
      <c r="H43" s="233" t="s">
        <v>80</v>
      </c>
      <c r="I43" s="515">
        <v>0.74375730103737125</v>
      </c>
      <c r="J43" s="515">
        <v>0.57103979864716059</v>
      </c>
      <c r="K43" s="515">
        <v>0.83219003567088723</v>
      </c>
      <c r="L43" s="515">
        <v>0.7792714140934911</v>
      </c>
      <c r="M43" s="515">
        <v>0.78578774260487583</v>
      </c>
    </row>
    <row r="44" spans="1:24" x14ac:dyDescent="0.25">
      <c r="A44" s="59" t="s">
        <v>41</v>
      </c>
      <c r="B44" s="86">
        <v>12.6114</v>
      </c>
      <c r="C44" s="85">
        <v>0.98799999999999999</v>
      </c>
      <c r="D44" s="85">
        <v>8.8132999999999999</v>
      </c>
      <c r="E44" s="85">
        <v>4.3317937043282733</v>
      </c>
      <c r="F44" s="85">
        <v>0.23979426644182111</v>
      </c>
      <c r="H44" s="233" t="s">
        <v>81</v>
      </c>
      <c r="I44" s="515">
        <v>0.67654264278058485</v>
      </c>
      <c r="J44" s="515">
        <v>0.41298251142271936</v>
      </c>
      <c r="K44" s="515">
        <v>0.69983968130586882</v>
      </c>
      <c r="L44" s="515">
        <v>1.1500146832618909</v>
      </c>
      <c r="M44" s="515">
        <v>0.87908380603947722</v>
      </c>
    </row>
    <row r="45" spans="1:24" x14ac:dyDescent="0.25">
      <c r="A45" s="59" t="s">
        <v>42</v>
      </c>
      <c r="B45" s="86">
        <v>16.5716</v>
      </c>
      <c r="C45" s="85">
        <v>1.8402000000000001</v>
      </c>
      <c r="D45" s="85">
        <v>11.34998</v>
      </c>
      <c r="E45" s="85">
        <v>6.4575747575326545</v>
      </c>
      <c r="F45" s="85">
        <v>0.3607486615802406</v>
      </c>
      <c r="H45" s="234" t="s">
        <v>83</v>
      </c>
      <c r="I45" s="515">
        <v>0.58625613506100183</v>
      </c>
      <c r="J45" s="515">
        <v>0.12480380499405469</v>
      </c>
      <c r="K45" s="515">
        <v>0.81670183459351731</v>
      </c>
      <c r="L45" s="515">
        <v>1.1874642632682835</v>
      </c>
      <c r="M45" s="515">
        <v>1.1923516495674067</v>
      </c>
    </row>
    <row r="46" spans="1:24" x14ac:dyDescent="0.25">
      <c r="A46" s="61" t="s">
        <v>43</v>
      </c>
      <c r="B46" s="220">
        <v>15.135</v>
      </c>
      <c r="C46" s="85">
        <v>6.3091999999999997</v>
      </c>
      <c r="D46" s="85">
        <v>6.6124999999999998</v>
      </c>
      <c r="E46" s="85">
        <v>3.9736376817212653</v>
      </c>
      <c r="F46" s="85">
        <v>0.23478451896362351</v>
      </c>
      <c r="H46" s="235" t="s">
        <v>84</v>
      </c>
      <c r="I46" s="515">
        <v>1.0256797346766371</v>
      </c>
      <c r="J46" s="515">
        <v>0.34582040372372758</v>
      </c>
      <c r="K46" s="515">
        <v>1.1837093466158806</v>
      </c>
      <c r="L46" s="515">
        <v>1.1484736773966342</v>
      </c>
      <c r="M46" s="515">
        <v>1.0693389312115449</v>
      </c>
    </row>
    <row r="47" spans="1:24" x14ac:dyDescent="0.25">
      <c r="A47" s="63" t="s">
        <v>44</v>
      </c>
      <c r="B47" s="222">
        <v>4.6359000000000004</v>
      </c>
      <c r="C47" s="85">
        <v>0.54489999999999994</v>
      </c>
      <c r="D47" s="85">
        <v>3.1219000000000001</v>
      </c>
      <c r="E47" s="85">
        <v>2.2229107544469429</v>
      </c>
      <c r="F47" s="85">
        <v>0.17418830505009195</v>
      </c>
      <c r="H47" s="235" t="s">
        <v>85</v>
      </c>
      <c r="I47" s="515">
        <v>0.77728576824475826</v>
      </c>
      <c r="J47" s="515">
        <v>0.39978281104560964</v>
      </c>
      <c r="K47" s="515">
        <v>0.76600850878149895</v>
      </c>
      <c r="L47" s="515">
        <v>1.0923910051021946</v>
      </c>
      <c r="M47" s="515">
        <v>1.3050699268823753</v>
      </c>
    </row>
    <row r="48" spans="1:24" x14ac:dyDescent="0.25">
      <c r="A48" s="65" t="s">
        <v>45</v>
      </c>
      <c r="B48" s="87">
        <v>14.8985</v>
      </c>
      <c r="C48" s="85">
        <v>3.6301000000000001</v>
      </c>
      <c r="D48" s="85">
        <v>8.4920000000000009</v>
      </c>
      <c r="E48" s="85">
        <v>5.50591963073005</v>
      </c>
      <c r="F48" s="85">
        <v>0.36055350169779277</v>
      </c>
      <c r="H48" s="236" t="s">
        <v>86</v>
      </c>
      <c r="I48" s="515">
        <v>1.0137855097996038</v>
      </c>
      <c r="J48" s="515">
        <v>0.67728415758591798</v>
      </c>
      <c r="K48" s="515">
        <v>1.0629837001167366</v>
      </c>
      <c r="L48" s="515">
        <v>1.6887161941119513</v>
      </c>
      <c r="M48" s="515">
        <v>1.7388108912331248</v>
      </c>
    </row>
    <row r="49" spans="1:26" x14ac:dyDescent="0.25">
      <c r="A49" s="65" t="s">
        <v>46</v>
      </c>
      <c r="B49" s="87">
        <v>11.488099999999999</v>
      </c>
      <c r="C49" s="85">
        <v>2.6212</v>
      </c>
      <c r="D49" s="85">
        <v>5.7622000000000009</v>
      </c>
      <c r="E49" s="85">
        <v>5.8395962966470929</v>
      </c>
      <c r="F49" s="85">
        <v>0.46912291153627583</v>
      </c>
    </row>
    <row r="50" spans="1:26" x14ac:dyDescent="0.25">
      <c r="A50" s="67" t="s">
        <v>47</v>
      </c>
      <c r="B50" s="225">
        <v>17.649799999999999</v>
      </c>
      <c r="C50" s="85">
        <v>3.512</v>
      </c>
      <c r="D50" s="85">
        <v>11.0939</v>
      </c>
      <c r="E50" s="85">
        <v>5.7129808341416108</v>
      </c>
      <c r="F50" s="85">
        <v>0.39221973811833188</v>
      </c>
    </row>
    <row r="51" spans="1:26" x14ac:dyDescent="0.25">
      <c r="A51" s="67" t="s">
        <v>48</v>
      </c>
      <c r="B51" s="225">
        <v>8.8271999999999995</v>
      </c>
      <c r="C51" s="85">
        <v>0.78720000000000001</v>
      </c>
      <c r="D51" s="85">
        <v>5.5735000000000001</v>
      </c>
      <c r="E51" s="85">
        <v>4.1520904317180616</v>
      </c>
      <c r="F51" s="85">
        <v>0.28048507488986779</v>
      </c>
    </row>
    <row r="52" spans="1:26" x14ac:dyDescent="0.25">
      <c r="A52" s="69" t="s">
        <v>49</v>
      </c>
      <c r="B52" s="220">
        <v>13.1127</v>
      </c>
      <c r="C52" s="85">
        <v>1.081</v>
      </c>
      <c r="D52" s="85">
        <v>8.8879999999999999</v>
      </c>
      <c r="E52" s="85">
        <v>4.9319918044572271</v>
      </c>
      <c r="F52" s="85">
        <v>0.29737257882304624</v>
      </c>
    </row>
    <row r="53" spans="1:26" x14ac:dyDescent="0.25">
      <c r="A53" s="69" t="s">
        <v>50</v>
      </c>
      <c r="B53" s="220">
        <v>9.6720000000000006</v>
      </c>
      <c r="C53" s="85">
        <v>0.51539999999999997</v>
      </c>
      <c r="D53" s="85">
        <v>6.3197999999999999</v>
      </c>
      <c r="E53" s="85">
        <v>6.0396315241072305</v>
      </c>
      <c r="F53" s="85">
        <v>0.46969072653215888</v>
      </c>
    </row>
    <row r="54" spans="1:26" x14ac:dyDescent="0.25">
      <c r="A54" s="70" t="s">
        <v>51</v>
      </c>
      <c r="B54" s="227">
        <v>13.8108</v>
      </c>
      <c r="C54" s="85">
        <v>1.4544000000000001</v>
      </c>
      <c r="D54" s="85">
        <v>9.8343000000000007</v>
      </c>
      <c r="E54" s="85">
        <v>6.8572842613503608</v>
      </c>
      <c r="F54" s="85">
        <v>0.48970952418035985</v>
      </c>
    </row>
    <row r="55" spans="1:26" x14ac:dyDescent="0.25">
      <c r="H55" t="s">
        <v>201</v>
      </c>
      <c r="O55" s="83"/>
    </row>
    <row r="56" spans="1:26" x14ac:dyDescent="0.25">
      <c r="A56" t="s">
        <v>187</v>
      </c>
      <c r="B56" s="215" t="s">
        <v>206</v>
      </c>
      <c r="C56" s="57" t="s">
        <v>59</v>
      </c>
      <c r="D56" s="57" t="s">
        <v>60</v>
      </c>
      <c r="E56" s="57" t="s">
        <v>61</v>
      </c>
      <c r="F56" s="385" t="s">
        <v>138</v>
      </c>
      <c r="H56" s="507" t="s">
        <v>190</v>
      </c>
      <c r="R56" s="570" t="s">
        <v>200</v>
      </c>
      <c r="S56" s="570"/>
      <c r="T56" s="572" t="s">
        <v>210</v>
      </c>
      <c r="U56" s="572"/>
      <c r="Y56" s="571" t="s">
        <v>205</v>
      </c>
      <c r="Z56" s="571"/>
    </row>
    <row r="57" spans="1:26" x14ac:dyDescent="0.25">
      <c r="A57" s="59" t="s">
        <v>106</v>
      </c>
      <c r="B57" s="85">
        <v>38.5342768272413</v>
      </c>
      <c r="C57" s="85">
        <v>21.909100000000002</v>
      </c>
      <c r="D57" s="85">
        <v>14.494399999999999</v>
      </c>
      <c r="E57" s="85">
        <v>1.9859616586498321</v>
      </c>
      <c r="F57" s="85">
        <v>0.14481516859146945</v>
      </c>
      <c r="H57" s="83" t="s">
        <v>191</v>
      </c>
      <c r="I57" t="s">
        <v>189</v>
      </c>
      <c r="J57" s="83" t="s">
        <v>59</v>
      </c>
      <c r="K57" s="83" t="s">
        <v>60</v>
      </c>
      <c r="L57" s="83" t="s">
        <v>61</v>
      </c>
      <c r="M57" s="83" t="s">
        <v>62</v>
      </c>
      <c r="O57" s="83" t="s">
        <v>197</v>
      </c>
      <c r="P57" s="83" t="s">
        <v>195</v>
      </c>
      <c r="Q57" s="83" t="s">
        <v>196</v>
      </c>
      <c r="R57" s="83" t="s">
        <v>198</v>
      </c>
      <c r="S57" s="83" t="s">
        <v>199</v>
      </c>
      <c r="T57" s="83" t="s">
        <v>198</v>
      </c>
      <c r="U57" s="83" t="s">
        <v>199</v>
      </c>
      <c r="V57" s="83" t="s">
        <v>202</v>
      </c>
      <c r="W57" s="83" t="s">
        <v>203</v>
      </c>
      <c r="X57" s="83" t="s">
        <v>204</v>
      </c>
      <c r="Y57" s="83" t="s">
        <v>198</v>
      </c>
      <c r="Z57" s="83" t="s">
        <v>199</v>
      </c>
    </row>
    <row r="58" spans="1:26" x14ac:dyDescent="0.25">
      <c r="A58" s="61" t="s">
        <v>107</v>
      </c>
      <c r="B58" s="85">
        <v>48.912455571250248</v>
      </c>
      <c r="C58" s="85">
        <v>30.079799999999999</v>
      </c>
      <c r="D58" s="85">
        <v>16.905100000000001</v>
      </c>
      <c r="E58" s="85">
        <v>1.7951717616012994</v>
      </c>
      <c r="F58" s="85">
        <v>0.13238380964895011</v>
      </c>
      <c r="H58" s="59" t="s">
        <v>106</v>
      </c>
      <c r="I58" s="508">
        <f>B66/B57</f>
        <v>0.56765958419138862</v>
      </c>
      <c r="J58" s="508">
        <f>C66/C57</f>
        <v>0.51274356317694469</v>
      </c>
      <c r="K58" s="508">
        <f t="shared" ref="K58:L58" si="38">D66/D57</f>
        <v>0.64462137101225314</v>
      </c>
      <c r="L58" s="508">
        <f t="shared" si="38"/>
        <v>0.60993083183846997</v>
      </c>
      <c r="M58" s="508">
        <f>F66/F57</f>
        <v>0.59318588821583407</v>
      </c>
      <c r="O58" s="509" t="s">
        <v>189</v>
      </c>
      <c r="P58" s="510">
        <f>AVERAGE(I58:I64)</f>
        <v>1.0061777999208736</v>
      </c>
      <c r="Q58" s="510">
        <f>_xlfn.STDEV.P(I58:I64)</f>
        <v>0.29871455403046776</v>
      </c>
      <c r="R58" s="510">
        <f>P58-2*Q58</f>
        <v>0.40874869185993812</v>
      </c>
      <c r="S58" s="511">
        <f>P58+2*Q58</f>
        <v>1.6036069079818092</v>
      </c>
      <c r="T58" s="510">
        <f>P58-3*Q58</f>
        <v>0.11003413782947036</v>
      </c>
      <c r="U58" s="511">
        <f>P58+Q58*3</f>
        <v>1.902321462012277</v>
      </c>
      <c r="V58" s="85">
        <f>_xlfn.QUARTILE.INC(I58:I64,1)</f>
        <v>0.81520955380799576</v>
      </c>
      <c r="W58" s="85">
        <f>_xlfn.QUARTILE.INC(I58:I64,3)</f>
        <v>1.1458494406523034</v>
      </c>
      <c r="X58" s="85">
        <f>W58-V58</f>
        <v>0.33063988684430767</v>
      </c>
      <c r="Y58" s="85">
        <f>V58-X58*1.5</f>
        <v>0.31924972354153425</v>
      </c>
      <c r="Z58" s="85">
        <f>W58+X58*1.5</f>
        <v>1.6418092709187651</v>
      </c>
    </row>
    <row r="59" spans="1:26" x14ac:dyDescent="0.25">
      <c r="A59" s="63" t="s">
        <v>108</v>
      </c>
      <c r="B59" s="85">
        <v>39.847631152605949</v>
      </c>
      <c r="C59" s="85">
        <v>27.011699999999998</v>
      </c>
      <c r="D59" s="85">
        <v>11.104199999999999</v>
      </c>
      <c r="E59" s="85">
        <v>1.6108243373451037</v>
      </c>
      <c r="F59" s="85">
        <v>0.12090681526084991</v>
      </c>
      <c r="H59" s="61" t="s">
        <v>107</v>
      </c>
      <c r="I59" s="508">
        <f t="shared" ref="I59:I63" si="39">B67/B58</f>
        <v>1.5088486935674055</v>
      </c>
      <c r="J59" s="508">
        <f t="shared" ref="J59:J64" si="40">C67/C58</f>
        <v>1.554202488048458</v>
      </c>
      <c r="K59" s="508">
        <f t="shared" ref="K59:K64" si="41">D67/D58</f>
        <v>1.4343186375709105</v>
      </c>
      <c r="L59" s="508">
        <f t="shared" ref="L59:M63" si="42">E67/E58</f>
        <v>1.4515108631759563</v>
      </c>
      <c r="M59" s="508">
        <f t="shared" si="42"/>
        <v>1.49854710443643</v>
      </c>
      <c r="O59" s="509" t="s">
        <v>59</v>
      </c>
      <c r="P59" s="510">
        <f>AVERAGE(J58:J64)</f>
        <v>0.95224637361095221</v>
      </c>
      <c r="Q59" s="510">
        <f>_xlfn.STDEV.P(J58:J64)</f>
        <v>0.29362945537600993</v>
      </c>
      <c r="R59" s="510">
        <f t="shared" ref="R59:R62" si="43">P59-2*Q59</f>
        <v>0.36498746285893235</v>
      </c>
      <c r="S59" s="511">
        <f t="shared" ref="S59:S62" si="44">P59+2*Q59</f>
        <v>1.539505284362972</v>
      </c>
      <c r="T59" s="510">
        <f t="shared" ref="T59:T62" si="45">P59-3*Q59</f>
        <v>7.1358007482922425E-2</v>
      </c>
      <c r="U59" s="511">
        <f t="shared" ref="U59:U62" si="46">P59+Q59*3</f>
        <v>1.8331347397389819</v>
      </c>
      <c r="V59" s="85">
        <f>_xlfn.QUARTILE.INC(J58:J64,1)</f>
        <v>0.83796644313357882</v>
      </c>
      <c r="W59" s="85">
        <f>_xlfn.QUARTILE.INC(J58:J64,3)</f>
        <v>0.99559383330680773</v>
      </c>
      <c r="X59" s="85">
        <f t="shared" ref="X59:X62" si="47">W59-V59</f>
        <v>0.15762739017322891</v>
      </c>
      <c r="Y59" s="85">
        <f t="shared" ref="Y59:Y62" si="48">V59-X59*1.5</f>
        <v>0.6015253578737354</v>
      </c>
      <c r="Z59" s="85">
        <f t="shared" ref="Z59:Z62" si="49">W59+X59*1.5</f>
        <v>1.232034918566651</v>
      </c>
    </row>
    <row r="60" spans="1:26" x14ac:dyDescent="0.25">
      <c r="A60" s="65" t="s">
        <v>109</v>
      </c>
      <c r="B60" s="85">
        <v>43.823421184680605</v>
      </c>
      <c r="C60" s="85">
        <v>23.116849999999999</v>
      </c>
      <c r="D60" s="85">
        <v>17.119799999999998</v>
      </c>
      <c r="E60" s="85">
        <v>3.3155715952934552</v>
      </c>
      <c r="F60" s="85">
        <v>0.27119958938714811</v>
      </c>
      <c r="H60" s="63" t="s">
        <v>108</v>
      </c>
      <c r="I60" s="508">
        <f t="shared" si="39"/>
        <v>1.246641259135127</v>
      </c>
      <c r="J60" s="508">
        <f t="shared" si="40"/>
        <v>0.95871418681534304</v>
      </c>
      <c r="K60" s="508">
        <f>D68/D59</f>
        <v>1.8496064552151439</v>
      </c>
      <c r="L60" s="508">
        <f t="shared" si="42"/>
        <v>1.8674308308418519</v>
      </c>
      <c r="M60" s="508">
        <f t="shared" ref="M60:M64" si="50">F68/F59</f>
        <v>1.9246065038279212</v>
      </c>
      <c r="O60" s="509" t="s">
        <v>60</v>
      </c>
      <c r="P60" s="510">
        <f>AVERAGE(K58:K64)</f>
        <v>1.1319411102809818</v>
      </c>
      <c r="Q60" s="510">
        <f>_xlfn.STDEV.P(K58:K64)</f>
        <v>0.40895589099696122</v>
      </c>
      <c r="R60" s="510">
        <f t="shared" si="43"/>
        <v>0.31402932828705932</v>
      </c>
      <c r="S60" s="511">
        <f t="shared" si="44"/>
        <v>1.9498528922749041</v>
      </c>
      <c r="T60" s="510">
        <f t="shared" si="45"/>
        <v>-9.4926562709901852E-2</v>
      </c>
      <c r="U60" s="511">
        <f t="shared" si="46"/>
        <v>2.3588087832718654</v>
      </c>
      <c r="V60" s="85">
        <f>_xlfn.QUARTILE.INC(K58:K64,1)</f>
        <v>0.8522819109163029</v>
      </c>
      <c r="W60" s="85">
        <f>_xlfn.QUARTILE.INC(K58:K64,3)</f>
        <v>1.337162099242319</v>
      </c>
      <c r="X60" s="85">
        <f t="shared" si="47"/>
        <v>0.48488018832601609</v>
      </c>
      <c r="Y60" s="85">
        <f t="shared" si="48"/>
        <v>0.12496162842727876</v>
      </c>
      <c r="Z60" s="85">
        <f t="shared" si="49"/>
        <v>2.0644823817313434</v>
      </c>
    </row>
    <row r="61" spans="1:26" x14ac:dyDescent="0.25">
      <c r="A61" s="67" t="s">
        <v>110</v>
      </c>
      <c r="B61" s="85">
        <v>49.763951397452743</v>
      </c>
      <c r="C61" s="85">
        <v>32.466099999999997</v>
      </c>
      <c r="D61" s="85">
        <v>14.4572</v>
      </c>
      <c r="E61" s="85">
        <v>2.6167157657569384</v>
      </c>
      <c r="F61" s="85">
        <v>0.22393563169580205</v>
      </c>
      <c r="H61" s="65" t="s">
        <v>109</v>
      </c>
      <c r="I61" s="508">
        <f t="shared" si="39"/>
        <v>0.66373891593768375</v>
      </c>
      <c r="J61" s="508">
        <f t="shared" si="40"/>
        <v>0.75138697530156584</v>
      </c>
      <c r="K61" s="508">
        <f t="shared" si="41"/>
        <v>0.57539223589060629</v>
      </c>
      <c r="L61" s="508">
        <f t="shared" si="42"/>
        <v>0.52466992233686949</v>
      </c>
      <c r="M61" s="508">
        <f t="shared" si="50"/>
        <v>0.4698730506319978</v>
      </c>
      <c r="O61" s="509" t="s">
        <v>61</v>
      </c>
      <c r="P61" s="510">
        <f>AVERAGE(L58:L64)</f>
        <v>1.0827018191301812</v>
      </c>
      <c r="Q61" s="510">
        <f>_xlfn.STDEV.P(L58:L64)</f>
        <v>0.47356598933098121</v>
      </c>
      <c r="R61" s="510">
        <f t="shared" si="43"/>
        <v>0.13556984046821874</v>
      </c>
      <c r="S61" s="511">
        <f t="shared" si="44"/>
        <v>2.0298337977921435</v>
      </c>
      <c r="T61" s="510">
        <f t="shared" si="45"/>
        <v>-0.33799614886276252</v>
      </c>
      <c r="U61" s="511">
        <f t="shared" si="46"/>
        <v>2.5033997871231248</v>
      </c>
      <c r="V61" s="85">
        <f>_xlfn.QUARTILE.INC(L58:L64,1)</f>
        <v>0.65806632339650895</v>
      </c>
      <c r="W61" s="85">
        <f>_xlfn.QUARTILE.INC(L58:L64,3)</f>
        <v>1.4473652162057009</v>
      </c>
      <c r="X61" s="85">
        <f t="shared" si="47"/>
        <v>0.78929889280919197</v>
      </c>
      <c r="Y61" s="85">
        <f t="shared" si="48"/>
        <v>-0.525882015817279</v>
      </c>
      <c r="Z61" s="85">
        <f t="shared" si="49"/>
        <v>2.6313135554194886</v>
      </c>
    </row>
    <row r="62" spans="1:26" x14ac:dyDescent="0.25">
      <c r="A62" s="69" t="s">
        <v>111</v>
      </c>
      <c r="B62" s="85">
        <v>19.949660995386786</v>
      </c>
      <c r="C62" s="85">
        <v>13.267099999999999</v>
      </c>
      <c r="D62" s="85">
        <v>5.7544500000000003</v>
      </c>
      <c r="E62" s="85">
        <v>0.87419589593121216</v>
      </c>
      <c r="F62" s="85">
        <v>5.3915099455572491E-2</v>
      </c>
      <c r="H62" s="67" t="s">
        <v>110</v>
      </c>
      <c r="I62" s="508">
        <f t="shared" si="39"/>
        <v>0.96668019167830788</v>
      </c>
      <c r="J62" s="508">
        <f t="shared" si="40"/>
        <v>0.9245459109655918</v>
      </c>
      <c r="K62" s="508">
        <f t="shared" si="41"/>
        <v>1.0599424508203525</v>
      </c>
      <c r="L62" s="508">
        <f t="shared" si="42"/>
        <v>0.97594890152812663</v>
      </c>
      <c r="M62" s="508">
        <f t="shared" si="50"/>
        <v>0.94600933649348484</v>
      </c>
      <c r="O62" s="509" t="s">
        <v>62</v>
      </c>
      <c r="P62" s="510">
        <f>AVERAGE(M58:M64)</f>
        <v>1.087679023760078</v>
      </c>
      <c r="Q62" s="510">
        <f>_xlfn.STDEV.P(M58:M64)</f>
        <v>0.51978160160161302</v>
      </c>
      <c r="R62" s="510">
        <f t="shared" si="43"/>
        <v>4.8115820556851929E-2</v>
      </c>
      <c r="S62" s="511">
        <f t="shared" si="44"/>
        <v>2.127242226963304</v>
      </c>
      <c r="T62" s="510">
        <f t="shared" si="45"/>
        <v>-0.47166578104476109</v>
      </c>
      <c r="U62" s="511">
        <f t="shared" si="46"/>
        <v>2.647023828564917</v>
      </c>
      <c r="V62" s="85">
        <f>_xlfn.QUARTILE.INC(M58:M64,1)</f>
        <v>0.62528094173654802</v>
      </c>
      <c r="W62" s="85">
        <f>_xlfn.QUARTILE.INC(M58:M64,3)</f>
        <v>1.5113511959470229</v>
      </c>
      <c r="X62" s="85">
        <f t="shared" si="47"/>
        <v>0.88607025421047492</v>
      </c>
      <c r="Y62" s="85">
        <f t="shared" si="48"/>
        <v>-0.7038244395791643</v>
      </c>
      <c r="Z62" s="85">
        <f t="shared" si="49"/>
        <v>2.840456577262735</v>
      </c>
    </row>
    <row r="63" spans="1:26" x14ac:dyDescent="0.25">
      <c r="A63" s="70" t="s">
        <v>112</v>
      </c>
      <c r="B63" s="85">
        <v>30.716580839110513</v>
      </c>
      <c r="C63" s="85">
        <v>17.251000000000001</v>
      </c>
      <c r="D63" s="85">
        <v>11.574250000000001</v>
      </c>
      <c r="E63" s="85">
        <v>1.7691754221837288</v>
      </c>
      <c r="F63" s="85">
        <v>0.12215541692678275</v>
      </c>
      <c r="H63" s="69" t="s">
        <v>111</v>
      </c>
      <c r="I63" s="508">
        <f t="shared" si="39"/>
        <v>1.0446183327667222</v>
      </c>
      <c r="J63" s="508">
        <f t="shared" si="40"/>
        <v>0.93165801117048952</v>
      </c>
      <c r="K63" s="508">
        <f t="shared" si="41"/>
        <v>1.2400055609137275</v>
      </c>
      <c r="L63" s="508">
        <f t="shared" si="42"/>
        <v>1.4432195692354455</v>
      </c>
      <c r="M63" s="508">
        <f t="shared" si="50"/>
        <v>1.5241552874576159</v>
      </c>
    </row>
    <row r="64" spans="1:26" x14ac:dyDescent="0.25">
      <c r="H64" s="70" t="s">
        <v>112</v>
      </c>
      <c r="I64" s="508">
        <f>B72/B63</f>
        <v>1.0450576221694798</v>
      </c>
      <c r="J64" s="508">
        <f t="shared" si="40"/>
        <v>1.0324734797982724</v>
      </c>
      <c r="K64" s="508">
        <f t="shared" si="41"/>
        <v>1.1197010605438795</v>
      </c>
      <c r="L64" s="508">
        <f>E72/E63</f>
        <v>0.70620181495454803</v>
      </c>
      <c r="M64" s="508">
        <f t="shared" si="50"/>
        <v>0.65737599525726198</v>
      </c>
    </row>
    <row r="65" spans="1:26" x14ac:dyDescent="0.25">
      <c r="A65" t="s">
        <v>188</v>
      </c>
      <c r="B65" s="215" t="s">
        <v>206</v>
      </c>
      <c r="C65" s="57" t="s">
        <v>59</v>
      </c>
      <c r="D65" s="57" t="s">
        <v>60</v>
      </c>
      <c r="E65" s="57" t="s">
        <v>61</v>
      </c>
      <c r="F65" s="385" t="s">
        <v>138</v>
      </c>
      <c r="H65" s="507" t="s">
        <v>190</v>
      </c>
      <c r="R65" s="570" t="s">
        <v>200</v>
      </c>
      <c r="S65" s="570"/>
      <c r="T65" s="572" t="s">
        <v>210</v>
      </c>
      <c r="U65" s="572"/>
      <c r="Y65" s="571" t="s">
        <v>205</v>
      </c>
      <c r="Z65" s="571"/>
    </row>
    <row r="66" spans="1:26" x14ac:dyDescent="0.25">
      <c r="A66" s="59" t="s">
        <v>106</v>
      </c>
      <c r="B66" s="85">
        <v>21.874351560867659</v>
      </c>
      <c r="C66" s="85">
        <v>11.233750000000001</v>
      </c>
      <c r="D66" s="85">
        <v>9.3434000000000008</v>
      </c>
      <c r="E66" s="85">
        <v>1.2112992464595997</v>
      </c>
      <c r="F66" s="85">
        <v>8.5902314408056568E-2</v>
      </c>
      <c r="H66" s="83" t="s">
        <v>192</v>
      </c>
      <c r="I66" t="s">
        <v>189</v>
      </c>
      <c r="J66" s="83" t="s">
        <v>59</v>
      </c>
      <c r="K66" s="83" t="s">
        <v>60</v>
      </c>
      <c r="L66" s="83" t="s">
        <v>61</v>
      </c>
      <c r="M66" s="83" t="s">
        <v>62</v>
      </c>
      <c r="O66" s="83" t="s">
        <v>114</v>
      </c>
      <c r="P66" s="83" t="s">
        <v>195</v>
      </c>
      <c r="Q66" s="83" t="s">
        <v>196</v>
      </c>
      <c r="R66" s="83" t="s">
        <v>198</v>
      </c>
      <c r="S66" s="83" t="s">
        <v>199</v>
      </c>
      <c r="T66" s="83" t="s">
        <v>198</v>
      </c>
      <c r="U66" s="83" t="s">
        <v>199</v>
      </c>
      <c r="V66" s="83" t="s">
        <v>202</v>
      </c>
      <c r="W66" s="83" t="s">
        <v>203</v>
      </c>
      <c r="X66" s="83" t="s">
        <v>204</v>
      </c>
      <c r="Y66" s="83" t="s">
        <v>198</v>
      </c>
      <c r="Z66" s="83" t="s">
        <v>199</v>
      </c>
    </row>
    <row r="67" spans="1:26" x14ac:dyDescent="0.25">
      <c r="A67" s="61" t="s">
        <v>107</v>
      </c>
      <c r="B67" s="85">
        <v>73.801494687854699</v>
      </c>
      <c r="C67" s="85">
        <v>46.750100000000003</v>
      </c>
      <c r="D67" s="85">
        <v>24.247299999999999</v>
      </c>
      <c r="E67" s="85">
        <v>2.6057113132310041</v>
      </c>
      <c r="F67" s="85">
        <v>0.19838337462369771</v>
      </c>
      <c r="H67" s="59" t="s">
        <v>106</v>
      </c>
      <c r="I67" s="508">
        <f>B84/B75</f>
        <v>1.4280619639894432</v>
      </c>
      <c r="J67" s="508">
        <f t="shared" ref="J67:M68" si="51">C84/C75</f>
        <v>1.2395687237026647</v>
      </c>
      <c r="K67" s="508">
        <f t="shared" si="51"/>
        <v>1.5152272095347599</v>
      </c>
      <c r="L67" s="508">
        <f t="shared" si="51"/>
        <v>1.3426175859545002</v>
      </c>
      <c r="M67" s="508">
        <f t="shared" si="51"/>
        <v>1.332200337128167</v>
      </c>
      <c r="O67" s="509" t="s">
        <v>189</v>
      </c>
      <c r="P67" s="510">
        <f>AVERAGE(I67:I72)</f>
        <v>1.0955265412092687</v>
      </c>
      <c r="Q67" s="510">
        <f>_xlfn.STDEV.P(I67:I72)</f>
        <v>0.25997477532066099</v>
      </c>
      <c r="R67" s="510">
        <f>P67-2*Q67</f>
        <v>0.57557699056794676</v>
      </c>
      <c r="S67" s="511">
        <f>P67+2*Q67</f>
        <v>1.6154760918505908</v>
      </c>
      <c r="T67" s="510">
        <f>P67-3*Q67</f>
        <v>0.31560221524728571</v>
      </c>
      <c r="U67" s="511">
        <f>P67+Q67*3</f>
        <v>1.8754508671712518</v>
      </c>
      <c r="V67" s="85">
        <f>_xlfn.QUARTILE.INC(I67:I72,1)</f>
        <v>0.93229845420770208</v>
      </c>
      <c r="W67" s="85">
        <f>_xlfn.QUARTILE.INC(I67:I72,3)</f>
        <v>1.3480165025605377</v>
      </c>
      <c r="X67" s="85">
        <f>W67-V67</f>
        <v>0.41571804835283566</v>
      </c>
      <c r="Y67" s="85">
        <f>V67-X67*1.5</f>
        <v>0.30872138167844854</v>
      </c>
      <c r="Z67" s="85">
        <f>W67+X67*1.5</f>
        <v>1.9715935750897913</v>
      </c>
    </row>
    <row r="68" spans="1:26" x14ac:dyDescent="0.25">
      <c r="A68" s="63" t="s">
        <v>108</v>
      </c>
      <c r="B68" s="85">
        <v>49.675701073636795</v>
      </c>
      <c r="C68" s="85">
        <v>25.8965</v>
      </c>
      <c r="D68" s="85">
        <v>20.538399999999999</v>
      </c>
      <c r="E68" s="85">
        <v>3.0081030306286425</v>
      </c>
      <c r="F68" s="85">
        <v>0.23269804300815269</v>
      </c>
      <c r="H68" s="61" t="s">
        <v>107</v>
      </c>
      <c r="I68" s="508">
        <f t="shared" ref="I68" si="52">B85/B76</f>
        <v>1.4333454862841766</v>
      </c>
      <c r="J68" s="513">
        <f>C85/C76</f>
        <v>4.0456556588650203</v>
      </c>
      <c r="K68" s="508">
        <f t="shared" si="51"/>
        <v>0.94441349957867382</v>
      </c>
      <c r="L68" s="508">
        <f t="shared" si="51"/>
        <v>1.2406337151637576</v>
      </c>
      <c r="M68" s="508">
        <f t="shared" si="51"/>
        <v>1.2552832849285276</v>
      </c>
      <c r="O68" s="509" t="s">
        <v>59</v>
      </c>
      <c r="P68" s="510">
        <f>AVERAGE(J67:J72)</f>
        <v>1.2693357450229656</v>
      </c>
      <c r="Q68" s="510">
        <f>_xlfn.STDEV.P(J67:J72)</f>
        <v>1.2920826963302208</v>
      </c>
      <c r="R68" s="510">
        <f t="shared" ref="R68:R71" si="53">P68-2*Q68</f>
        <v>-1.3148296476374759</v>
      </c>
      <c r="S68" s="511">
        <f t="shared" ref="S68:S71" si="54">P68+2*Q68</f>
        <v>3.8535011376834074</v>
      </c>
      <c r="T68" s="510">
        <f t="shared" ref="T68:T71" si="55">P68-3*Q68</f>
        <v>-2.6069123439676964</v>
      </c>
      <c r="U68" s="511">
        <f t="shared" ref="U68:U71" si="56">P68+Q68*3</f>
        <v>5.1455838340136282</v>
      </c>
      <c r="V68" s="85">
        <f>_xlfn.QUARTILE.INC(J67:J72,1)</f>
        <v>0.39420132634293964</v>
      </c>
      <c r="W68" s="85">
        <f>_xlfn.QUARTILE.INC(J67:J72,3)</f>
        <v>1.2137612368937265</v>
      </c>
      <c r="X68" s="85">
        <f t="shared" ref="X68:X71" si="57">W68-V68</f>
        <v>0.81955991055078692</v>
      </c>
      <c r="Y68" s="85">
        <f t="shared" ref="Y68:Y71" si="58">V68-X68*1.5</f>
        <v>-0.8351385394832409</v>
      </c>
      <c r="Z68" s="85">
        <f t="shared" ref="Z68:Z71" si="59">W68+X68*1.5</f>
        <v>2.4431011027199068</v>
      </c>
    </row>
    <row r="69" spans="1:26" x14ac:dyDescent="0.25">
      <c r="A69" s="65" t="s">
        <v>109</v>
      </c>
      <c r="B69" s="85">
        <v>29.087310069800431</v>
      </c>
      <c r="C69" s="85">
        <v>17.369700000000002</v>
      </c>
      <c r="D69" s="85">
        <v>9.8506</v>
      </c>
      <c r="E69" s="85">
        <v>1.7395806914049476</v>
      </c>
      <c r="F69" s="85">
        <v>0.12742937839548446</v>
      </c>
      <c r="H69" s="65" t="s">
        <v>109</v>
      </c>
      <c r="I69" s="508">
        <f>B86/B77</f>
        <v>0.73808286573918469</v>
      </c>
      <c r="J69" s="508">
        <f>C86/C77</f>
        <v>0.49207336272040303</v>
      </c>
      <c r="K69" s="508">
        <f t="shared" ref="K69:M72" si="60">D86/D77</f>
        <v>0.77308818743898478</v>
      </c>
      <c r="L69" s="508">
        <f t="shared" si="60"/>
        <v>0.93430129577025178</v>
      </c>
      <c r="M69" s="508">
        <f t="shared" si="60"/>
        <v>0.83595174113755799</v>
      </c>
      <c r="O69" s="509" t="s">
        <v>60</v>
      </c>
      <c r="P69" s="510">
        <f>AVERAGE(K67:K72)</f>
        <v>1.0764071872204213</v>
      </c>
      <c r="Q69" s="510">
        <f>_xlfn.STDEV.P(K67:K72)</f>
        <v>0.23689213813089854</v>
      </c>
      <c r="R69" s="510">
        <f t="shared" si="53"/>
        <v>0.60262291095862419</v>
      </c>
      <c r="S69" s="511">
        <f t="shared" si="54"/>
        <v>1.5501914634822183</v>
      </c>
      <c r="T69" s="510">
        <f t="shared" si="55"/>
        <v>0.3657307728277257</v>
      </c>
      <c r="U69" s="511">
        <f t="shared" si="56"/>
        <v>1.7870836016131169</v>
      </c>
      <c r="V69" s="85">
        <f>_xlfn.QUARTILE.INC(K67:K72,1)</f>
        <v>0.94956744594373799</v>
      </c>
      <c r="W69" s="85">
        <f>_xlfn.QUARTILE.INC(K67:K72,3)</f>
        <v>1.1757523854240026</v>
      </c>
      <c r="X69" s="85">
        <f>W69-V69</f>
        <v>0.22618493948026464</v>
      </c>
      <c r="Y69" s="85">
        <f t="shared" si="58"/>
        <v>0.61029003672334103</v>
      </c>
      <c r="Z69" s="85">
        <f>W69+X69*1.5</f>
        <v>1.5150297946443996</v>
      </c>
    </row>
    <row r="70" spans="1:26" x14ac:dyDescent="0.25">
      <c r="A70" s="67" t="s">
        <v>110</v>
      </c>
      <c r="B70" s="85">
        <v>48.105826075559612</v>
      </c>
      <c r="C70" s="85">
        <v>30.016399999999997</v>
      </c>
      <c r="D70" s="85">
        <v>15.323800000000002</v>
      </c>
      <c r="E70" s="85">
        <v>2.5537808772018149</v>
      </c>
      <c r="F70" s="85">
        <v>0.21184519835779508</v>
      </c>
      <c r="H70" s="67" t="s">
        <v>110</v>
      </c>
      <c r="I70" s="508">
        <f>B87/B78</f>
        <v>0.93408631103807582</v>
      </c>
      <c r="J70" s="508">
        <f>C87/C78</f>
        <v>0.3408006341656758</v>
      </c>
      <c r="K70" s="508">
        <f t="shared" si="60"/>
        <v>1.2211622999824159</v>
      </c>
      <c r="L70" s="508">
        <f t="shared" si="60"/>
        <v>1.4106652751727218</v>
      </c>
      <c r="M70" s="508">
        <f t="shared" si="60"/>
        <v>1.4298455876434863</v>
      </c>
      <c r="O70" s="509" t="s">
        <v>61</v>
      </c>
      <c r="P70" s="510">
        <f>AVERAGE(L67:L72)</f>
        <v>1.215290899002486</v>
      </c>
      <c r="Q70" s="510">
        <f>_xlfn.STDEV.P(L67:L72)</f>
        <v>0.1552638539565554</v>
      </c>
      <c r="R70" s="510">
        <f t="shared" si="53"/>
        <v>0.9047631910893752</v>
      </c>
      <c r="S70" s="511">
        <f t="shared" si="54"/>
        <v>1.5258186069155968</v>
      </c>
      <c r="T70" s="510">
        <f t="shared" si="55"/>
        <v>0.7494993371328198</v>
      </c>
      <c r="U70" s="511">
        <f t="shared" si="56"/>
        <v>1.6810824608721522</v>
      </c>
      <c r="V70" s="85">
        <f>_xlfn.QUARTILE.INC(L67:L72,1)</f>
        <v>1.1478398303254593</v>
      </c>
      <c r="W70" s="85">
        <f>_xlfn.QUARTILE.INC(L67:L72,3)</f>
        <v>1.3186179361094559</v>
      </c>
      <c r="X70" s="85">
        <f t="shared" si="57"/>
        <v>0.17077810578399655</v>
      </c>
      <c r="Y70" s="85">
        <f t="shared" si="58"/>
        <v>0.89167267164946451</v>
      </c>
      <c r="Z70" s="85">
        <f t="shared" si="59"/>
        <v>1.5747850947854507</v>
      </c>
    </row>
    <row r="71" spans="1:26" x14ac:dyDescent="0.25">
      <c r="A71" s="69" t="s">
        <v>111</v>
      </c>
      <c r="B71" s="85">
        <v>20.839781608262253</v>
      </c>
      <c r="C71" s="85">
        <v>12.3604</v>
      </c>
      <c r="D71" s="85">
        <v>7.1355499999999994</v>
      </c>
      <c r="E71" s="85">
        <v>1.2616566243532383</v>
      </c>
      <c r="F71" s="85">
        <v>8.2174983909014038E-2</v>
      </c>
      <c r="H71" s="69" t="s">
        <v>111</v>
      </c>
      <c r="I71" s="508">
        <f>B88/B79</f>
        <v>0.93170250193091086</v>
      </c>
      <c r="J71" s="508">
        <f>C88/C79</f>
        <v>0.36157731421711853</v>
      </c>
      <c r="K71" s="508">
        <f t="shared" si="60"/>
        <v>0.96502928503893037</v>
      </c>
      <c r="L71" s="508">
        <f t="shared" si="60"/>
        <v>1.11690853537936</v>
      </c>
      <c r="M71" s="508">
        <f t="shared" si="60"/>
        <v>1.2023179132740618</v>
      </c>
      <c r="O71" s="509" t="s">
        <v>62</v>
      </c>
      <c r="P71" s="510">
        <f>AVERAGE(M67:M72)</f>
        <v>1.1499797400008189</v>
      </c>
      <c r="Q71" s="510">
        <f>_xlfn.STDEV.P(M67:M72)</f>
        <v>0.2300085266737083</v>
      </c>
      <c r="R71" s="510">
        <f t="shared" si="53"/>
        <v>0.68996268665340232</v>
      </c>
      <c r="S71" s="511">
        <f t="shared" si="54"/>
        <v>1.6099967933482355</v>
      </c>
      <c r="T71" s="510">
        <f t="shared" si="55"/>
        <v>0.45995415997969402</v>
      </c>
      <c r="U71" s="511">
        <f t="shared" si="56"/>
        <v>1.8400053200219437</v>
      </c>
      <c r="V71" s="85">
        <f>_xlfn.QUARTILE.INC(M67:M72,1)</f>
        <v>0.93378916023835012</v>
      </c>
      <c r="W71" s="85">
        <f>_xlfn.QUARTILE.INC(M67:M72,3)</f>
        <v>1.3129710740782572</v>
      </c>
      <c r="X71" s="85">
        <f t="shared" si="57"/>
        <v>0.37918191383990707</v>
      </c>
      <c r="Y71" s="85">
        <f t="shared" si="58"/>
        <v>0.36501628947848952</v>
      </c>
      <c r="Z71" s="85">
        <f t="shared" si="59"/>
        <v>1.8817439448381177</v>
      </c>
    </row>
    <row r="72" spans="1:26" x14ac:dyDescent="0.25">
      <c r="A72" s="70" t="s">
        <v>112</v>
      </c>
      <c r="B72" s="85">
        <v>32.100596932897439</v>
      </c>
      <c r="C72" s="85">
        <v>17.811199999999999</v>
      </c>
      <c r="D72" s="85">
        <v>12.9597</v>
      </c>
      <c r="E72" s="85">
        <v>1.249394894119128</v>
      </c>
      <c r="F72" s="85">
        <v>8.0302038778309603E-2</v>
      </c>
      <c r="H72" s="70" t="s">
        <v>112</v>
      </c>
      <c r="I72" s="508">
        <f>B89/B80</f>
        <v>1.1078801182738214</v>
      </c>
      <c r="J72" s="508">
        <f>C89/C80</f>
        <v>1.1363387764669117</v>
      </c>
      <c r="K72" s="508">
        <f t="shared" si="60"/>
        <v>1.0395226417487633</v>
      </c>
      <c r="L72" s="508">
        <f t="shared" si="60"/>
        <v>1.2466189865743229</v>
      </c>
      <c r="M72" s="508">
        <f t="shared" si="60"/>
        <v>0.84427957589311298</v>
      </c>
    </row>
    <row r="74" spans="1:26" x14ac:dyDescent="0.25">
      <c r="A74" t="s">
        <v>193</v>
      </c>
      <c r="B74" s="215" t="s">
        <v>206</v>
      </c>
      <c r="C74" s="57" t="s">
        <v>59</v>
      </c>
      <c r="D74" s="57" t="s">
        <v>60</v>
      </c>
      <c r="E74" s="57" t="s">
        <v>61</v>
      </c>
      <c r="F74" s="385" t="s">
        <v>138</v>
      </c>
      <c r="H74" t="s">
        <v>207</v>
      </c>
    </row>
    <row r="75" spans="1:26" x14ac:dyDescent="0.25">
      <c r="A75" s="59" t="s">
        <v>106</v>
      </c>
      <c r="B75" s="85">
        <v>12.037779962234591</v>
      </c>
      <c r="C75" s="85">
        <v>1.1408</v>
      </c>
      <c r="D75" s="85">
        <v>6.6535499999999992</v>
      </c>
      <c r="E75" s="85">
        <v>4.0180348353587583</v>
      </c>
      <c r="F75" s="85">
        <v>0.22539512687583316</v>
      </c>
      <c r="I75" t="s">
        <v>189</v>
      </c>
      <c r="J75" s="83" t="s">
        <v>59</v>
      </c>
      <c r="K75" s="83" t="s">
        <v>60</v>
      </c>
      <c r="L75" s="83" t="s">
        <v>61</v>
      </c>
      <c r="M75" s="83" t="s">
        <v>62</v>
      </c>
      <c r="O75" s="83"/>
      <c r="R75" s="570" t="s">
        <v>200</v>
      </c>
      <c r="S75" s="570"/>
      <c r="T75" s="572" t="s">
        <v>210</v>
      </c>
      <c r="U75" s="572"/>
      <c r="Y75" s="571" t="s">
        <v>205</v>
      </c>
      <c r="Z75" s="571"/>
    </row>
    <row r="76" spans="1:26" x14ac:dyDescent="0.25">
      <c r="A76" s="61" t="s">
        <v>107</v>
      </c>
      <c r="B76" s="85">
        <v>11.951146715571859</v>
      </c>
      <c r="C76" s="85">
        <v>1.5595000000000001</v>
      </c>
      <c r="D76" s="85">
        <v>7.0016999999999996</v>
      </c>
      <c r="E76" s="85">
        <v>3.2029096365455167</v>
      </c>
      <c r="F76" s="85">
        <v>0.18703707902634226</v>
      </c>
      <c r="H76" s="59" t="s">
        <v>106</v>
      </c>
      <c r="I76" s="508">
        <v>0.56765958419138862</v>
      </c>
      <c r="J76" s="508">
        <v>0.51274356317694469</v>
      </c>
      <c r="K76" s="508">
        <v>0.64462137101225314</v>
      </c>
      <c r="L76" s="508">
        <v>0.60993083183846997</v>
      </c>
      <c r="M76" s="508">
        <v>0.59318588821583407</v>
      </c>
      <c r="O76" s="83" t="s">
        <v>208</v>
      </c>
      <c r="P76" s="83" t="s">
        <v>195</v>
      </c>
      <c r="Q76" s="83" t="s">
        <v>196</v>
      </c>
      <c r="R76" s="83" t="s">
        <v>198</v>
      </c>
      <c r="S76" s="83" t="s">
        <v>199</v>
      </c>
      <c r="T76" s="83" t="s">
        <v>198</v>
      </c>
      <c r="U76" s="83" t="s">
        <v>199</v>
      </c>
      <c r="V76" s="83" t="s">
        <v>202</v>
      </c>
      <c r="W76" s="83" t="s">
        <v>203</v>
      </c>
      <c r="X76" s="83" t="s">
        <v>204</v>
      </c>
      <c r="Y76" s="83" t="s">
        <v>198</v>
      </c>
      <c r="Z76" s="83" t="s">
        <v>199</v>
      </c>
    </row>
    <row r="77" spans="1:26" x14ac:dyDescent="0.25">
      <c r="A77" s="65" t="s">
        <v>109</v>
      </c>
      <c r="B77" s="85">
        <v>22.138904625486557</v>
      </c>
      <c r="C77" s="85">
        <v>6.3520000000000003</v>
      </c>
      <c r="D77" s="85">
        <v>9.2189999999999994</v>
      </c>
      <c r="E77" s="85">
        <v>6.0716580287003303</v>
      </c>
      <c r="F77" s="85">
        <v>0.49624659678622718</v>
      </c>
      <c r="H77" s="61" t="s">
        <v>107</v>
      </c>
      <c r="I77" s="508">
        <v>1.5088486935674055</v>
      </c>
      <c r="J77" s="508">
        <v>1.554202488048458</v>
      </c>
      <c r="K77" s="508">
        <v>1.4343186375709105</v>
      </c>
      <c r="L77" s="508">
        <v>1.4515108631759563</v>
      </c>
      <c r="M77" s="508">
        <v>1.49854710443643</v>
      </c>
      <c r="O77" s="509" t="s">
        <v>189</v>
      </c>
      <c r="P77" s="510">
        <f>AVERAGE(I76:I96)</f>
        <v>1.0474156805155175</v>
      </c>
      <c r="Q77" s="510">
        <f>_xlfn.STDEV.P(I76:I96)</f>
        <v>0.28500011679042903</v>
      </c>
      <c r="R77" s="510">
        <f>P77-2*Q77</f>
        <v>0.47741544693465943</v>
      </c>
      <c r="S77" s="511">
        <f>P77+2*Q77</f>
        <v>1.6174159140963755</v>
      </c>
      <c r="T77" s="510">
        <f>P77-3*Q77</f>
        <v>0.1924153301442304</v>
      </c>
      <c r="U77" s="511">
        <f>P77+Q77*3</f>
        <v>1.9024160308868046</v>
      </c>
      <c r="V77" s="85">
        <f>_xlfn.QUARTILE.INC(I76:I96,1)</f>
        <v>0.93170250193091086</v>
      </c>
      <c r="W77" s="85">
        <f>_xlfn.QUARTILE.INC(I76:I96,3)</f>
        <v>1.2466412591351299</v>
      </c>
      <c r="X77" s="85">
        <f>W77-V77</f>
        <v>0.31493875720421904</v>
      </c>
      <c r="Y77" s="85">
        <f>V77-X77*1.5</f>
        <v>0.4592943661245823</v>
      </c>
      <c r="Z77" s="85">
        <f>W77+X77*1.5</f>
        <v>1.7190493949414585</v>
      </c>
    </row>
    <row r="78" spans="1:26" x14ac:dyDescent="0.25">
      <c r="A78" s="67" t="s">
        <v>110</v>
      </c>
      <c r="B78" s="85">
        <v>16.86373930683996</v>
      </c>
      <c r="C78" s="85">
        <v>6.3075000000000001</v>
      </c>
      <c r="D78" s="85">
        <v>6.8244000000000007</v>
      </c>
      <c r="E78" s="85">
        <v>3.4966024327251528</v>
      </c>
      <c r="F78" s="85">
        <v>0.23523687411480473</v>
      </c>
      <c r="H78" s="63" t="s">
        <v>108</v>
      </c>
      <c r="I78" s="508">
        <v>1.2466412591351299</v>
      </c>
      <c r="J78" s="508">
        <v>0.95871418681534304</v>
      </c>
      <c r="K78" s="513">
        <v>1.8496064552151439</v>
      </c>
      <c r="L78" s="508">
        <v>1.8674308308418519</v>
      </c>
      <c r="M78" s="508">
        <v>1.9246065038279212</v>
      </c>
      <c r="O78" s="509" t="s">
        <v>59</v>
      </c>
      <c r="P78" s="510">
        <f>AVERAGE(J76:J96)</f>
        <v>1.0985953142626508</v>
      </c>
      <c r="Q78" s="510">
        <f>_xlfn.STDEV.P(J76:J96)</f>
        <v>0.91757346465778356</v>
      </c>
      <c r="R78" s="510">
        <f t="shared" ref="R78:R80" si="61">P78-2*Q78</f>
        <v>-0.73655161505291633</v>
      </c>
      <c r="S78" s="511">
        <f>P78+2*Q78</f>
        <v>2.9337422435782177</v>
      </c>
      <c r="T78" s="510">
        <f t="shared" ref="T78:T81" si="62">P78-3*Q78</f>
        <v>-1.6541250797107001</v>
      </c>
      <c r="U78" s="511">
        <f t="shared" ref="U78:U81" si="63">P78+Q78*3</f>
        <v>3.8513157082360019</v>
      </c>
      <c r="V78" s="85">
        <f>_xlfn.QUARTILE.INC(J76:J96,1)</f>
        <v>0.51274356317694469</v>
      </c>
      <c r="W78" s="85">
        <f>_xlfn.QUARTILE.INC(J76:J96,3)</f>
        <v>1.1363387764669117</v>
      </c>
      <c r="X78" s="85">
        <f t="shared" ref="X78:X81" si="64">W78-V78</f>
        <v>0.62359521328996703</v>
      </c>
      <c r="Y78" s="85">
        <f t="shared" ref="Y78:Y81" si="65">V78-X78*1.5</f>
        <v>-0.42264925675800591</v>
      </c>
      <c r="Z78" s="85">
        <f t="shared" ref="Z78:Z81" si="66">W78+X78*1.5</f>
        <v>2.0717315964018623</v>
      </c>
    </row>
    <row r="79" spans="1:26" x14ac:dyDescent="0.25">
      <c r="A79" s="69" t="s">
        <v>111</v>
      </c>
      <c r="B79" s="85">
        <v>15.317596858850241</v>
      </c>
      <c r="C79" s="85">
        <v>2.2075499999999999</v>
      </c>
      <c r="D79" s="85">
        <v>7.8794499999999994</v>
      </c>
      <c r="E79" s="85">
        <v>4.9116033144280369</v>
      </c>
      <c r="F79" s="85">
        <v>0.31899354442220529</v>
      </c>
      <c r="H79" s="65" t="s">
        <v>109</v>
      </c>
      <c r="I79" s="508">
        <v>0.66373891593768375</v>
      </c>
      <c r="J79" s="508">
        <v>0.75138697530156584</v>
      </c>
      <c r="K79" s="508">
        <v>0.57539223589060629</v>
      </c>
      <c r="L79" s="508">
        <v>0.52466992233686949</v>
      </c>
      <c r="M79" s="508">
        <v>0.4698730506319978</v>
      </c>
      <c r="O79" s="509" t="s">
        <v>60</v>
      </c>
      <c r="P79" s="510">
        <f>AVERAGE(K76:K96)</f>
        <v>1.1063100688684153</v>
      </c>
      <c r="Q79" s="510">
        <f>_xlfn.STDEV.P(K76:K96)</f>
        <v>0.34164595958272126</v>
      </c>
      <c r="R79" s="510">
        <f t="shared" si="61"/>
        <v>0.4230181497029728</v>
      </c>
      <c r="S79" s="511">
        <f t="shared" ref="S79:S81" si="67">P79+2*Q79</f>
        <v>1.7896019880338578</v>
      </c>
      <c r="T79" s="510">
        <f t="shared" si="62"/>
        <v>8.1372190120251542E-2</v>
      </c>
      <c r="U79" s="511">
        <f t="shared" si="63"/>
        <v>2.1312479476165791</v>
      </c>
      <c r="V79" s="85">
        <f>_xlfn.QUARTILE.INC(K76:K88,1)</f>
        <v>0.94441349957867382</v>
      </c>
      <c r="W79" s="85">
        <f>_xlfn.QUARTILE.INC(K76:K88,3)</f>
        <v>1.2400055609137275</v>
      </c>
      <c r="X79" s="85">
        <f>W79-V79</f>
        <v>0.29559206133505367</v>
      </c>
      <c r="Y79" s="85">
        <f t="shared" si="65"/>
        <v>0.50102540757609337</v>
      </c>
      <c r="Z79" s="85">
        <f>W79+X79*1.5</f>
        <v>1.683393652916308</v>
      </c>
    </row>
    <row r="80" spans="1:26" x14ac:dyDescent="0.25">
      <c r="A80" s="70" t="s">
        <v>112</v>
      </c>
      <c r="B80" s="85">
        <v>16.821038195510571</v>
      </c>
      <c r="C80" s="85">
        <v>1.2798999999999998</v>
      </c>
      <c r="D80" s="85">
        <v>9.4603999999999999</v>
      </c>
      <c r="E80" s="85">
        <v>5.5007057771468748</v>
      </c>
      <c r="F80" s="85">
        <v>0.58003241836369823</v>
      </c>
      <c r="H80" s="67" t="s">
        <v>110</v>
      </c>
      <c r="I80" s="508">
        <v>0.96668019167830788</v>
      </c>
      <c r="J80" s="508">
        <v>0.9245459109655918</v>
      </c>
      <c r="K80" s="508">
        <v>1.0599424508203525</v>
      </c>
      <c r="L80" s="508">
        <v>0.97594890152812663</v>
      </c>
      <c r="M80" s="508">
        <v>0.94600933649348484</v>
      </c>
      <c r="O80" s="509" t="s">
        <v>61</v>
      </c>
      <c r="P80" s="510">
        <f>AVERAGE(L76:L96)</f>
        <v>1.1438967790712449</v>
      </c>
      <c r="Q80" s="510">
        <f>_xlfn.STDEV.P(L76:L96)</f>
        <v>0.36912483752891567</v>
      </c>
      <c r="R80" s="510">
        <f t="shared" si="61"/>
        <v>0.40564710401341353</v>
      </c>
      <c r="S80" s="511">
        <f t="shared" si="67"/>
        <v>1.8821464541290762</v>
      </c>
      <c r="T80" s="510">
        <f t="shared" si="62"/>
        <v>3.6522266484497967E-2</v>
      </c>
      <c r="U80" s="511">
        <f t="shared" si="63"/>
        <v>2.251271291657992</v>
      </c>
      <c r="V80" s="85">
        <f>_xlfn.QUARTILE.INC(L76:L96,1)</f>
        <v>0.93430129577025178</v>
      </c>
      <c r="W80" s="85">
        <f>_xlfn.QUARTILE.INC(L76:L96,3)</f>
        <v>1.4106652751727218</v>
      </c>
      <c r="X80" s="85">
        <f t="shared" si="64"/>
        <v>0.47636397940246999</v>
      </c>
      <c r="Y80" s="85">
        <f t="shared" si="65"/>
        <v>0.21975532666654674</v>
      </c>
      <c r="Z80" s="85">
        <f t="shared" si="66"/>
        <v>2.1252112442764268</v>
      </c>
    </row>
    <row r="81" spans="1:26" x14ac:dyDescent="0.25">
      <c r="H81" s="69" t="s">
        <v>111</v>
      </c>
      <c r="I81" s="508">
        <v>1.0446183327667222</v>
      </c>
      <c r="J81" s="508">
        <v>0.93165801117048952</v>
      </c>
      <c r="K81" s="508">
        <v>1.2400055609137275</v>
      </c>
      <c r="L81" s="508">
        <v>1.4432195692354455</v>
      </c>
      <c r="M81" s="508">
        <v>1.5241552874576159</v>
      </c>
      <c r="O81" s="509" t="s">
        <v>62</v>
      </c>
      <c r="P81" s="510">
        <f>AVERAGE(M76:M96)</f>
        <v>1.1164332004865738</v>
      </c>
      <c r="Q81" s="510">
        <f>_xlfn.STDEV.P(M76:M96)</f>
        <v>0.41335157025645874</v>
      </c>
      <c r="R81" s="510">
        <f>P81-2*Q81</f>
        <v>0.28973005997365631</v>
      </c>
      <c r="S81" s="511">
        <f t="shared" si="67"/>
        <v>1.9431363409994913</v>
      </c>
      <c r="T81" s="510">
        <f t="shared" si="62"/>
        <v>-0.12362151028280244</v>
      </c>
      <c r="U81" s="511">
        <f t="shared" si="63"/>
        <v>2.3564879112559503</v>
      </c>
      <c r="V81" s="85">
        <f>_xlfn.QUARTILE.INC(M76:M96,1)</f>
        <v>0.83595174113755799</v>
      </c>
      <c r="W81" s="85">
        <f>_xlfn.QUARTILE.INC(M76:M96,3)</f>
        <v>1.4298455876434863</v>
      </c>
      <c r="X81" s="85">
        <f t="shared" si="64"/>
        <v>0.59389384650592836</v>
      </c>
      <c r="Y81" s="85">
        <f t="shared" si="65"/>
        <v>-5.488902862133449E-2</v>
      </c>
      <c r="Z81" s="85">
        <f t="shared" si="66"/>
        <v>2.3206863574023791</v>
      </c>
    </row>
    <row r="82" spans="1:26" x14ac:dyDescent="0.25">
      <c r="H82" s="70" t="s">
        <v>112</v>
      </c>
      <c r="I82" s="508">
        <v>1.0450576221694798</v>
      </c>
      <c r="J82" s="516">
        <v>1.0324734797982724</v>
      </c>
      <c r="K82" s="508">
        <v>1.1197010605438795</v>
      </c>
      <c r="L82" s="508">
        <v>0.70620181495454803</v>
      </c>
      <c r="M82" s="508">
        <v>0.65737599525726198</v>
      </c>
    </row>
    <row r="83" spans="1:26" x14ac:dyDescent="0.25">
      <c r="A83" t="s">
        <v>194</v>
      </c>
      <c r="B83" s="215" t="s">
        <v>206</v>
      </c>
      <c r="C83" s="57" t="s">
        <v>59</v>
      </c>
      <c r="D83" s="57" t="s">
        <v>60</v>
      </c>
      <c r="E83" s="57" t="s">
        <v>61</v>
      </c>
      <c r="F83" s="385" t="s">
        <v>138</v>
      </c>
      <c r="H83" s="59" t="s">
        <v>106</v>
      </c>
      <c r="I83" s="508">
        <v>1.4280619639894432</v>
      </c>
      <c r="J83" s="516">
        <v>1.2395687237026647</v>
      </c>
      <c r="K83" s="508">
        <v>1.5152272095347599</v>
      </c>
      <c r="L83" s="508">
        <v>1.3426175859545002</v>
      </c>
      <c r="M83" s="508">
        <v>1.332200337128167</v>
      </c>
    </row>
    <row r="84" spans="1:26" x14ac:dyDescent="0.25">
      <c r="A84" s="59" t="s">
        <v>106</v>
      </c>
      <c r="B84" s="85">
        <v>17.190695694941496</v>
      </c>
      <c r="C84" s="85">
        <v>1.4140999999999999</v>
      </c>
      <c r="D84" s="85">
        <v>10.08164</v>
      </c>
      <c r="E84" s="85">
        <v>5.3946842309304639</v>
      </c>
      <c r="F84" s="85">
        <v>0.30027146401103089</v>
      </c>
      <c r="H84" s="61" t="s">
        <v>107</v>
      </c>
      <c r="I84" s="508">
        <v>1.4333454862841766</v>
      </c>
      <c r="J84" s="517">
        <v>4.0456556588650203</v>
      </c>
      <c r="K84" s="508">
        <v>0.94441349957867382</v>
      </c>
      <c r="L84" s="508">
        <v>1.2406337151637576</v>
      </c>
      <c r="M84" s="508">
        <v>1.2552832849285276</v>
      </c>
    </row>
    <row r="85" spans="1:26" x14ac:dyDescent="0.25">
      <c r="A85" s="61" t="s">
        <v>107</v>
      </c>
      <c r="B85" s="85">
        <v>17.130122200684887</v>
      </c>
      <c r="C85" s="85">
        <v>6.3091999999999997</v>
      </c>
      <c r="D85" s="85">
        <v>6.6124999999999998</v>
      </c>
      <c r="E85" s="85">
        <v>3.9736376817212653</v>
      </c>
      <c r="F85" s="85">
        <v>0.23478451896362351</v>
      </c>
      <c r="H85" s="65" t="s">
        <v>109</v>
      </c>
      <c r="I85" s="508">
        <v>0.73808286573918469</v>
      </c>
      <c r="J85" s="516">
        <v>0.49207336272040303</v>
      </c>
      <c r="K85" s="508">
        <v>0.77308818743898478</v>
      </c>
      <c r="L85" s="508">
        <v>0.93430129577025178</v>
      </c>
      <c r="M85" s="508">
        <v>0.83595174113755799</v>
      </c>
    </row>
    <row r="86" spans="1:26" x14ac:dyDescent="0.25">
      <c r="A86" s="65" t="s">
        <v>109</v>
      </c>
      <c r="B86" s="85">
        <v>16.340346170305608</v>
      </c>
      <c r="C86" s="85">
        <v>3.1256500000000003</v>
      </c>
      <c r="D86" s="85">
        <v>7.1271000000000004</v>
      </c>
      <c r="E86" s="85">
        <v>5.6727579636885714</v>
      </c>
      <c r="F86" s="85">
        <v>0.4148382066170343</v>
      </c>
      <c r="H86" s="67" t="s">
        <v>110</v>
      </c>
      <c r="I86" s="508">
        <v>0.93408631103807582</v>
      </c>
      <c r="J86" s="508">
        <v>0.3408006341656758</v>
      </c>
      <c r="K86" s="508">
        <v>1.2211622999824159</v>
      </c>
      <c r="L86" s="508">
        <v>1.4106652751727218</v>
      </c>
      <c r="M86" s="508">
        <v>1.4298455876434863</v>
      </c>
    </row>
    <row r="87" spans="1:26" x14ac:dyDescent="0.25">
      <c r="A87" s="67" t="s">
        <v>110</v>
      </c>
      <c r="B87" s="85">
        <v>15.752188039433936</v>
      </c>
      <c r="C87" s="85">
        <v>2.1496</v>
      </c>
      <c r="D87" s="85">
        <v>8.3337000000000003</v>
      </c>
      <c r="E87" s="85">
        <v>4.9325356329298362</v>
      </c>
      <c r="F87" s="85">
        <v>0.33635240650409981</v>
      </c>
      <c r="H87" s="69" t="s">
        <v>111</v>
      </c>
      <c r="I87" s="508">
        <v>0.93170250193091086</v>
      </c>
      <c r="J87" s="508">
        <v>0.36157731421711853</v>
      </c>
      <c r="K87" s="508">
        <v>0.96502928503893037</v>
      </c>
      <c r="L87" s="508">
        <v>1.11690853537936</v>
      </c>
      <c r="M87" s="508">
        <v>1.2023179132740618</v>
      </c>
    </row>
    <row r="88" spans="1:26" x14ac:dyDescent="0.25">
      <c r="A88" s="69" t="s">
        <v>111</v>
      </c>
      <c r="B88" s="85">
        <v>14.27144331695983</v>
      </c>
      <c r="C88" s="85">
        <v>0.79820000000000002</v>
      </c>
      <c r="D88" s="85">
        <v>7.6038999999999994</v>
      </c>
      <c r="E88" s="85">
        <v>5.4858116642822292</v>
      </c>
      <c r="F88" s="85">
        <v>0.38353165267760259</v>
      </c>
      <c r="H88" s="70" t="s">
        <v>112</v>
      </c>
      <c r="I88" s="508">
        <v>1.1078801182738214</v>
      </c>
      <c r="J88" s="508">
        <v>1.1363387764669117</v>
      </c>
      <c r="K88" s="508">
        <v>1.0395226417487633</v>
      </c>
      <c r="L88" s="508">
        <v>1.2466189865743229</v>
      </c>
      <c r="M88" s="508">
        <v>0.84427957589311298</v>
      </c>
    </row>
    <row r="89" spans="1:26" x14ac:dyDescent="0.25">
      <c r="A89" s="70" t="s">
        <v>112</v>
      </c>
      <c r="B89" s="85">
        <v>18.635693785530719</v>
      </c>
      <c r="C89" s="85">
        <v>1.4544000000000001</v>
      </c>
      <c r="D89" s="85">
        <v>9.8343000000000007</v>
      </c>
      <c r="E89" s="85">
        <v>6.8572842613503608</v>
      </c>
      <c r="F89" s="85">
        <v>0.48970952418035985</v>
      </c>
    </row>
    <row r="93" spans="1:26" x14ac:dyDescent="0.25">
      <c r="O93" t="s">
        <v>209</v>
      </c>
    </row>
  </sheetData>
  <mergeCells count="15">
    <mergeCell ref="R65:S65"/>
    <mergeCell ref="Y65:Z65"/>
    <mergeCell ref="R27:S27"/>
    <mergeCell ref="W27:X27"/>
    <mergeCell ref="R75:S75"/>
    <mergeCell ref="Y75:Z75"/>
    <mergeCell ref="T56:U56"/>
    <mergeCell ref="T65:U65"/>
    <mergeCell ref="T75:U75"/>
    <mergeCell ref="Y56:Z56"/>
    <mergeCell ref="R1:S1"/>
    <mergeCell ref="R14:S14"/>
    <mergeCell ref="W1:X1"/>
    <mergeCell ref="W14:X14"/>
    <mergeCell ref="R56:S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86F-8A55-492C-990C-DBA7553F7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3" workbookViewId="0">
      <selection activeCell="AF77" sqref="AF7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5" t="s">
        <v>122</v>
      </c>
      <c r="AH1" s="525" t="s">
        <v>57</v>
      </c>
      <c r="AI1" s="525" t="s">
        <v>52</v>
      </c>
      <c r="AJ1" s="525" t="s">
        <v>122</v>
      </c>
      <c r="AK1" s="525" t="s">
        <v>57</v>
      </c>
      <c r="AL1" s="52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22" t="s">
        <v>25</v>
      </c>
      <c r="AC2" s="523"/>
      <c r="AD2" s="526" t="s">
        <v>58</v>
      </c>
      <c r="AE2" s="526"/>
      <c r="AF2" s="97" t="s">
        <v>97</v>
      </c>
      <c r="AG2" s="525"/>
      <c r="AH2" s="525"/>
      <c r="AI2" s="525"/>
      <c r="AJ2" s="525"/>
      <c r="AK2" s="525"/>
      <c r="AL2" s="525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5" t="s">
        <v>122</v>
      </c>
      <c r="AH15" s="525" t="s">
        <v>57</v>
      </c>
      <c r="AI15" s="525" t="s">
        <v>52</v>
      </c>
      <c r="AJ15" s="525" t="s">
        <v>122</v>
      </c>
      <c r="AK15" s="525" t="s">
        <v>57</v>
      </c>
      <c r="AL15" s="525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22" t="s">
        <v>40</v>
      </c>
      <c r="AC16" s="524"/>
      <c r="AD16" s="526" t="s">
        <v>58</v>
      </c>
      <c r="AE16" s="526"/>
      <c r="AF16" s="97" t="s">
        <v>97</v>
      </c>
      <c r="AG16" s="525"/>
      <c r="AH16" s="525"/>
      <c r="AI16" s="525"/>
      <c r="AJ16" s="525"/>
      <c r="AK16" s="525"/>
      <c r="AL16" s="525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20" t="s">
        <v>25</v>
      </c>
      <c r="AB31" s="520"/>
      <c r="AC31" s="521" t="s">
        <v>40</v>
      </c>
      <c r="AD31" s="521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26" t="s">
        <v>136</v>
      </c>
      <c r="AC49" s="526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62" t="s">
        <v>1</v>
      </c>
      <c r="C55" s="563"/>
      <c r="D55" s="563"/>
      <c r="E55" s="563"/>
      <c r="F55" s="564"/>
      <c r="G55" s="562" t="s">
        <v>2</v>
      </c>
      <c r="H55" s="563"/>
      <c r="I55" s="563"/>
      <c r="J55" s="563"/>
      <c r="K55" s="564"/>
      <c r="L55" s="562" t="s">
        <v>3</v>
      </c>
      <c r="M55" s="563"/>
      <c r="N55" s="563"/>
      <c r="O55" s="563"/>
      <c r="P55" s="564"/>
      <c r="Q55" s="562" t="s">
        <v>4</v>
      </c>
      <c r="R55" s="563"/>
      <c r="S55" s="563"/>
      <c r="T55" s="563"/>
      <c r="U55" s="564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22" t="s">
        <v>139</v>
      </c>
      <c r="AC58" s="524"/>
      <c r="AI58" s="537" t="s">
        <v>141</v>
      </c>
      <c r="AJ58" s="537"/>
      <c r="AK58" s="537"/>
      <c r="AL58" s="537"/>
      <c r="AM58" s="537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50" t="s">
        <v>5</v>
      </c>
      <c r="C71" s="551"/>
      <c r="D71" s="551"/>
      <c r="E71" s="551"/>
      <c r="F71" s="552"/>
      <c r="G71" s="550" t="s">
        <v>6</v>
      </c>
      <c r="H71" s="551"/>
      <c r="I71" s="551"/>
      <c r="J71" s="551"/>
      <c r="K71" s="552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.75" thickBot="1" x14ac:dyDescent="0.3"/>
    <row r="87" spans="2:29" x14ac:dyDescent="0.25">
      <c r="B87" s="559" t="s">
        <v>7</v>
      </c>
      <c r="C87" s="560"/>
      <c r="D87" s="560"/>
      <c r="E87" s="560"/>
      <c r="F87" s="561"/>
      <c r="G87" s="559" t="s">
        <v>8</v>
      </c>
      <c r="H87" s="560"/>
      <c r="I87" s="560"/>
      <c r="J87" s="560"/>
      <c r="K87" s="561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Weights'!N87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Weights'!N86</f>
        <v>31.922355647191687</v>
      </c>
      <c r="K92" s="466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41" t="s">
        <v>9</v>
      </c>
      <c r="C103" s="542"/>
      <c r="D103" s="542"/>
      <c r="E103" s="542"/>
      <c r="F103" s="543"/>
      <c r="G103" s="541" t="s">
        <v>10</v>
      </c>
      <c r="H103" s="542"/>
      <c r="I103" s="542"/>
      <c r="J103" s="542"/>
      <c r="K103" s="543"/>
      <c r="L103" s="541" t="s">
        <v>11</v>
      </c>
      <c r="M103" s="542"/>
      <c r="N103" s="542"/>
      <c r="O103" s="542"/>
      <c r="P103" s="543"/>
      <c r="Q103" s="541" t="s">
        <v>12</v>
      </c>
      <c r="R103" s="542"/>
      <c r="S103" s="542"/>
      <c r="T103" s="542"/>
      <c r="U103" s="543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44" t="s">
        <v>13</v>
      </c>
      <c r="C119" s="545"/>
      <c r="D119" s="545"/>
      <c r="E119" s="545"/>
      <c r="F119" s="546"/>
      <c r="G119" s="547" t="s">
        <v>14</v>
      </c>
      <c r="H119" s="548"/>
      <c r="I119" s="548"/>
      <c r="J119" s="548"/>
      <c r="K119" s="549"/>
      <c r="L119" s="547" t="s">
        <v>15</v>
      </c>
      <c r="M119" s="548"/>
      <c r="N119" s="548"/>
      <c r="O119" s="548"/>
      <c r="P119" s="549"/>
      <c r="Q119" s="547" t="s">
        <v>16</v>
      </c>
      <c r="R119" s="548"/>
      <c r="S119" s="548"/>
      <c r="T119" s="548"/>
      <c r="U119" s="549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50" t="s">
        <v>17</v>
      </c>
      <c r="C135" s="551"/>
      <c r="D135" s="551"/>
      <c r="E135" s="551"/>
      <c r="F135" s="552"/>
      <c r="G135" s="550" t="s">
        <v>18</v>
      </c>
      <c r="H135" s="551"/>
      <c r="I135" s="551"/>
      <c r="J135" s="551"/>
      <c r="K135" s="552"/>
      <c r="L135" s="550" t="s">
        <v>19</v>
      </c>
      <c r="M135" s="551"/>
      <c r="N135" s="551"/>
      <c r="O135" s="551"/>
      <c r="P135" s="552"/>
      <c r="Q135" s="550" t="s">
        <v>20</v>
      </c>
      <c r="R135" s="551"/>
      <c r="S135" s="551"/>
      <c r="T135" s="551"/>
      <c r="U135" s="552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56" t="s">
        <v>21</v>
      </c>
      <c r="C151" s="557"/>
      <c r="D151" s="557"/>
      <c r="E151" s="557"/>
      <c r="F151" s="558"/>
      <c r="G151" s="556" t="s">
        <v>22</v>
      </c>
      <c r="H151" s="557"/>
      <c r="I151" s="557"/>
      <c r="J151" s="557"/>
      <c r="K151" s="558"/>
      <c r="L151" s="556" t="s">
        <v>23</v>
      </c>
      <c r="M151" s="557"/>
      <c r="N151" s="557"/>
      <c r="O151" s="557"/>
      <c r="P151" s="55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  <mergeCell ref="AB16:AC16"/>
    <mergeCell ref="AD16:AE16"/>
    <mergeCell ref="AA31:AB31"/>
    <mergeCell ref="AC31:AD31"/>
    <mergeCell ref="AJ15:AJ16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Q119:U119"/>
    <mergeCell ref="B135:F135"/>
    <mergeCell ref="G135:K135"/>
    <mergeCell ref="L135:P135"/>
    <mergeCell ref="Q135:U135"/>
    <mergeCell ref="B151:F151"/>
    <mergeCell ref="G151:K151"/>
    <mergeCell ref="L151:P151"/>
    <mergeCell ref="B119:F119"/>
    <mergeCell ref="G119:K119"/>
    <mergeCell ref="L119:P1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5" t="s">
        <v>140</v>
      </c>
      <c r="AH1" s="525" t="s">
        <v>57</v>
      </c>
      <c r="AI1" s="525" t="s">
        <v>52</v>
      </c>
      <c r="AJ1" s="525" t="s">
        <v>140</v>
      </c>
      <c r="AK1" s="519" t="s">
        <v>57</v>
      </c>
      <c r="AL1" s="519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22" t="s">
        <v>25</v>
      </c>
      <c r="AC2" s="523"/>
      <c r="AD2" s="526" t="s">
        <v>58</v>
      </c>
      <c r="AE2" s="526"/>
      <c r="AF2" s="97" t="s">
        <v>97</v>
      </c>
      <c r="AG2" s="527"/>
      <c r="AH2" s="525"/>
      <c r="AI2" s="525"/>
      <c r="AJ2" s="527"/>
      <c r="AK2" s="519"/>
      <c r="AL2" s="519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5" t="s">
        <v>140</v>
      </c>
      <c r="AH16" s="525" t="s">
        <v>57</v>
      </c>
      <c r="AI16" s="525" t="s">
        <v>52</v>
      </c>
      <c r="AJ16" s="519" t="s">
        <v>140</v>
      </c>
      <c r="AK16" s="519" t="s">
        <v>57</v>
      </c>
      <c r="AL16" s="519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22" t="s">
        <v>40</v>
      </c>
      <c r="AC17" s="524"/>
      <c r="AD17" s="526" t="s">
        <v>58</v>
      </c>
      <c r="AE17" s="526"/>
      <c r="AF17" s="246" t="s">
        <v>97</v>
      </c>
      <c r="AG17" s="527"/>
      <c r="AH17" s="525"/>
      <c r="AI17" s="525"/>
      <c r="AJ17" s="573"/>
      <c r="AK17" s="519"/>
      <c r="AL17" s="519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20" t="s">
        <v>25</v>
      </c>
      <c r="AB32" s="520"/>
      <c r="AC32" s="521" t="s">
        <v>40</v>
      </c>
      <c r="AD32" s="521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26" t="s">
        <v>136</v>
      </c>
      <c r="AC49" s="526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34" t="s">
        <v>1</v>
      </c>
      <c r="C55" s="535"/>
      <c r="D55" s="535"/>
      <c r="E55" s="535"/>
      <c r="F55" s="536"/>
      <c r="G55" s="534" t="s">
        <v>2</v>
      </c>
      <c r="H55" s="535"/>
      <c r="I55" s="535"/>
      <c r="J55" s="535"/>
      <c r="K55" s="536"/>
      <c r="L55" s="534" t="s">
        <v>3</v>
      </c>
      <c r="M55" s="535"/>
      <c r="N55" s="535"/>
      <c r="O55" s="535"/>
      <c r="P55" s="536"/>
      <c r="Q55" s="534" t="s">
        <v>4</v>
      </c>
      <c r="R55" s="535"/>
      <c r="S55" s="535"/>
      <c r="T55" s="535"/>
      <c r="U55" s="536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22" t="s">
        <v>139</v>
      </c>
      <c r="AC58" s="524"/>
      <c r="AI58" s="537" t="s">
        <v>141</v>
      </c>
      <c r="AJ58" s="537"/>
      <c r="AK58" s="537"/>
      <c r="AL58" s="537"/>
      <c r="AM58" s="537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528" t="s">
        <v>5</v>
      </c>
      <c r="C71" s="529"/>
      <c r="D71" s="529"/>
      <c r="E71" s="529"/>
      <c r="F71" s="530"/>
      <c r="G71" s="528" t="s">
        <v>6</v>
      </c>
      <c r="H71" s="529"/>
      <c r="I71" s="529"/>
      <c r="J71" s="529"/>
      <c r="K71" s="530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31" t="s">
        <v>7</v>
      </c>
      <c r="C87" s="532"/>
      <c r="D87" s="532"/>
      <c r="E87" s="532"/>
      <c r="F87" s="533"/>
      <c r="G87" s="531" t="s">
        <v>8</v>
      </c>
      <c r="H87" s="532"/>
      <c r="I87" s="532"/>
      <c r="J87" s="532"/>
      <c r="K87" s="533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38" t="s">
        <v>9</v>
      </c>
      <c r="C103" s="539"/>
      <c r="D103" s="539"/>
      <c r="E103" s="539"/>
      <c r="F103" s="540"/>
      <c r="G103" s="538" t="s">
        <v>10</v>
      </c>
      <c r="H103" s="539"/>
      <c r="I103" s="539"/>
      <c r="J103" s="539"/>
      <c r="K103" s="540"/>
      <c r="L103" s="541" t="s">
        <v>11</v>
      </c>
      <c r="M103" s="542"/>
      <c r="N103" s="542"/>
      <c r="O103" s="542"/>
      <c r="P103" s="543"/>
      <c r="Q103" s="538" t="s">
        <v>12</v>
      </c>
      <c r="R103" s="539"/>
      <c r="S103" s="539"/>
      <c r="T103" s="539"/>
      <c r="U103" s="540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44" t="s">
        <v>13</v>
      </c>
      <c r="C119" s="545"/>
      <c r="D119" s="545"/>
      <c r="E119" s="545"/>
      <c r="F119" s="546"/>
      <c r="G119" s="544" t="s">
        <v>14</v>
      </c>
      <c r="H119" s="545"/>
      <c r="I119" s="545"/>
      <c r="J119" s="545"/>
      <c r="K119" s="546"/>
      <c r="L119" s="547" t="s">
        <v>15</v>
      </c>
      <c r="M119" s="548"/>
      <c r="N119" s="548"/>
      <c r="O119" s="548"/>
      <c r="P119" s="549"/>
      <c r="Q119" s="544" t="s">
        <v>16</v>
      </c>
      <c r="R119" s="545"/>
      <c r="S119" s="545"/>
      <c r="T119" s="545"/>
      <c r="U119" s="546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528" t="s">
        <v>17</v>
      </c>
      <c r="C135" s="529"/>
      <c r="D135" s="529"/>
      <c r="E135" s="529"/>
      <c r="F135" s="530"/>
      <c r="G135" s="528" t="s">
        <v>18</v>
      </c>
      <c r="H135" s="529"/>
      <c r="I135" s="529"/>
      <c r="J135" s="529"/>
      <c r="K135" s="530"/>
      <c r="L135" s="550" t="s">
        <v>19</v>
      </c>
      <c r="M135" s="551"/>
      <c r="N135" s="551"/>
      <c r="O135" s="551"/>
      <c r="P135" s="552"/>
      <c r="Q135" s="528" t="s">
        <v>20</v>
      </c>
      <c r="R135" s="529"/>
      <c r="S135" s="529"/>
      <c r="T135" s="529"/>
      <c r="U135" s="530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53" t="s">
        <v>21</v>
      </c>
      <c r="C151" s="554"/>
      <c r="D151" s="554"/>
      <c r="E151" s="554"/>
      <c r="F151" s="555"/>
      <c r="G151" s="553" t="s">
        <v>22</v>
      </c>
      <c r="H151" s="554"/>
      <c r="I151" s="554"/>
      <c r="J151" s="554"/>
      <c r="K151" s="555"/>
      <c r="L151" s="556" t="s">
        <v>23</v>
      </c>
      <c r="M151" s="557"/>
      <c r="N151" s="557"/>
      <c r="O151" s="557"/>
      <c r="P151" s="55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151:F151"/>
    <mergeCell ref="G151:K151"/>
    <mergeCell ref="L151:P15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26" t="s">
        <v>92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26"/>
    </row>
    <row r="2" spans="1:14" x14ac:dyDescent="0.25">
      <c r="A2" s="228"/>
      <c r="B2" s="565" t="s">
        <v>104</v>
      </c>
      <c r="C2" s="566"/>
      <c r="D2" s="567"/>
      <c r="E2" s="565" t="s">
        <v>101</v>
      </c>
      <c r="F2" s="566"/>
      <c r="G2" s="567"/>
      <c r="H2" s="565" t="s">
        <v>103</v>
      </c>
      <c r="I2" s="566"/>
      <c r="J2" s="567"/>
      <c r="K2" s="565" t="s">
        <v>72</v>
      </c>
      <c r="L2" s="566"/>
      <c r="M2" s="567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26" t="s">
        <v>99</v>
      </c>
      <c r="B16" s="568"/>
      <c r="C16" s="568"/>
      <c r="D16" s="568"/>
      <c r="E16" s="568"/>
      <c r="F16" s="568"/>
      <c r="G16" s="568"/>
      <c r="H16" s="568"/>
      <c r="I16" s="568"/>
      <c r="J16" s="568"/>
      <c r="K16" s="568"/>
      <c r="L16" s="568"/>
      <c r="M16" s="568"/>
      <c r="N16" s="526"/>
    </row>
    <row r="17" spans="1:14" x14ac:dyDescent="0.25">
      <c r="A17" s="228"/>
      <c r="B17" s="565" t="s">
        <v>104</v>
      </c>
      <c r="C17" s="566"/>
      <c r="D17" s="567"/>
      <c r="E17" s="565" t="s">
        <v>102</v>
      </c>
      <c r="F17" s="566"/>
      <c r="G17" s="567"/>
      <c r="H17" s="565" t="s">
        <v>103</v>
      </c>
      <c r="I17" s="566"/>
      <c r="J17" s="567"/>
      <c r="K17" s="565" t="s">
        <v>72</v>
      </c>
      <c r="L17" s="566"/>
      <c r="M17" s="567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26" t="s">
        <v>100</v>
      </c>
      <c r="B30" s="568"/>
      <c r="C30" s="568"/>
      <c r="D30" s="568"/>
      <c r="E30" s="568"/>
      <c r="F30" s="568"/>
      <c r="G30" s="568"/>
      <c r="H30" s="568"/>
      <c r="I30" s="568"/>
      <c r="J30" s="568"/>
      <c r="K30" s="568"/>
      <c r="L30" s="568"/>
      <c r="M30" s="568"/>
      <c r="N30" s="526"/>
    </row>
    <row r="31" spans="1:14" x14ac:dyDescent="0.25">
      <c r="A31" s="228"/>
      <c r="B31" s="565" t="s">
        <v>104</v>
      </c>
      <c r="C31" s="566"/>
      <c r="D31" s="567"/>
      <c r="E31" s="565" t="s">
        <v>102</v>
      </c>
      <c r="F31" s="566"/>
      <c r="G31" s="567"/>
      <c r="H31" s="565" t="s">
        <v>103</v>
      </c>
      <c r="I31" s="566"/>
      <c r="J31" s="567"/>
      <c r="K31" s="565" t="s">
        <v>72</v>
      </c>
      <c r="L31" s="566"/>
      <c r="M31" s="567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26" t="s">
        <v>146</v>
      </c>
      <c r="B42" s="568"/>
      <c r="C42" s="568"/>
      <c r="D42" s="568"/>
      <c r="E42" s="568"/>
      <c r="F42" s="568"/>
      <c r="G42" s="568"/>
      <c r="H42" s="568"/>
      <c r="I42" s="568"/>
      <c r="J42" s="568"/>
      <c r="K42" s="568"/>
      <c r="L42" s="568"/>
      <c r="M42" s="568"/>
      <c r="N42" s="526"/>
    </row>
    <row r="43" spans="1:14" x14ac:dyDescent="0.25">
      <c r="A43" s="228"/>
      <c r="B43" s="526" t="s">
        <v>104</v>
      </c>
      <c r="C43" s="526"/>
      <c r="D43" s="526"/>
      <c r="E43" s="526" t="s">
        <v>102</v>
      </c>
      <c r="F43" s="526"/>
      <c r="G43" s="526"/>
      <c r="H43" s="526" t="s">
        <v>103</v>
      </c>
      <c r="I43" s="526"/>
      <c r="J43" s="526"/>
      <c r="K43" s="526" t="s">
        <v>72</v>
      </c>
      <c r="L43" s="526"/>
      <c r="M43" s="526"/>
      <c r="N43" s="244"/>
    </row>
    <row r="44" spans="1:14" x14ac:dyDescent="0.25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25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25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25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25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25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25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25">
      <c r="A53" s="526" t="s">
        <v>147</v>
      </c>
      <c r="B53" s="568"/>
      <c r="C53" s="568"/>
      <c r="D53" s="568"/>
      <c r="E53" s="568"/>
      <c r="F53" s="568"/>
      <c r="G53" s="568"/>
      <c r="H53" s="568"/>
      <c r="I53" s="568"/>
      <c r="J53" s="568"/>
      <c r="K53" s="568"/>
      <c r="L53" s="568"/>
      <c r="M53" s="568"/>
      <c r="N53" s="526"/>
    </row>
    <row r="54" spans="1:14" x14ac:dyDescent="0.25">
      <c r="A54" s="228"/>
      <c r="B54" s="526" t="s">
        <v>104</v>
      </c>
      <c r="C54" s="526"/>
      <c r="D54" s="526"/>
      <c r="E54" s="526" t="s">
        <v>102</v>
      </c>
      <c r="F54" s="526"/>
      <c r="G54" s="526"/>
      <c r="H54" s="526" t="s">
        <v>103</v>
      </c>
      <c r="I54" s="526"/>
      <c r="J54" s="526"/>
      <c r="K54" s="526" t="s">
        <v>72</v>
      </c>
      <c r="L54" s="526"/>
      <c r="M54" s="526"/>
      <c r="N54" s="244"/>
    </row>
    <row r="55" spans="1:14" x14ac:dyDescent="0.25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25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25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25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25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25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25">
      <c r="J62" s="452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69" t="s">
        <v>144</v>
      </c>
      <c r="X65" s="569"/>
      <c r="Y65" s="569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25">
      <c r="W74" s="569" t="s">
        <v>145</v>
      </c>
      <c r="X74" s="569"/>
      <c r="Y74" s="569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0" t="s">
        <v>117</v>
      </c>
      <c r="C90" s="450" t="s">
        <v>118</v>
      </c>
    </row>
    <row r="91" spans="1:30" x14ac:dyDescent="0.25">
      <c r="A91" s="83" t="s">
        <v>115</v>
      </c>
      <c r="B91" s="450" t="s">
        <v>116</v>
      </c>
      <c r="C91" s="450" t="s">
        <v>116</v>
      </c>
    </row>
    <row r="92" spans="1:30" x14ac:dyDescent="0.25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25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25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25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25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25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25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25">
      <c r="A99" s="83"/>
      <c r="B99" s="450"/>
      <c r="C99" s="452"/>
    </row>
    <row r="100" spans="1:3" x14ac:dyDescent="0.25">
      <c r="A100" s="83" t="s">
        <v>114</v>
      </c>
      <c r="B100" s="450" t="s">
        <v>117</v>
      </c>
      <c r="C100" s="450" t="s">
        <v>118</v>
      </c>
    </row>
    <row r="101" spans="1:3" x14ac:dyDescent="0.25">
      <c r="A101" s="83" t="s">
        <v>115</v>
      </c>
      <c r="B101" s="450" t="s">
        <v>116</v>
      </c>
      <c r="C101" s="450" t="s">
        <v>116</v>
      </c>
    </row>
    <row r="102" spans="1:3" x14ac:dyDescent="0.25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25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25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25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25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25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25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 Weights</vt:lpstr>
      <vt:lpstr>Summer Weights</vt:lpstr>
      <vt:lpstr>Regression</vt:lpstr>
      <vt:lpstr>Outlier Identification</vt:lpstr>
      <vt:lpstr>Slope Significance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2025-09-04T22:15:39Z</dcterms:modified>
</cp:coreProperties>
</file>